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Users\birkenls\OneDrive - GESIS – Leibniz-Institut für Sozialwissenschaften e.V\Dokumente\Coding Projekte (Git)\Review_Validity\Review\1_literature_search\data\"/>
    </mc:Choice>
  </mc:AlternateContent>
  <xr:revisionPtr revIDLastSave="0" documentId="8_{363E4F7C-0F55-4B53-97F8-2A046D1FF906}" xr6:coauthVersionLast="47" xr6:coauthVersionMax="47" xr10:uidLastSave="{00000000-0000-0000-0000-000000000000}"/>
  <bookViews>
    <workbookView xWindow="-120" yWindow="-120" windowWidth="29040" windowHeight="17790" xr2:uid="{00000000-000D-0000-FFFF-FFFF00000000}"/>
  </bookViews>
  <sheets>
    <sheet name="savedrecs" sheetId="1" r:id="rId1"/>
    <sheet name="Sheet1" sheetId="2" r:id="rId2"/>
  </sheets>
  <definedNames>
    <definedName name="_xlnm._FilterDatabase" localSheetId="0" hidden="1">savedrecs!$A$1:$BS$945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F918" i="1" l="1"/>
  <c r="BS918" i="1"/>
  <c r="BF804" i="1"/>
  <c r="BS804" i="1"/>
  <c r="BF41" i="1"/>
  <c r="BS41" i="1"/>
  <c r="BS148" i="1"/>
  <c r="BF727" i="1"/>
  <c r="BS727" i="1"/>
  <c r="BF505" i="1"/>
  <c r="BS505" i="1"/>
  <c r="BF506" i="1"/>
  <c r="BS506" i="1"/>
  <c r="BF247" i="1"/>
  <c r="BS247" i="1"/>
  <c r="BF766" i="1"/>
  <c r="BS766" i="1"/>
  <c r="BS799" i="1"/>
  <c r="BF728" i="1"/>
  <c r="BS728" i="1"/>
  <c r="BF665" i="1"/>
  <c r="BS665" i="1"/>
  <c r="BF890" i="1"/>
  <c r="BS890" i="1"/>
  <c r="BS805" i="1"/>
  <c r="BF507" i="1"/>
  <c r="BS507" i="1"/>
  <c r="BF752" i="1"/>
  <c r="BS752" i="1"/>
  <c r="BF128" i="1"/>
  <c r="BS128" i="1"/>
  <c r="BF508" i="1"/>
  <c r="BS508" i="1"/>
  <c r="BF509" i="1"/>
  <c r="BS509" i="1"/>
  <c r="BS710" i="1"/>
  <c r="BF753" i="1"/>
  <c r="BS753" i="1"/>
  <c r="BF788" i="1"/>
  <c r="BS788" i="1"/>
  <c r="BS149" i="1"/>
  <c r="BF786" i="1"/>
  <c r="BS786" i="1"/>
  <c r="BF919" i="1"/>
  <c r="BS919" i="1"/>
  <c r="BS299" i="1"/>
  <c r="BF380" i="1"/>
  <c r="BS380" i="1"/>
  <c r="BF349" i="1"/>
  <c r="BS349" i="1"/>
  <c r="BF781" i="1"/>
  <c r="BS781" i="1"/>
  <c r="BF939" i="1"/>
  <c r="BS939" i="1"/>
  <c r="BF135" i="1"/>
  <c r="BS135" i="1"/>
  <c r="BF510" i="1"/>
  <c r="BS510" i="1"/>
  <c r="BF150" i="1"/>
  <c r="BS150" i="1"/>
  <c r="BF511" i="1"/>
  <c r="BS511" i="1"/>
  <c r="BS784" i="1"/>
  <c r="BF806" i="1"/>
  <c r="BS806" i="1"/>
  <c r="BF715" i="1"/>
  <c r="BS715" i="1"/>
  <c r="BF807" i="1"/>
  <c r="BS807" i="1"/>
  <c r="BF771" i="1"/>
  <c r="BS771" i="1"/>
  <c r="BF42" i="1"/>
  <c r="BS42" i="1"/>
  <c r="BF666" i="1"/>
  <c r="BS666" i="1"/>
  <c r="BF512" i="1"/>
  <c r="BS512" i="1"/>
  <c r="BF895" i="1"/>
  <c r="BS895" i="1"/>
  <c r="BF248" i="1"/>
  <c r="BS248" i="1"/>
  <c r="BF513" i="1"/>
  <c r="BS513" i="1"/>
  <c r="BF896" i="1"/>
  <c r="BS896" i="1"/>
  <c r="BF514" i="1"/>
  <c r="BS514" i="1"/>
  <c r="BF300" i="1"/>
  <c r="BS300" i="1"/>
  <c r="BS36" i="1"/>
  <c r="BF43" i="1"/>
  <c r="BS43" i="1"/>
  <c r="BF515" i="1"/>
  <c r="BS515" i="1"/>
  <c r="BF516" i="1"/>
  <c r="BS516" i="1"/>
  <c r="BF469" i="1"/>
  <c r="BS469" i="1"/>
  <c r="BF517" i="1"/>
  <c r="BS517" i="1"/>
  <c r="BF518" i="1"/>
  <c r="BS518" i="1"/>
  <c r="BF808" i="1"/>
  <c r="BS808" i="1"/>
  <c r="BF143" i="1"/>
  <c r="BS143" i="1"/>
  <c r="BF368" i="1"/>
  <c r="BS368" i="1"/>
  <c r="BF44" i="1"/>
  <c r="BS44" i="1"/>
  <c r="BF667" i="1"/>
  <c r="BS667" i="1"/>
  <c r="BF519" i="1"/>
  <c r="BS519" i="1"/>
  <c r="BF520" i="1"/>
  <c r="BS520" i="1"/>
  <c r="BS394" i="1"/>
  <c r="BF521" i="1"/>
  <c r="BS521" i="1"/>
  <c r="BF449" i="1"/>
  <c r="BS449" i="1"/>
  <c r="BF485" i="1"/>
  <c r="BS485" i="1"/>
  <c r="BF897" i="1"/>
  <c r="BS897" i="1"/>
  <c r="BF450" i="1"/>
  <c r="BS450" i="1"/>
  <c r="BF809" i="1"/>
  <c r="BS809" i="1"/>
  <c r="BF151" i="1"/>
  <c r="BS151" i="1"/>
  <c r="BF898" i="1"/>
  <c r="BS898" i="1"/>
  <c r="BF11" i="1"/>
  <c r="BS11" i="1"/>
  <c r="BF495" i="1"/>
  <c r="BS495" i="1"/>
  <c r="BF494" i="1"/>
  <c r="BS494" i="1"/>
  <c r="BF152" i="1"/>
  <c r="BS152" i="1"/>
  <c r="BF110" i="1"/>
  <c r="BS110" i="1"/>
  <c r="BF153" i="1"/>
  <c r="BS153" i="1"/>
  <c r="BS691" i="1"/>
  <c r="BF154" i="1"/>
  <c r="BS154" i="1"/>
  <c r="BF522" i="1"/>
  <c r="BS522" i="1"/>
  <c r="BF775" i="1"/>
  <c r="BS775" i="1"/>
  <c r="BF249" i="1"/>
  <c r="BS249" i="1"/>
  <c r="BF772" i="1"/>
  <c r="BS772" i="1"/>
  <c r="BF917" i="1"/>
  <c r="BS917" i="1"/>
  <c r="BF155" i="1"/>
  <c r="BS155" i="1"/>
  <c r="BF729" i="1"/>
  <c r="BS729" i="1"/>
  <c r="BF111" i="1"/>
  <c r="BS111" i="1"/>
  <c r="BF45" i="1"/>
  <c r="BS45" i="1"/>
  <c r="BF489" i="1"/>
  <c r="BS489" i="1"/>
  <c r="BS523" i="1"/>
  <c r="BF46" i="1"/>
  <c r="BS46" i="1"/>
  <c r="BF524" i="1"/>
  <c r="BS524" i="1"/>
  <c r="BF47" i="1"/>
  <c r="BS47" i="1"/>
  <c r="BF525" i="1"/>
  <c r="BS525" i="1"/>
  <c r="BF526" i="1"/>
  <c r="BS526" i="1"/>
  <c r="BF48" i="1"/>
  <c r="BS48" i="1"/>
  <c r="BF49" i="1"/>
  <c r="BS49" i="1"/>
  <c r="BF854" i="1"/>
  <c r="BS854" i="1"/>
  <c r="BF810" i="1"/>
  <c r="BS810" i="1"/>
  <c r="BF497" i="1"/>
  <c r="BS497" i="1"/>
  <c r="BF527" i="1"/>
  <c r="BS527" i="1"/>
  <c r="BF685" i="1"/>
  <c r="BS685" i="1"/>
  <c r="BF528" i="1"/>
  <c r="BS528" i="1"/>
  <c r="BF358" i="1"/>
  <c r="BS358" i="1"/>
  <c r="BF250" i="1"/>
  <c r="BS250" i="1"/>
  <c r="BF156" i="1"/>
  <c r="BS156" i="1"/>
  <c r="BF940" i="1"/>
  <c r="BS940" i="1"/>
  <c r="BF899" i="1"/>
  <c r="BS899" i="1"/>
  <c r="BF363" i="1"/>
  <c r="BS363" i="1"/>
  <c r="BF301" i="1"/>
  <c r="BS301" i="1"/>
  <c r="BF369" i="1"/>
  <c r="BS369" i="1"/>
  <c r="BF529" i="1"/>
  <c r="BS529" i="1"/>
  <c r="BF486" i="1"/>
  <c r="BS486" i="1"/>
  <c r="BF668" i="1"/>
  <c r="BS668" i="1"/>
  <c r="BS378" i="1"/>
  <c r="BF811" i="1"/>
  <c r="BS811" i="1"/>
  <c r="BF451" i="1"/>
  <c r="BS451" i="1"/>
  <c r="BF359" i="1"/>
  <c r="BS359" i="1"/>
  <c r="BS50" i="1"/>
  <c r="BF812" i="1"/>
  <c r="BS812" i="1"/>
  <c r="BF157" i="1"/>
  <c r="BS157" i="1"/>
  <c r="BF879" i="1"/>
  <c r="BS879" i="1"/>
  <c r="BF530" i="1"/>
  <c r="BS530" i="1"/>
  <c r="BF669" i="1"/>
  <c r="BS669" i="1"/>
  <c r="BS708" i="1"/>
  <c r="BF849" i="1"/>
  <c r="BS849" i="1"/>
  <c r="BF51" i="1"/>
  <c r="BS51" i="1"/>
  <c r="BF531" i="1"/>
  <c r="BS531" i="1"/>
  <c r="BF251" i="1"/>
  <c r="BS251" i="1"/>
  <c r="BF880" i="1"/>
  <c r="BS880" i="1"/>
  <c r="BF464" i="1"/>
  <c r="BS464" i="1"/>
  <c r="BF659" i="1"/>
  <c r="BS659" i="1"/>
  <c r="BF768" i="1"/>
  <c r="BS768" i="1"/>
  <c r="BF701" i="1"/>
  <c r="BS701" i="1"/>
  <c r="BF158" i="1"/>
  <c r="BS158" i="1"/>
  <c r="BF23" i="1"/>
  <c r="BS23" i="1"/>
  <c r="BF769" i="1"/>
  <c r="BS769" i="1"/>
  <c r="BS302" i="1"/>
  <c r="BF532" i="1"/>
  <c r="BS532" i="1"/>
  <c r="BF813" i="1"/>
  <c r="BS813" i="1"/>
  <c r="BF533" i="1"/>
  <c r="BS533" i="1"/>
  <c r="BF670" i="1"/>
  <c r="BS670" i="1"/>
  <c r="BF534" i="1"/>
  <c r="BS534" i="1"/>
  <c r="BF483" i="1"/>
  <c r="BS483" i="1"/>
  <c r="BF881" i="1"/>
  <c r="BS881" i="1"/>
  <c r="BF941" i="1"/>
  <c r="BS941" i="1"/>
  <c r="BF535" i="1"/>
  <c r="BS535" i="1"/>
  <c r="BS159" i="1"/>
  <c r="BF160" i="1"/>
  <c r="BS160" i="1"/>
  <c r="BS536" i="1"/>
  <c r="BS161" i="1"/>
  <c r="BF252" i="1"/>
  <c r="BS252" i="1"/>
  <c r="BF278" i="1"/>
  <c r="BS278" i="1"/>
  <c r="BF285" i="1"/>
  <c r="BS285" i="1"/>
  <c r="BF286" i="1"/>
  <c r="BS286" i="1"/>
  <c r="BF921" i="1"/>
  <c r="BS921" i="1"/>
  <c r="BF500" i="1"/>
  <c r="BS500" i="1"/>
  <c r="BF537" i="1"/>
  <c r="BS537" i="1"/>
  <c r="BF452" i="1"/>
  <c r="BS452" i="1"/>
  <c r="BF900" i="1"/>
  <c r="BS900" i="1"/>
  <c r="BF37" i="1"/>
  <c r="BS37" i="1"/>
  <c r="BF52" i="1"/>
  <c r="BS52" i="1"/>
  <c r="BF453" i="1"/>
  <c r="BS453" i="1"/>
  <c r="BF34" i="1"/>
  <c r="BS34" i="1"/>
  <c r="BF402" i="1"/>
  <c r="BS402" i="1"/>
  <c r="BF162" i="1"/>
  <c r="BS162" i="1"/>
  <c r="BF122" i="1"/>
  <c r="BS122" i="1"/>
  <c r="BS163" i="1"/>
  <c r="BF17" i="1"/>
  <c r="BS17" i="1"/>
  <c r="BF660" i="1"/>
  <c r="BS660" i="1"/>
  <c r="BF538" i="1"/>
  <c r="BS538" i="1"/>
  <c r="BF671" i="1"/>
  <c r="BS671" i="1"/>
  <c r="BF164" i="1"/>
  <c r="BS164" i="1"/>
  <c r="BS165" i="1"/>
  <c r="BF539" i="1"/>
  <c r="BS539" i="1"/>
  <c r="BF253" i="1"/>
  <c r="BS253" i="1"/>
  <c r="BF387" i="1"/>
  <c r="BS387" i="1"/>
  <c r="BF901" i="1"/>
  <c r="BS901" i="1"/>
  <c r="BF749" i="1"/>
  <c r="BS749" i="1"/>
  <c r="BF123" i="1"/>
  <c r="BS123" i="1"/>
  <c r="BF166" i="1"/>
  <c r="BS166" i="1"/>
  <c r="BF53" i="1"/>
  <c r="BS53" i="1"/>
  <c r="BF672" i="1"/>
  <c r="BS672" i="1"/>
  <c r="BF390" i="1"/>
  <c r="BS390" i="1"/>
  <c r="BF139" i="1"/>
  <c r="BS139" i="1"/>
  <c r="BF730" i="1"/>
  <c r="BS730" i="1"/>
  <c r="BF298" i="1"/>
  <c r="BS298" i="1"/>
  <c r="BF140" i="1"/>
  <c r="BS140" i="1"/>
  <c r="BF882" i="1"/>
  <c r="BS882" i="1"/>
  <c r="BF303" i="1"/>
  <c r="BS303" i="1"/>
  <c r="BF540" i="1"/>
  <c r="BS540" i="1"/>
  <c r="BF304" i="1"/>
  <c r="BS304" i="1"/>
  <c r="BF782" i="1"/>
  <c r="BS782" i="1"/>
  <c r="BF305" i="1"/>
  <c r="BS305" i="1"/>
  <c r="BF850" i="1"/>
  <c r="BS850" i="1"/>
  <c r="BF54" i="1"/>
  <c r="BS54" i="1"/>
  <c r="BF55" i="1"/>
  <c r="BS55" i="1"/>
  <c r="BF883" i="1"/>
  <c r="BS883" i="1"/>
  <c r="BF112" i="1"/>
  <c r="BS112" i="1"/>
  <c r="BF465" i="1"/>
  <c r="BS465" i="1"/>
  <c r="BF403" i="1"/>
  <c r="BS403" i="1"/>
  <c r="BF541" i="1"/>
  <c r="BS541" i="1"/>
  <c r="BF306" i="1"/>
  <c r="BS306" i="1"/>
  <c r="BS754" i="1"/>
  <c r="BF287" i="1"/>
  <c r="BS287" i="1"/>
  <c r="BF307" i="1"/>
  <c r="BS307" i="1"/>
  <c r="BF542" i="1"/>
  <c r="BS542" i="1"/>
  <c r="BF308" i="1"/>
  <c r="BS308" i="1"/>
  <c r="BF254" i="1"/>
  <c r="BS254" i="1"/>
  <c r="BF309" i="1"/>
  <c r="BS309" i="1"/>
  <c r="BF56" i="1"/>
  <c r="BS56" i="1"/>
  <c r="BF255" i="1"/>
  <c r="BS255" i="1"/>
  <c r="BF454" i="1"/>
  <c r="BS454" i="1"/>
  <c r="BF891" i="1"/>
  <c r="BS891" i="1"/>
  <c r="BF543" i="1"/>
  <c r="BS543" i="1"/>
  <c r="BF14" i="1"/>
  <c r="BS14" i="1"/>
  <c r="BF15" i="1"/>
  <c r="BS15" i="1"/>
  <c r="BF814" i="1"/>
  <c r="BS814" i="1"/>
  <c r="BF167" i="1"/>
  <c r="BS167" i="1"/>
  <c r="BS350" i="1"/>
  <c r="BF544" i="1"/>
  <c r="BS544" i="1"/>
  <c r="BF57" i="1"/>
  <c r="BS57" i="1"/>
  <c r="BF894" i="1"/>
  <c r="BS894" i="1"/>
  <c r="BF310" i="1"/>
  <c r="BS310" i="1"/>
  <c r="BF545" i="1"/>
  <c r="BS545" i="1"/>
  <c r="BF546" i="1"/>
  <c r="BS546" i="1"/>
  <c r="BF884" i="1"/>
  <c r="BS884" i="1"/>
  <c r="BF477" i="1"/>
  <c r="BS477" i="1"/>
  <c r="BF706" i="1"/>
  <c r="BS706" i="1"/>
  <c r="BF731" i="1"/>
  <c r="BS731" i="1"/>
  <c r="BF431" i="1"/>
  <c r="BS431" i="1"/>
  <c r="BF30" i="1"/>
  <c r="BS30" i="1"/>
  <c r="BF547" i="1"/>
  <c r="BS547" i="1"/>
  <c r="BS32" i="1"/>
  <c r="BF58" i="1"/>
  <c r="BS58" i="1"/>
  <c r="BF687" i="1"/>
  <c r="BS687" i="1"/>
  <c r="BF311" i="1"/>
  <c r="BS311" i="1"/>
  <c r="BF59" i="1"/>
  <c r="BS59" i="1"/>
  <c r="BF60" i="1"/>
  <c r="BS60" i="1"/>
  <c r="BF548" i="1"/>
  <c r="BS548" i="1"/>
  <c r="BF61" i="1"/>
  <c r="BS61" i="1"/>
  <c r="BS344" i="1"/>
  <c r="BF549" i="1"/>
  <c r="BS549" i="1"/>
  <c r="BF815" i="1"/>
  <c r="BS815" i="1"/>
  <c r="BF62" i="1"/>
  <c r="BS62" i="1"/>
  <c r="BF755" i="1"/>
  <c r="BS755" i="1"/>
  <c r="BF816" i="1"/>
  <c r="BS816" i="1"/>
  <c r="BF550" i="1"/>
  <c r="BS550" i="1"/>
  <c r="BF551" i="1"/>
  <c r="BS551" i="1"/>
  <c r="BF312" i="1"/>
  <c r="BS312" i="1"/>
  <c r="BS168" i="1"/>
  <c r="BF351" i="1"/>
  <c r="BS351" i="1"/>
  <c r="BF12" i="1"/>
  <c r="BS12" i="1"/>
  <c r="BF313" i="1"/>
  <c r="BS313" i="1"/>
  <c r="BF63" i="1"/>
  <c r="BS63" i="1"/>
  <c r="BF377" i="1"/>
  <c r="BS377" i="1"/>
  <c r="BF404" i="1"/>
  <c r="BS404" i="1"/>
  <c r="BF552" i="1"/>
  <c r="BS552" i="1"/>
  <c r="BF282" i="1"/>
  <c r="BS282" i="1"/>
  <c r="BF405" i="1"/>
  <c r="BS405" i="1"/>
  <c r="BF673" i="1"/>
  <c r="BS673" i="1"/>
  <c r="BF276" i="1"/>
  <c r="BS276" i="1"/>
  <c r="BF876" i="1"/>
  <c r="BS876" i="1"/>
  <c r="BF370" i="1"/>
  <c r="BS370" i="1"/>
  <c r="BF64" i="1"/>
  <c r="BS64" i="1"/>
  <c r="BF65" i="1"/>
  <c r="BS65" i="1"/>
  <c r="BF732" i="1"/>
  <c r="BS732" i="1"/>
  <c r="BF702" i="1"/>
  <c r="BS702" i="1"/>
  <c r="BF674" i="1"/>
  <c r="BS674" i="1"/>
  <c r="BF10" i="1"/>
  <c r="BS10" i="1"/>
  <c r="BF902" i="1"/>
  <c r="BS902" i="1"/>
  <c r="BF553" i="1"/>
  <c r="BS553" i="1"/>
  <c r="BF733" i="1"/>
  <c r="BS733" i="1"/>
  <c r="BF113" i="1"/>
  <c r="BS113" i="1"/>
  <c r="BF851" i="1"/>
  <c r="BS851" i="1"/>
  <c r="BF314" i="1"/>
  <c r="BS314" i="1"/>
  <c r="BF877" i="1"/>
  <c r="BS877" i="1"/>
  <c r="BF487" i="1"/>
  <c r="BS487" i="1"/>
  <c r="BF352" i="1"/>
  <c r="BS352" i="1"/>
  <c r="BF256" i="1"/>
  <c r="BS256" i="1"/>
  <c r="BF169" i="1"/>
  <c r="BS169" i="1"/>
  <c r="BF288" i="1"/>
  <c r="BS288" i="1"/>
  <c r="BF345" i="1"/>
  <c r="BS345" i="1"/>
  <c r="BF554" i="1"/>
  <c r="BS554" i="1"/>
  <c r="BF860" i="1"/>
  <c r="BS860" i="1"/>
  <c r="BF756" i="1"/>
  <c r="BS756" i="1"/>
  <c r="BS711" i="1"/>
  <c r="BF277" i="1"/>
  <c r="BS277" i="1"/>
  <c r="BF66" i="1"/>
  <c r="BS66" i="1"/>
  <c r="BF845" i="1"/>
  <c r="BS845" i="1"/>
  <c r="BF817" i="1"/>
  <c r="BS817" i="1"/>
  <c r="BF170" i="1"/>
  <c r="BS170" i="1"/>
  <c r="BF136" i="1"/>
  <c r="BS136" i="1"/>
  <c r="BF734" i="1"/>
  <c r="BS734" i="1"/>
  <c r="BF315" i="1"/>
  <c r="BS315" i="1"/>
  <c r="BF279" i="1"/>
  <c r="BS279" i="1"/>
  <c r="BF67" i="1"/>
  <c r="BS67" i="1"/>
  <c r="BF316" i="1"/>
  <c r="BS316" i="1"/>
  <c r="BF68" i="1"/>
  <c r="BS68" i="1"/>
  <c r="BF171" i="1"/>
  <c r="BS171" i="1"/>
  <c r="BF555" i="1"/>
  <c r="BS555" i="1"/>
  <c r="BF556" i="1"/>
  <c r="BS556" i="1"/>
  <c r="BF675" i="1"/>
  <c r="BS675" i="1"/>
  <c r="BF129" i="1"/>
  <c r="BS129" i="1"/>
  <c r="BF289" i="1"/>
  <c r="BS289" i="1"/>
  <c r="BF557" i="1"/>
  <c r="BS557" i="1"/>
  <c r="BF280" i="1"/>
  <c r="BS280" i="1"/>
  <c r="BF257" i="1"/>
  <c r="BS257" i="1"/>
  <c r="BF406" i="1"/>
  <c r="BS406" i="1"/>
  <c r="BF818" i="1"/>
  <c r="BS818" i="1"/>
  <c r="BF172" i="1"/>
  <c r="BS172" i="1"/>
  <c r="BF684" i="1"/>
  <c r="BS684" i="1"/>
  <c r="BF69" i="1"/>
  <c r="BS69" i="1"/>
  <c r="BF317" i="1"/>
  <c r="BS317" i="1"/>
  <c r="BF920" i="1"/>
  <c r="BS920" i="1"/>
  <c r="BF819" i="1"/>
  <c r="BS819" i="1"/>
  <c r="BF820" i="1"/>
  <c r="BS820" i="1"/>
  <c r="BF924" i="1"/>
  <c r="BS924" i="1"/>
  <c r="BF124" i="1"/>
  <c r="BS124" i="1"/>
  <c r="BF290" i="1"/>
  <c r="BS290" i="1"/>
  <c r="BF558" i="1"/>
  <c r="BS558" i="1"/>
  <c r="BF318" i="1"/>
  <c r="BS318" i="1"/>
  <c r="BF173" i="1"/>
  <c r="BS173" i="1"/>
  <c r="BF777" i="1"/>
  <c r="BS777" i="1"/>
  <c r="BF407" i="1"/>
  <c r="BS407" i="1"/>
  <c r="BF676" i="1"/>
  <c r="BS676" i="1"/>
  <c r="BF117" i="1"/>
  <c r="BS117" i="1"/>
  <c r="BF559" i="1"/>
  <c r="BS559" i="1"/>
  <c r="BF923" i="1"/>
  <c r="BS923" i="1"/>
  <c r="BF560" i="1"/>
  <c r="BS560" i="1"/>
  <c r="BF18" i="1"/>
  <c r="BS18" i="1"/>
  <c r="BF353" i="1"/>
  <c r="BS353" i="1"/>
  <c r="BS319" i="1"/>
  <c r="BS561" i="1"/>
  <c r="BF903" i="1"/>
  <c r="BS903" i="1"/>
  <c r="BF562" i="1"/>
  <c r="BS562" i="1"/>
  <c r="BF904" i="1"/>
  <c r="BS904" i="1"/>
  <c r="BS320" i="1"/>
  <c r="BF563" i="1"/>
  <c r="BS563" i="1"/>
  <c r="BF470" i="1"/>
  <c r="BS470" i="1"/>
  <c r="BF703" i="1"/>
  <c r="BS703" i="1"/>
  <c r="BF905" i="1"/>
  <c r="BS905" i="1"/>
  <c r="BF70" i="1"/>
  <c r="BS70" i="1"/>
  <c r="BF283" i="1"/>
  <c r="BS283" i="1"/>
  <c r="BS424" i="1"/>
  <c r="BS321" i="1"/>
  <c r="BF750" i="1"/>
  <c r="BS750" i="1"/>
  <c r="BF174" i="1"/>
  <c r="BS174" i="1"/>
  <c r="BF564" i="1"/>
  <c r="BS564" i="1"/>
  <c r="BF71" i="1"/>
  <c r="BS71" i="1"/>
  <c r="BF322" i="1"/>
  <c r="BS322" i="1"/>
  <c r="BF383" i="1"/>
  <c r="BS383" i="1"/>
  <c r="BF175" i="1"/>
  <c r="BS175" i="1"/>
  <c r="BF821" i="1"/>
  <c r="BS821" i="1"/>
  <c r="BF38" i="1"/>
  <c r="BS38" i="1"/>
  <c r="BF408" i="1"/>
  <c r="BS408" i="1"/>
  <c r="BF693" i="1"/>
  <c r="BS693" i="1"/>
  <c r="BF757" i="1"/>
  <c r="BS757" i="1"/>
  <c r="BF767" i="1"/>
  <c r="BS767" i="1"/>
  <c r="BF19" i="1"/>
  <c r="BS19" i="1"/>
  <c r="BF144" i="1"/>
  <c r="BS144" i="1"/>
  <c r="BS716" i="1"/>
  <c r="BS323" i="1"/>
  <c r="BF176" i="1"/>
  <c r="BS176" i="1"/>
  <c r="BF386" i="1"/>
  <c r="BS386" i="1"/>
  <c r="BF822" i="1"/>
  <c r="BS822" i="1"/>
  <c r="BF258" i="1"/>
  <c r="BS258" i="1"/>
  <c r="BF296" i="1"/>
  <c r="BS296" i="1"/>
  <c r="BF356" i="1"/>
  <c r="BS356" i="1"/>
  <c r="BF677" i="1"/>
  <c r="BS677" i="1"/>
  <c r="BF259" i="1"/>
  <c r="BS259" i="1"/>
  <c r="BF114" i="1"/>
  <c r="BS114" i="1"/>
  <c r="BF455" i="1"/>
  <c r="BS455" i="1"/>
  <c r="BS177" i="1"/>
  <c r="BF885" i="1"/>
  <c r="BS885" i="1"/>
  <c r="BF178" i="1"/>
  <c r="BS178" i="1"/>
  <c r="BF488" i="1"/>
  <c r="BS488" i="1"/>
  <c r="BF565" i="1"/>
  <c r="BS565" i="1"/>
  <c r="BF566" i="1"/>
  <c r="BS566" i="1"/>
  <c r="BF567" i="1"/>
  <c r="BS567" i="1"/>
  <c r="BF568" i="1"/>
  <c r="BS568" i="1"/>
  <c r="BF735" i="1"/>
  <c r="BS735" i="1"/>
  <c r="BS712" i="1"/>
  <c r="BF569" i="1"/>
  <c r="BS569" i="1"/>
  <c r="BF4" i="1"/>
  <c r="BS4" i="1"/>
  <c r="BF570" i="1"/>
  <c r="BS570" i="1"/>
  <c r="BF823" i="1"/>
  <c r="BS823" i="1"/>
  <c r="BF571" i="1"/>
  <c r="BS571" i="1"/>
  <c r="BF572" i="1"/>
  <c r="BS572" i="1"/>
  <c r="BF573" i="1"/>
  <c r="BS573" i="1"/>
  <c r="BF72" i="1"/>
  <c r="BS72" i="1"/>
  <c r="BF179" i="1"/>
  <c r="BS179" i="1"/>
  <c r="BS180" i="1"/>
  <c r="BS295" i="1"/>
  <c r="BF260" i="1"/>
  <c r="BS260" i="1"/>
  <c r="BF181" i="1"/>
  <c r="BS181" i="1"/>
  <c r="BF182" i="1"/>
  <c r="BS182" i="1"/>
  <c r="BS438" i="1"/>
  <c r="BS16" i="1"/>
  <c r="BF141" i="1"/>
  <c r="BS141" i="1"/>
  <c r="BF183" i="1"/>
  <c r="BS183" i="1"/>
  <c r="BF442" i="1"/>
  <c r="BS442" i="1"/>
  <c r="BF73" i="1"/>
  <c r="BS73" i="1"/>
  <c r="BF184" i="1"/>
  <c r="BS184" i="1"/>
  <c r="BF294" i="1"/>
  <c r="BS294" i="1"/>
  <c r="BF261" i="1"/>
  <c r="BS261" i="1"/>
  <c r="BS425" i="1"/>
  <c r="BF794" i="1"/>
  <c r="BS794" i="1"/>
  <c r="BF945" i="1"/>
  <c r="BS945" i="1"/>
  <c r="BF574" i="1"/>
  <c r="BS574" i="1"/>
  <c r="BF185" i="1"/>
  <c r="BS185" i="1"/>
  <c r="BF186" i="1"/>
  <c r="BS186" i="1"/>
  <c r="BF393" i="1"/>
  <c r="BS393" i="1"/>
  <c r="BF717" i="1"/>
  <c r="BS717" i="1"/>
  <c r="BF925" i="1"/>
  <c r="BS925" i="1"/>
  <c r="BF472" i="1"/>
  <c r="BS472" i="1"/>
  <c r="BF824" i="1"/>
  <c r="BS824" i="1"/>
  <c r="BF409" i="1"/>
  <c r="BS409" i="1"/>
  <c r="BF736" i="1"/>
  <c r="BS736" i="1"/>
  <c r="BF262" i="1"/>
  <c r="BS262" i="1"/>
  <c r="BF410" i="1"/>
  <c r="BS410" i="1"/>
  <c r="BF74" i="1"/>
  <c r="BS74" i="1"/>
  <c r="BF25" i="1"/>
  <c r="BS25" i="1"/>
  <c r="BF913" i="1"/>
  <c r="BS913" i="1"/>
  <c r="BF439" i="1"/>
  <c r="BS439" i="1"/>
  <c r="BF575" i="1"/>
  <c r="BS575" i="1"/>
  <c r="BF324" i="1"/>
  <c r="BS324" i="1"/>
  <c r="BF861" i="1"/>
  <c r="BS861" i="1"/>
  <c r="BF576" i="1"/>
  <c r="BS576" i="1"/>
  <c r="BS357" i="1"/>
  <c r="BF432" i="1"/>
  <c r="BS432" i="1"/>
  <c r="BS325" i="1"/>
  <c r="BS443" i="1"/>
  <c r="BS187" i="1"/>
  <c r="BF577" i="1"/>
  <c r="BS577" i="1"/>
  <c r="BF263" i="1"/>
  <c r="BS263" i="1"/>
  <c r="BF188" i="1"/>
  <c r="BS188" i="1"/>
  <c r="BF798" i="1"/>
  <c r="BS798" i="1"/>
  <c r="BF189" i="1"/>
  <c r="BS189" i="1"/>
  <c r="BF578" i="1"/>
  <c r="BS578" i="1"/>
  <c r="BF825" i="1"/>
  <c r="BS825" i="1"/>
  <c r="BF126" i="1"/>
  <c r="BS126" i="1"/>
  <c r="BS770" i="1"/>
  <c r="BF579" i="1"/>
  <c r="BS579" i="1"/>
  <c r="BF580" i="1"/>
  <c r="BS580" i="1"/>
  <c r="BF844" i="1"/>
  <c r="BS844" i="1"/>
  <c r="BF456" i="1"/>
  <c r="BS456" i="1"/>
  <c r="BF926" i="1"/>
  <c r="BS926" i="1"/>
  <c r="BS498" i="1"/>
  <c r="BF284" i="1"/>
  <c r="BS284" i="1"/>
  <c r="BF326" i="1"/>
  <c r="BS326" i="1"/>
  <c r="BF678" i="1"/>
  <c r="BS678" i="1"/>
  <c r="BF758" i="1"/>
  <c r="BS758" i="1"/>
  <c r="BF679" i="1"/>
  <c r="BS679" i="1"/>
  <c r="BF433" i="1"/>
  <c r="BS433" i="1"/>
  <c r="BF581" i="1"/>
  <c r="BS581" i="1"/>
  <c r="BF826" i="1"/>
  <c r="BS826" i="1"/>
  <c r="BF385" i="1"/>
  <c r="BS385" i="1"/>
  <c r="BF827" i="1"/>
  <c r="BS827" i="1"/>
  <c r="BF582" i="1"/>
  <c r="BS582" i="1"/>
  <c r="BF828" i="1"/>
  <c r="BS828" i="1"/>
  <c r="BF444" i="1"/>
  <c r="BS444" i="1"/>
  <c r="BF6" i="1"/>
  <c r="BS6" i="1"/>
  <c r="BS927" i="1"/>
  <c r="BF829" i="1"/>
  <c r="BS829" i="1"/>
  <c r="BS448" i="1"/>
  <c r="BF928" i="1"/>
  <c r="BS928" i="1"/>
  <c r="BF929" i="1"/>
  <c r="BS929" i="1"/>
  <c r="BF830" i="1"/>
  <c r="BS830" i="1"/>
  <c r="BF930" i="1"/>
  <c r="BS930" i="1"/>
  <c r="BF583" i="1"/>
  <c r="BS583" i="1"/>
  <c r="BF75" i="1"/>
  <c r="BS75" i="1"/>
  <c r="BF846" i="1"/>
  <c r="BS846" i="1"/>
  <c r="BF7" i="1"/>
  <c r="BS7" i="1"/>
  <c r="BF584" i="1"/>
  <c r="BS584" i="1"/>
  <c r="BF831" i="1"/>
  <c r="BS831" i="1"/>
  <c r="BF120" i="1"/>
  <c r="BS120" i="1"/>
  <c r="BF13" i="1"/>
  <c r="BS13" i="1"/>
  <c r="BS411" i="1"/>
  <c r="BF661" i="1"/>
  <c r="BS661" i="1"/>
  <c r="BF127" i="1"/>
  <c r="BS127" i="1"/>
  <c r="BF886" i="1"/>
  <c r="BS886" i="1"/>
  <c r="BF327" i="1"/>
  <c r="BS327" i="1"/>
  <c r="BF245" i="1"/>
  <c r="BS245" i="1"/>
  <c r="BF585" i="1"/>
  <c r="BS585" i="1"/>
  <c r="BF190" i="1"/>
  <c r="BS190" i="1"/>
  <c r="BF191" i="1"/>
  <c r="BS191" i="1"/>
  <c r="BF586" i="1"/>
  <c r="BS586" i="1"/>
  <c r="BF587" i="1"/>
  <c r="BS587" i="1"/>
  <c r="BF718" i="1"/>
  <c r="BS718" i="1"/>
  <c r="BF192" i="1"/>
  <c r="BS192" i="1"/>
  <c r="BF275" i="1"/>
  <c r="BS275" i="1"/>
  <c r="BF371" i="1"/>
  <c r="BS371" i="1"/>
  <c r="BF906" i="1"/>
  <c r="BS906" i="1"/>
  <c r="BF328" i="1"/>
  <c r="BS328" i="1"/>
  <c r="BF193" i="1"/>
  <c r="BS193" i="1"/>
  <c r="BF281" i="1"/>
  <c r="BS281" i="1"/>
  <c r="BF832" i="1"/>
  <c r="BS832" i="1"/>
  <c r="BF588" i="1"/>
  <c r="BS588" i="1"/>
  <c r="BF931" i="1"/>
  <c r="BS931" i="1"/>
  <c r="BF892" i="1"/>
  <c r="BS892" i="1"/>
  <c r="BF802" i="1"/>
  <c r="BS802" i="1"/>
  <c r="BF589" i="1"/>
  <c r="BS589" i="1"/>
  <c r="BF372" i="1"/>
  <c r="BS372" i="1"/>
  <c r="BF194" i="1"/>
  <c r="BS194" i="1"/>
  <c r="BF590" i="1"/>
  <c r="BS590" i="1"/>
  <c r="BF591" i="1"/>
  <c r="BS591" i="1"/>
  <c r="BF195" i="1"/>
  <c r="BS195" i="1"/>
  <c r="BF291" i="1"/>
  <c r="BS291" i="1"/>
  <c r="BF592" i="1"/>
  <c r="BS592" i="1"/>
  <c r="BF737" i="1"/>
  <c r="BS737" i="1"/>
  <c r="BF196" i="1"/>
  <c r="BS196" i="1"/>
  <c r="BF688" i="1"/>
  <c r="BS688" i="1"/>
  <c r="BF686" i="1"/>
  <c r="BS686" i="1"/>
  <c r="BF593" i="1"/>
  <c r="BS593" i="1"/>
  <c r="BF499" i="1"/>
  <c r="BS499" i="1"/>
  <c r="BF594" i="1"/>
  <c r="BS594" i="1"/>
  <c r="BF478" i="1"/>
  <c r="BS478" i="1"/>
  <c r="BF457" i="1"/>
  <c r="BS457" i="1"/>
  <c r="BF197" i="1"/>
  <c r="BS197" i="1"/>
  <c r="BF198" i="1"/>
  <c r="BS198" i="1"/>
  <c r="BF662" i="1"/>
  <c r="BS662" i="1"/>
  <c r="BF595" i="1"/>
  <c r="BS595" i="1"/>
  <c r="BF596" i="1"/>
  <c r="BS596" i="1"/>
  <c r="BF907" i="1"/>
  <c r="BS907" i="1"/>
  <c r="BF597" i="1"/>
  <c r="BS597" i="1"/>
  <c r="BF391" i="1"/>
  <c r="BS391" i="1"/>
  <c r="BF412" i="1"/>
  <c r="BS412" i="1"/>
  <c r="BF598" i="1"/>
  <c r="BS598" i="1"/>
  <c r="BF599" i="1"/>
  <c r="BS599" i="1"/>
  <c r="BF680" i="1"/>
  <c r="BS680" i="1"/>
  <c r="BF447" i="1"/>
  <c r="BS447" i="1"/>
  <c r="BF859" i="1"/>
  <c r="BS859" i="1"/>
  <c r="BF471" i="1"/>
  <c r="BS471" i="1"/>
  <c r="BF842" i="1"/>
  <c r="BS842" i="1"/>
  <c r="BF76" i="1"/>
  <c r="BS76" i="1"/>
  <c r="BF399" i="1"/>
  <c r="BS399" i="1"/>
  <c r="BF759" i="1"/>
  <c r="BS759" i="1"/>
  <c r="BF932" i="1"/>
  <c r="BS932" i="1"/>
  <c r="BF429" i="1"/>
  <c r="BS429" i="1"/>
  <c r="BF199" i="1"/>
  <c r="BS199" i="1"/>
  <c r="BS719" i="1"/>
  <c r="BF862" i="1"/>
  <c r="BS862" i="1"/>
  <c r="BF388" i="1"/>
  <c r="BS388" i="1"/>
  <c r="BF847" i="1"/>
  <c r="BS847" i="1"/>
  <c r="BF445" i="1"/>
  <c r="BS445" i="1"/>
  <c r="BS426" i="1"/>
  <c r="BF863" i="1"/>
  <c r="BS863" i="1"/>
  <c r="BF933" i="1"/>
  <c r="BS933" i="1"/>
  <c r="BF600" i="1"/>
  <c r="BS600" i="1"/>
  <c r="BF833" i="1"/>
  <c r="BS833" i="1"/>
  <c r="BF690" i="1"/>
  <c r="BS690" i="1"/>
  <c r="BF244" i="1"/>
  <c r="BS244" i="1"/>
  <c r="BF413" i="1"/>
  <c r="BS413" i="1"/>
  <c r="BF414" i="1"/>
  <c r="BS414" i="1"/>
  <c r="BF864" i="1"/>
  <c r="BS864" i="1"/>
  <c r="BF800" i="1"/>
  <c r="BS800" i="1"/>
  <c r="BF887" i="1"/>
  <c r="BS887" i="1"/>
  <c r="BF200" i="1"/>
  <c r="BS200" i="1"/>
  <c r="BF738" i="1"/>
  <c r="BS738" i="1"/>
  <c r="BF415" i="1"/>
  <c r="BS415" i="1"/>
  <c r="BF492" i="1"/>
  <c r="BS492" i="1"/>
  <c r="BF473" i="1"/>
  <c r="BS473" i="1"/>
  <c r="BF739" i="1"/>
  <c r="BS739" i="1"/>
  <c r="BF740" i="1"/>
  <c r="BS740" i="1"/>
  <c r="BF720" i="1"/>
  <c r="BS720" i="1"/>
  <c r="BS354" i="1"/>
  <c r="BF878" i="1"/>
  <c r="BS878" i="1"/>
  <c r="BF77" i="1"/>
  <c r="BS77" i="1"/>
  <c r="BF416" i="1"/>
  <c r="BS416" i="1"/>
  <c r="BF435" i="1"/>
  <c r="BS435" i="1"/>
  <c r="BF264" i="1"/>
  <c r="BS264" i="1"/>
  <c r="BF601" i="1"/>
  <c r="BS601" i="1"/>
  <c r="BF201" i="1"/>
  <c r="BS201" i="1"/>
  <c r="BF202" i="1"/>
  <c r="BS202" i="1"/>
  <c r="BF681" i="1"/>
  <c r="BS681" i="1"/>
  <c r="BF265" i="1"/>
  <c r="BS265" i="1"/>
  <c r="BF934" i="1"/>
  <c r="BS934" i="1"/>
  <c r="BF329" i="1"/>
  <c r="BS329" i="1"/>
  <c r="BF682" i="1"/>
  <c r="BS682" i="1"/>
  <c r="BF346" i="1"/>
  <c r="BS346" i="1"/>
  <c r="BS721" i="1"/>
  <c r="BS203" i="1"/>
  <c r="BF355" i="1"/>
  <c r="BS355" i="1"/>
  <c r="BF204" i="1"/>
  <c r="BS204" i="1"/>
  <c r="BF395" i="1"/>
  <c r="BS395" i="1"/>
  <c r="BS8" i="1"/>
  <c r="BF205" i="1"/>
  <c r="BS205" i="1"/>
  <c r="BF206" i="1"/>
  <c r="BS206" i="1"/>
  <c r="BF207" i="1"/>
  <c r="BS207" i="1"/>
  <c r="BF208" i="1"/>
  <c r="BS208" i="1"/>
  <c r="BF908" i="1"/>
  <c r="BS908" i="1"/>
  <c r="BF909" i="1"/>
  <c r="BS909" i="1"/>
  <c r="BF482" i="1"/>
  <c r="BS482" i="1"/>
  <c r="BF209" i="1"/>
  <c r="BS209" i="1"/>
  <c r="BF401" i="1"/>
  <c r="BS401" i="1"/>
  <c r="BF922" i="1"/>
  <c r="BS922" i="1"/>
  <c r="BF266" i="1"/>
  <c r="BS266" i="1"/>
  <c r="BF910" i="1"/>
  <c r="BS910" i="1"/>
  <c r="BF602" i="1"/>
  <c r="BS602" i="1"/>
  <c r="BF603" i="1"/>
  <c r="BS603" i="1"/>
  <c r="BF78" i="1"/>
  <c r="BS78" i="1"/>
  <c r="BF210" i="1"/>
  <c r="BS210" i="1"/>
  <c r="BF125" i="1"/>
  <c r="BS125" i="1"/>
  <c r="BF211" i="1"/>
  <c r="BS211" i="1"/>
  <c r="BF79" i="1"/>
  <c r="BS79" i="1"/>
  <c r="BF212" i="1"/>
  <c r="BS212" i="1"/>
  <c r="BF714" i="1"/>
  <c r="BS714" i="1"/>
  <c r="BF80" i="1"/>
  <c r="BS80" i="1"/>
  <c r="BF458" i="1"/>
  <c r="BS458" i="1"/>
  <c r="BF865" i="1"/>
  <c r="BS865" i="1"/>
  <c r="BF81" i="1"/>
  <c r="BS81" i="1"/>
  <c r="BF935" i="1"/>
  <c r="BS935" i="1"/>
  <c r="BF459" i="1"/>
  <c r="BS459" i="1"/>
  <c r="BF789" i="1"/>
  <c r="BS789" i="1"/>
  <c r="BF760" i="1"/>
  <c r="BS760" i="1"/>
  <c r="BS604" i="1"/>
  <c r="BF857" i="1"/>
  <c r="BS857" i="1"/>
  <c r="BF82" i="1"/>
  <c r="BS82" i="1"/>
  <c r="BS707" i="1"/>
  <c r="BF83" i="1"/>
  <c r="BS83" i="1"/>
  <c r="BF936" i="1"/>
  <c r="BS936" i="1"/>
  <c r="BF761" i="1"/>
  <c r="BS761" i="1"/>
  <c r="BF605" i="1"/>
  <c r="BS605" i="1"/>
  <c r="BF787" i="1"/>
  <c r="BS787" i="1"/>
  <c r="BF213" i="1"/>
  <c r="BS213" i="1"/>
  <c r="BF606" i="1"/>
  <c r="BS606" i="1"/>
  <c r="BF428" i="1"/>
  <c r="BS428" i="1"/>
  <c r="BF855" i="1"/>
  <c r="BS855" i="1"/>
  <c r="BF689" i="1"/>
  <c r="BS689" i="1"/>
  <c r="BS792" i="1"/>
  <c r="BF5" i="1"/>
  <c r="BS5" i="1"/>
  <c r="BF741" i="1"/>
  <c r="BS741" i="1"/>
  <c r="BF84" i="1"/>
  <c r="BS84" i="1"/>
  <c r="BF214" i="1"/>
  <c r="BS214" i="1"/>
  <c r="BF722" i="1"/>
  <c r="BS722" i="1"/>
  <c r="BF85" i="1"/>
  <c r="BS85" i="1"/>
  <c r="BF742" i="1"/>
  <c r="BS742" i="1"/>
  <c r="BF130" i="1"/>
  <c r="BS130" i="1"/>
  <c r="BF215" i="1"/>
  <c r="BS215" i="1"/>
  <c r="BF216" i="1"/>
  <c r="BS216" i="1"/>
  <c r="BF217" i="1"/>
  <c r="BS217" i="1"/>
  <c r="BF360" i="1"/>
  <c r="BS360" i="1"/>
  <c r="BF607" i="1"/>
  <c r="BS607" i="1"/>
  <c r="BF330" i="1"/>
  <c r="BS330" i="1"/>
  <c r="BF430" i="1"/>
  <c r="BS430" i="1"/>
  <c r="BF888" i="1"/>
  <c r="BS888" i="1"/>
  <c r="BF347" i="1"/>
  <c r="BS347" i="1"/>
  <c r="BF218" i="1"/>
  <c r="BS218" i="1"/>
  <c r="BF608" i="1"/>
  <c r="BS608" i="1"/>
  <c r="BF773" i="1"/>
  <c r="BS773" i="1"/>
  <c r="BF219" i="1"/>
  <c r="BS219" i="1"/>
  <c r="BF220" i="1"/>
  <c r="BS220" i="1"/>
  <c r="BF683" i="1"/>
  <c r="BS683" i="1"/>
  <c r="BF221" i="1"/>
  <c r="BS221" i="1"/>
  <c r="BF20" i="1"/>
  <c r="BS20" i="1"/>
  <c r="BF246" i="1"/>
  <c r="BS246" i="1"/>
  <c r="BS222" i="1"/>
  <c r="BF609" i="1"/>
  <c r="BS609" i="1"/>
  <c r="BS427" i="1"/>
  <c r="BF797" i="1"/>
  <c r="BS797" i="1"/>
  <c r="BF292" i="1"/>
  <c r="BS292" i="1"/>
  <c r="BF115" i="1"/>
  <c r="BS115" i="1"/>
  <c r="BF694" i="1"/>
  <c r="BS694" i="1"/>
  <c r="BF293" i="1"/>
  <c r="BS293" i="1"/>
  <c r="BF484" i="1"/>
  <c r="BS484" i="1"/>
  <c r="BF223" i="1"/>
  <c r="BS223" i="1"/>
  <c r="BF86" i="1"/>
  <c r="BS86" i="1"/>
  <c r="BF87" i="1"/>
  <c r="BS87" i="1"/>
  <c r="BF224" i="1"/>
  <c r="BS224" i="1"/>
  <c r="BS31" i="1"/>
  <c r="BF26" i="1"/>
  <c r="BS26" i="1"/>
  <c r="BF778" i="1"/>
  <c r="BS778" i="1"/>
  <c r="BF610" i="1"/>
  <c r="BS610" i="1"/>
  <c r="BF119" i="1"/>
  <c r="BS119" i="1"/>
  <c r="BF866" i="1"/>
  <c r="BS866" i="1"/>
  <c r="BS704" i="1"/>
  <c r="BF743" i="1"/>
  <c r="BS743" i="1"/>
  <c r="BF331" i="1"/>
  <c r="BS331" i="1"/>
  <c r="BF937" i="1"/>
  <c r="BS937" i="1"/>
  <c r="BF867" i="1"/>
  <c r="BS867" i="1"/>
  <c r="BF22" i="1"/>
  <c r="BS22" i="1"/>
  <c r="BF868" i="1"/>
  <c r="BS868" i="1"/>
  <c r="BF709" i="1"/>
  <c r="BS709" i="1"/>
  <c r="BF267" i="1"/>
  <c r="BS267" i="1"/>
  <c r="BF611" i="1"/>
  <c r="BS611" i="1"/>
  <c r="BF417" i="1"/>
  <c r="BS417" i="1"/>
  <c r="BF225" i="1"/>
  <c r="BS225" i="1"/>
  <c r="BF373" i="1"/>
  <c r="BS373" i="1"/>
  <c r="BF226" i="1"/>
  <c r="BS226" i="1"/>
  <c r="BF332" i="1"/>
  <c r="BS332" i="1"/>
  <c r="BF834" i="1"/>
  <c r="BS834" i="1"/>
  <c r="BF227" i="1"/>
  <c r="BS227" i="1"/>
  <c r="BF228" i="1"/>
  <c r="BS228" i="1"/>
  <c r="BF914" i="1"/>
  <c r="BS914" i="1"/>
  <c r="BF612" i="1"/>
  <c r="BS612" i="1"/>
  <c r="BF333" i="1"/>
  <c r="BS333" i="1"/>
  <c r="BF118" i="1"/>
  <c r="BS118" i="1"/>
  <c r="BF116" i="1"/>
  <c r="BS116" i="1"/>
  <c r="BF613" i="1"/>
  <c r="BS613" i="1"/>
  <c r="BF268" i="1"/>
  <c r="BS268" i="1"/>
  <c r="BF145" i="1"/>
  <c r="BS145" i="1"/>
  <c r="BF88" i="1"/>
  <c r="BS88" i="1"/>
  <c r="BF229" i="1"/>
  <c r="BS229" i="1"/>
  <c r="BS334" i="1"/>
  <c r="BS335" i="1"/>
  <c r="BF803" i="1"/>
  <c r="BS803" i="1"/>
  <c r="BF348" i="1"/>
  <c r="BS348" i="1"/>
  <c r="BF230" i="1"/>
  <c r="BS230" i="1"/>
  <c r="BF231" i="1"/>
  <c r="BS231" i="1"/>
  <c r="BF232" i="1"/>
  <c r="BS232" i="1"/>
  <c r="BF848" i="1"/>
  <c r="BS848" i="1"/>
  <c r="BF835" i="1"/>
  <c r="BS835" i="1"/>
  <c r="BF751" i="1"/>
  <c r="BS751" i="1"/>
  <c r="BF147" i="1"/>
  <c r="BS147" i="1"/>
  <c r="BF381" i="1"/>
  <c r="BS381" i="1"/>
  <c r="BS336" i="1"/>
  <c r="BF705" i="1"/>
  <c r="BS705" i="1"/>
  <c r="BS446" i="1"/>
  <c r="BF131" i="1"/>
  <c r="BS131" i="1"/>
  <c r="BF614" i="1"/>
  <c r="BS614" i="1"/>
  <c r="BF269" i="1"/>
  <c r="BS269" i="1"/>
  <c r="BF490" i="1"/>
  <c r="BS490" i="1"/>
  <c r="BF233" i="1"/>
  <c r="BS233" i="1"/>
  <c r="BF723" i="1"/>
  <c r="BS723" i="1"/>
  <c r="BF441" i="1"/>
  <c r="BS441" i="1"/>
  <c r="BF858" i="1"/>
  <c r="BS858" i="1"/>
  <c r="BF89" i="1"/>
  <c r="BS89" i="1"/>
  <c r="BF615" i="1"/>
  <c r="BS615" i="1"/>
  <c r="BF21" i="1"/>
  <c r="BS21" i="1"/>
  <c r="BF853" i="1"/>
  <c r="BS853" i="1"/>
  <c r="BF724" i="1"/>
  <c r="BS724" i="1"/>
  <c r="BF234" i="1"/>
  <c r="BS234" i="1"/>
  <c r="BF616" i="1"/>
  <c r="BS616" i="1"/>
  <c r="BS337" i="1"/>
  <c r="BF367" i="1"/>
  <c r="BS367" i="1"/>
  <c r="BF617" i="1"/>
  <c r="BS617" i="1"/>
  <c r="BF384" i="1"/>
  <c r="BS384" i="1"/>
  <c r="BF618" i="1"/>
  <c r="BS618" i="1"/>
  <c r="BS338" i="1"/>
  <c r="BF619" i="1"/>
  <c r="BS619" i="1"/>
  <c r="BF938" i="1"/>
  <c r="BS938" i="1"/>
  <c r="BF235" i="1"/>
  <c r="BS235" i="1"/>
  <c r="BF236" i="1"/>
  <c r="BS236" i="1"/>
  <c r="BF237" i="1"/>
  <c r="BS237" i="1"/>
  <c r="BF90" i="1"/>
  <c r="BS90" i="1"/>
  <c r="BF620" i="1"/>
  <c r="BS620" i="1"/>
  <c r="BF396" i="1"/>
  <c r="BS396" i="1"/>
  <c r="BF238" i="1"/>
  <c r="BS238" i="1"/>
  <c r="BF239" i="1"/>
  <c r="BS239" i="1"/>
  <c r="BF869" i="1"/>
  <c r="BS869" i="1"/>
  <c r="BF361" i="1"/>
  <c r="BS361" i="1"/>
  <c r="BF436" i="1"/>
  <c r="BS436" i="1"/>
  <c r="BF339" i="1"/>
  <c r="BS339" i="1"/>
  <c r="BF460" i="1"/>
  <c r="BS460" i="1"/>
  <c r="BF146" i="1"/>
  <c r="BS146" i="1"/>
  <c r="BF915" i="1"/>
  <c r="BS915" i="1"/>
  <c r="BF374" i="1"/>
  <c r="BS374" i="1"/>
  <c r="BF340" i="1"/>
  <c r="BS340" i="1"/>
  <c r="BF397" i="1"/>
  <c r="BS397" i="1"/>
  <c r="BF496" i="1"/>
  <c r="BS496" i="1"/>
  <c r="BF765" i="1"/>
  <c r="BS765" i="1"/>
  <c r="BF870" i="1"/>
  <c r="BS870" i="1"/>
  <c r="BF801" i="1"/>
  <c r="BS801" i="1"/>
  <c r="BF91" i="1"/>
  <c r="BS91" i="1"/>
  <c r="BF911" i="1"/>
  <c r="BS911" i="1"/>
  <c r="BF92" i="1"/>
  <c r="BS92" i="1"/>
  <c r="BF621" i="1"/>
  <c r="BS621" i="1"/>
  <c r="BF434" i="1"/>
  <c r="BS434" i="1"/>
  <c r="BF836" i="1"/>
  <c r="BS836" i="1"/>
  <c r="BF121" i="1"/>
  <c r="BS121" i="1"/>
  <c r="BF695" i="1"/>
  <c r="BS695" i="1"/>
  <c r="BF466" i="1"/>
  <c r="BS466" i="1"/>
  <c r="BF27" i="1"/>
  <c r="BS27" i="1"/>
  <c r="BF389" i="1"/>
  <c r="BS389" i="1"/>
  <c r="BF33" i="1"/>
  <c r="BS33" i="1"/>
  <c r="BF889" i="1"/>
  <c r="BS889" i="1"/>
  <c r="BF837" i="1"/>
  <c r="BS837" i="1"/>
  <c r="BF364" i="1"/>
  <c r="BS364" i="1"/>
  <c r="BF365" i="1"/>
  <c r="BS365" i="1"/>
  <c r="BF418" i="1"/>
  <c r="BS418" i="1"/>
  <c r="BF93" i="1"/>
  <c r="BS93" i="1"/>
  <c r="BF437" i="1"/>
  <c r="BS437" i="1"/>
  <c r="BF400" i="1"/>
  <c r="BS400" i="1"/>
  <c r="BF240" i="1"/>
  <c r="BS240" i="1"/>
  <c r="BF270" i="1"/>
  <c r="BS270" i="1"/>
  <c r="BF622" i="1"/>
  <c r="BS622" i="1"/>
  <c r="BF467" i="1"/>
  <c r="BS467" i="1"/>
  <c r="BF623" i="1"/>
  <c r="BS623" i="1"/>
  <c r="BS440" i="1"/>
  <c r="BF241" i="1"/>
  <c r="BS241" i="1"/>
  <c r="BF624" i="1"/>
  <c r="BS624" i="1"/>
  <c r="BF625" i="1"/>
  <c r="BS625" i="1"/>
  <c r="BF626" i="1"/>
  <c r="BS626" i="1"/>
  <c r="BF627" i="1"/>
  <c r="BS627" i="1"/>
  <c r="BF9" i="1"/>
  <c r="BS9" i="1"/>
  <c r="BF663" i="1"/>
  <c r="BS663" i="1"/>
  <c r="BF628" i="1"/>
  <c r="BS628" i="1"/>
  <c r="BF629" i="1"/>
  <c r="BS629" i="1"/>
  <c r="BF630" i="1"/>
  <c r="BS630" i="1"/>
  <c r="BS376" i="1"/>
  <c r="BF725" i="1"/>
  <c r="BS725" i="1"/>
  <c r="BF94" i="1"/>
  <c r="BS94" i="1"/>
  <c r="BF744" i="1"/>
  <c r="BS744" i="1"/>
  <c r="BF631" i="1"/>
  <c r="BS631" i="1"/>
  <c r="BF632" i="1"/>
  <c r="BS632" i="1"/>
  <c r="BF633" i="1"/>
  <c r="BS633" i="1"/>
  <c r="BF634" i="1"/>
  <c r="BS634" i="1"/>
  <c r="BF635" i="1"/>
  <c r="BS635" i="1"/>
  <c r="BF636" i="1"/>
  <c r="BS636" i="1"/>
  <c r="BF637" i="1"/>
  <c r="BS637" i="1"/>
  <c r="BS3" i="1"/>
  <c r="BF871" i="1"/>
  <c r="BS871" i="1"/>
  <c r="BF461" i="1"/>
  <c r="BS461" i="1"/>
  <c r="BF493" i="1"/>
  <c r="BS493" i="1"/>
  <c r="BS419" i="1"/>
  <c r="BF475" i="1"/>
  <c r="BS475" i="1"/>
  <c r="BF95" i="1"/>
  <c r="BS95" i="1"/>
  <c r="BF271" i="1"/>
  <c r="BS271" i="1"/>
  <c r="BF96" i="1"/>
  <c r="BS96" i="1"/>
  <c r="BF779" i="1"/>
  <c r="BS779" i="1"/>
  <c r="BF137" i="1"/>
  <c r="BS137" i="1"/>
  <c r="BF97" i="1"/>
  <c r="BS97" i="1"/>
  <c r="BF468" i="1"/>
  <c r="BS468" i="1"/>
  <c r="BF748" i="1"/>
  <c r="BS748" i="1"/>
  <c r="BF638" i="1"/>
  <c r="BS638" i="1"/>
  <c r="BF872" i="1"/>
  <c r="BS872" i="1"/>
  <c r="BF242" i="1"/>
  <c r="BS242" i="1"/>
  <c r="BF272" i="1"/>
  <c r="BS272" i="1"/>
  <c r="BF745" i="1"/>
  <c r="BS745" i="1"/>
  <c r="BF420" i="1"/>
  <c r="BS420" i="1"/>
  <c r="BF783" i="1"/>
  <c r="BS783" i="1"/>
  <c r="BF639" i="1"/>
  <c r="BS639" i="1"/>
  <c r="BF640" i="1"/>
  <c r="BS640" i="1"/>
  <c r="BF641" i="1"/>
  <c r="BS641" i="1"/>
  <c r="BF642" i="1"/>
  <c r="BS642" i="1"/>
  <c r="BS2" i="1"/>
  <c r="BF643" i="1"/>
  <c r="BS643" i="1"/>
  <c r="BF893" i="1"/>
  <c r="BS893" i="1"/>
  <c r="BF644" i="1"/>
  <c r="BS644" i="1"/>
  <c r="BF398" i="1"/>
  <c r="BS398" i="1"/>
  <c r="BF726" i="1"/>
  <c r="BS726" i="1"/>
  <c r="BF28" i="1"/>
  <c r="BS28" i="1"/>
  <c r="BS138" i="1"/>
  <c r="BF795" i="1"/>
  <c r="BS795" i="1"/>
  <c r="BF297" i="1"/>
  <c r="BS297" i="1"/>
  <c r="BS421" i="1"/>
  <c r="BF943" i="1"/>
  <c r="BS943" i="1"/>
  <c r="BF98" i="1"/>
  <c r="BS98" i="1"/>
  <c r="BF99" i="1"/>
  <c r="BS99" i="1"/>
  <c r="BF100" i="1"/>
  <c r="BS100" i="1"/>
  <c r="BF796" i="1"/>
  <c r="BS796" i="1"/>
  <c r="BF366" i="1"/>
  <c r="BS366" i="1"/>
  <c r="BF645" i="1"/>
  <c r="BS645" i="1"/>
  <c r="BF39" i="1"/>
  <c r="BS39" i="1"/>
  <c r="BF776" i="1"/>
  <c r="BS776" i="1"/>
  <c r="BF362" i="1"/>
  <c r="BS362" i="1"/>
  <c r="BF101" i="1"/>
  <c r="BS101" i="1"/>
  <c r="BF102" i="1"/>
  <c r="BS102" i="1"/>
  <c r="BF341" i="1"/>
  <c r="BS341" i="1"/>
  <c r="BF746" i="1"/>
  <c r="BS746" i="1"/>
  <c r="BF646" i="1"/>
  <c r="BS646" i="1"/>
  <c r="BS132" i="1"/>
  <c r="BF491" i="1"/>
  <c r="BS491" i="1"/>
  <c r="BF479" i="1"/>
  <c r="BS479" i="1"/>
  <c r="BF243" i="1"/>
  <c r="BS243" i="1"/>
  <c r="BF780" i="1"/>
  <c r="BS780" i="1"/>
  <c r="BF838" i="1"/>
  <c r="BS838" i="1"/>
  <c r="BS422" i="1"/>
  <c r="BF24" i="1"/>
  <c r="BS24" i="1"/>
  <c r="BF647" i="1"/>
  <c r="BS647" i="1"/>
  <c r="BF273" i="1"/>
  <c r="BS273" i="1"/>
  <c r="BF274" i="1"/>
  <c r="BS274" i="1"/>
  <c r="BF342" i="1"/>
  <c r="BS342" i="1"/>
  <c r="BF747" i="1"/>
  <c r="BS747" i="1"/>
  <c r="BS343" i="1"/>
  <c r="BS793" i="1"/>
  <c r="BF648" i="1"/>
  <c r="BS648" i="1"/>
  <c r="BF382" i="1"/>
  <c r="BS382" i="1"/>
  <c r="BF103" i="1"/>
  <c r="BS103" i="1"/>
  <c r="BF133" i="1"/>
  <c r="BS133" i="1"/>
  <c r="BF474" i="1"/>
  <c r="BS474" i="1"/>
  <c r="BF649" i="1"/>
  <c r="BS649" i="1"/>
  <c r="BF375" i="1"/>
  <c r="BS375" i="1"/>
  <c r="BF650" i="1"/>
  <c r="BS650" i="1"/>
  <c r="BF651" i="1"/>
  <c r="BS651" i="1"/>
  <c r="BF423" i="1"/>
  <c r="BS423" i="1"/>
  <c r="BF104" i="1"/>
  <c r="BS104" i="1"/>
  <c r="BF652" i="1"/>
  <c r="BS652" i="1"/>
  <c r="BF392" i="1"/>
  <c r="BS392" i="1"/>
  <c r="BF462" i="1"/>
  <c r="BS462" i="1"/>
  <c r="BF29" i="1"/>
  <c r="BS29" i="1"/>
  <c r="BF944" i="1"/>
  <c r="BS944" i="1"/>
  <c r="BF791" i="1"/>
  <c r="BS791" i="1"/>
  <c r="BF476" i="1"/>
  <c r="BS476" i="1"/>
  <c r="BF839" i="1"/>
  <c r="BS839" i="1"/>
  <c r="BF664" i="1"/>
  <c r="BS664" i="1"/>
  <c r="BF653" i="1"/>
  <c r="BS653" i="1"/>
  <c r="BF840" i="1"/>
  <c r="BS840" i="1"/>
  <c r="BF785" i="1"/>
  <c r="BS785" i="1"/>
  <c r="BF654" i="1"/>
  <c r="BS654" i="1"/>
  <c r="BF142" i="1"/>
  <c r="BS142" i="1"/>
  <c r="BF105" i="1"/>
  <c r="BS105" i="1"/>
  <c r="BS762" i="1"/>
  <c r="BF40" i="1"/>
  <c r="BS40" i="1"/>
  <c r="BF942" i="1"/>
  <c r="BS942" i="1"/>
  <c r="BF916" i="1"/>
  <c r="BS916" i="1"/>
  <c r="BF655" i="1"/>
  <c r="BS655" i="1"/>
  <c r="BF656" i="1"/>
  <c r="BS656" i="1"/>
  <c r="BF134" i="1"/>
  <c r="BS134" i="1"/>
  <c r="BF480" i="1"/>
  <c r="BS480" i="1"/>
  <c r="BF763" i="1"/>
  <c r="BS763" i="1"/>
  <c r="BF696" i="1"/>
  <c r="BS696" i="1"/>
  <c r="BF912" i="1"/>
  <c r="BS912" i="1"/>
  <c r="BF35" i="1"/>
  <c r="BS35" i="1"/>
  <c r="BF852" i="1"/>
  <c r="BS852" i="1"/>
  <c r="BF856" i="1"/>
  <c r="BS856" i="1"/>
  <c r="BF106" i="1"/>
  <c r="BS106" i="1"/>
  <c r="BF107" i="1"/>
  <c r="BS107" i="1"/>
  <c r="BF108" i="1"/>
  <c r="BS108" i="1"/>
  <c r="BF463" i="1"/>
  <c r="BS463" i="1"/>
  <c r="BF841" i="1"/>
  <c r="BS841" i="1"/>
  <c r="BF843" i="1"/>
  <c r="BS843" i="1"/>
  <c r="BF697" i="1"/>
  <c r="BS697" i="1"/>
  <c r="BF657" i="1"/>
  <c r="BS657" i="1"/>
  <c r="BF379" i="1"/>
  <c r="BS379" i="1"/>
  <c r="BF501" i="1"/>
  <c r="BS501" i="1"/>
  <c r="BF502" i="1"/>
  <c r="BS502" i="1"/>
  <c r="BF481" i="1"/>
  <c r="BS481" i="1"/>
  <c r="BF764" i="1"/>
  <c r="BS764" i="1"/>
  <c r="BF873" i="1"/>
  <c r="BS873" i="1"/>
  <c r="BF700" i="1"/>
  <c r="BS700" i="1"/>
  <c r="BF790" i="1"/>
  <c r="BS790" i="1"/>
  <c r="BF503" i="1"/>
  <c r="BS503" i="1"/>
  <c r="BF504" i="1"/>
  <c r="BS504" i="1"/>
  <c r="BF658" i="1"/>
  <c r="BS658" i="1"/>
  <c r="BF692" i="1"/>
  <c r="BS692" i="1"/>
  <c r="BF874" i="1"/>
  <c r="BS874" i="1"/>
  <c r="BF109" i="1"/>
  <c r="BS109" i="1"/>
  <c r="BF698" i="1"/>
  <c r="BS698" i="1"/>
  <c r="BF875" i="1"/>
  <c r="BS875" i="1"/>
  <c r="BF713" i="1"/>
  <c r="BS713" i="1"/>
  <c r="BF699" i="1"/>
  <c r="BS699" i="1"/>
  <c r="BF774" i="1"/>
  <c r="BS774" i="1"/>
</calcChain>
</file>

<file path=xl/sharedStrings.xml><?xml version="1.0" encoding="utf-8"?>
<sst xmlns="http://schemas.openxmlformats.org/spreadsheetml/2006/main" count="55764" uniqueCount="17623">
  <si>
    <t>Publication Type</t>
  </si>
  <si>
    <t>Authors</t>
  </si>
  <si>
    <t>Book Authors</t>
  </si>
  <si>
    <t>Book Editors</t>
  </si>
  <si>
    <t>Book Group Authors</t>
  </si>
  <si>
    <t>Author Full Names</t>
  </si>
  <si>
    <t>Book Author Full Names</t>
  </si>
  <si>
    <t>Group Authors</t>
  </si>
  <si>
    <t>Article Title</t>
  </si>
  <si>
    <t>Source Title</t>
  </si>
  <si>
    <t>Book Series Title</t>
  </si>
  <si>
    <t>Book Series Subtitle</t>
  </si>
  <si>
    <t>Language</t>
  </si>
  <si>
    <t>Document Type</t>
  </si>
  <si>
    <t>Conference Title</t>
  </si>
  <si>
    <t>Conference Date</t>
  </si>
  <si>
    <t>Conference Location</t>
  </si>
  <si>
    <t>Conference Sponsor</t>
  </si>
  <si>
    <t>Conference Host</t>
  </si>
  <si>
    <t>Author Keywords</t>
  </si>
  <si>
    <t>Keywords Plus</t>
  </si>
  <si>
    <t>Abstract</t>
  </si>
  <si>
    <t>Addresses</t>
  </si>
  <si>
    <t>Affiliations</t>
  </si>
  <si>
    <t>Reprint Addresses</t>
  </si>
  <si>
    <t>Email Addresses</t>
  </si>
  <si>
    <t>Researcher Ids</t>
  </si>
  <si>
    <t>ORCIDs</t>
  </si>
  <si>
    <t>Funding Orgs</t>
  </si>
  <si>
    <t>Funding Name Preferred</t>
  </si>
  <si>
    <t>Funding Text</t>
  </si>
  <si>
    <t>Cited References</t>
  </si>
  <si>
    <t>Cited Reference Count</t>
  </si>
  <si>
    <t>Times Cited, WoS Core</t>
  </si>
  <si>
    <t>Times Cited, All Databases</t>
  </si>
  <si>
    <t>180 Day Usage Count</t>
  </si>
  <si>
    <t>Since 2013 Usage Count</t>
  </si>
  <si>
    <t>Publisher</t>
  </si>
  <si>
    <t>Publisher City</t>
  </si>
  <si>
    <t>Publisher Address</t>
  </si>
  <si>
    <t>ISSN</t>
  </si>
  <si>
    <t>eISSN</t>
  </si>
  <si>
    <t>ISBN</t>
  </si>
  <si>
    <t>Journal Abbreviation</t>
  </si>
  <si>
    <t>Journal ISO Abbreviation</t>
  </si>
  <si>
    <t>Publication Date</t>
  </si>
  <si>
    <t>Publication Year</t>
  </si>
  <si>
    <t>Volume</t>
  </si>
  <si>
    <t>Issue</t>
  </si>
  <si>
    <t>Part Number</t>
  </si>
  <si>
    <t>Supplement</t>
  </si>
  <si>
    <t>Special Issue</t>
  </si>
  <si>
    <t>Meeting Abstract</t>
  </si>
  <si>
    <t>Start Page</t>
  </si>
  <si>
    <t>End Page</t>
  </si>
  <si>
    <t>Article Number</t>
  </si>
  <si>
    <t>DOI</t>
  </si>
  <si>
    <t>DOI Link</t>
  </si>
  <si>
    <t>Book DOI</t>
  </si>
  <si>
    <t>Early Access Date</t>
  </si>
  <si>
    <t>Number of Pages</t>
  </si>
  <si>
    <t>WoS Categories</t>
  </si>
  <si>
    <t>IDS Number</t>
  </si>
  <si>
    <t>Pubmed Id</t>
  </si>
  <si>
    <t>Open Access Designations</t>
  </si>
  <si>
    <t>Highly Cited Status</t>
  </si>
  <si>
    <t>Hot Paper Status</t>
  </si>
  <si>
    <t>Date of Export</t>
  </si>
  <si>
    <t>UT (Unique WOS ID)</t>
  </si>
  <si>
    <t>Web of Science Record</t>
  </si>
  <si>
    <t>J</t>
  </si>
  <si>
    <t>Daigneault, PM; Duval, D; Imbeau, LM</t>
  </si>
  <si>
    <t/>
  </si>
  <si>
    <t>Daigneault, Pierre-Marc; Duval, Dominic; Imbeau, Louis M.</t>
  </si>
  <si>
    <t>Supervised scaling of semi-structured interview transcripts to characterize the ideology of a social policy reform</t>
  </si>
  <si>
    <t>QUALITY &amp; QUANTITY</t>
  </si>
  <si>
    <t>English</t>
  </si>
  <si>
    <t>Article</t>
  </si>
  <si>
    <t>Automated content analysis; Supervised scaling; Quantitative text analysis; Social policy; Mixed methods; Case study</t>
  </si>
  <si>
    <t>ROBUST TRANSFORMATION PROCEDURE; INTERPRETING POLITICAL TEXT; ACTIVE SOCIETY; POSITIONS; WORDS; TIME</t>
  </si>
  <si>
    <t>Automated content analysis methods treat text as data and can therefore analyze efficiently large qualitative databases. Yet, despite their potential, these methods are rarely used to supplement qualitative analysis in small-N designs. We address this gap by replicating the qualitative findings of a case study of a social policy reform using automated content analysis. To characterize the ideology of this reform, we reanalyze the same interview data with Wordscores, using academic publications as reference texts. As expected, the reform's ideology is center/center-right, a result that we validate using content, convergent and discriminant strategies. The validation evidence suggests not only that the ideological positioning of the policy reform is credible, but also that Wordscores' scope of application is greater than expected.</t>
  </si>
  <si>
    <t>[Daigneault, Pierre-Marc; Duval, Dominic; Imbeau, Louis M.] Univ Laval, Ctr Publ Policy Anal CAPP, Pavillon Charles de Koninck,Off 4459, Quebec City, PQ G1V 0A6, Canada; [Daigneault, Pierre-Marc; Duval, Dominic; Imbeau, Louis M.] Univ Laval, Dept Polit Sci, Pavillon Charles de Koninck,Off 4459, Quebec City, PQ G1V 0A6, Canada</t>
  </si>
  <si>
    <t>Laval University; Laval University</t>
  </si>
  <si>
    <t>Daigneault, PM (corresponding author), Univ Laval, Ctr Publ Policy Anal CAPP, Pavillon Charles de Koninck,Off 4459, Quebec City, PQ G1V 0A6, Canada.;Daigneault, PM (corresponding author), Univ Laval, Dept Polit Sci, Pavillon Charles de Koninck,Off 4459, Quebec City, PQ G1V 0A6, Canada.</t>
  </si>
  <si>
    <t>pierre-marc.daigneault@pol.ulaval.ca; dominic.duval.3@ulaval.ca; louis.imbeau@pol.ulaval.ca</t>
  </si>
  <si>
    <t>Duval, Dominic/0000-0003-0788-8631</t>
  </si>
  <si>
    <t>Research Team Support Program of the Fonds de recherche du Quebec-Societe et culture (FRQSC)</t>
  </si>
  <si>
    <t>Funding from the Research Team Support Program of the Fonds de recherche du Quebec-Societe et culture (FRQSC) is gratefully acknowledged.</t>
  </si>
  <si>
    <t>SPRINGER</t>
  </si>
  <si>
    <t>DORDRECHT</t>
  </si>
  <si>
    <t>VAN GODEWIJCKSTRAAT 30, 3311 GZ DORDRECHT, NETHERLANDS</t>
  </si>
  <si>
    <t>0033-5177</t>
  </si>
  <si>
    <t>1573-7845</t>
  </si>
  <si>
    <t>QUAL QUANT</t>
  </si>
  <si>
    <t>Qual. Quant.</t>
  </si>
  <si>
    <t>SEP</t>
  </si>
  <si>
    <t>10.1007/s11135-017-0650-0</t>
  </si>
  <si>
    <t>Social Sciences, Interdisciplinary; Statistics &amp; Probability</t>
  </si>
  <si>
    <t>Social Sciences - Other Topics; Mathematics</t>
  </si>
  <si>
    <t>GO6AB</t>
  </si>
  <si>
    <t>2022-12-01</t>
  </si>
  <si>
    <t>WOS:000440115300012</t>
  </si>
  <si>
    <t>Schoonvelde, M; Schumacher, G; Bakker, BN</t>
  </si>
  <si>
    <t>Schoonvelde, Martijn; Schumacher, Gijs; Bakker, Bert N.</t>
  </si>
  <si>
    <t>Friends With Text as Data Benefits: Assessing and Extending the Use of Automated Text Analysis in Political Science and Political Psychology</t>
  </si>
  <si>
    <t>JOURNAL OF SOCIAL AND POLITICAL PSYCHOLOGY</t>
  </si>
  <si>
    <t>Editorial Material</t>
  </si>
  <si>
    <t>automated text analysis; political psychology; political science; text as data; literature review</t>
  </si>
  <si>
    <t>INDIVIDUAL-DIFFERENCES; PERSONALITY; WORDS; COMPLEXITY; POSITIONS; PITFALLS; LANGUAGE; DISTANCE; MODEL; BUSH</t>
  </si>
  <si>
    <t>Applications of automated text analysis measuring topics, ideology, sentiment or even personality are booming in fields like political science and political psychology. These developments are to be applauded as they bring about novel insights about politics using new sources of (unstructured) data. However, a divide exists between work in both disciplines using text as data. In this paper we argue in favor of more integration across disciplinary boundaries, structuring our case around four key issues in the research process: (i) sampling text; (ii) authorship as meta data; (iii) pre-processing text; (iv) analyzing text. Along the way we demonstrate that an assessment of speaker characteristics may crucially depend on the text sources under study, and that the use of sentiment words correlates with estimates of policy positions, with implications for interpretation of the latter. As such, this paper contributes to a critical discussion about the merits of automated text analysis methods in political psychology and political science, with an eye towards advancing the considerable potential of text as data in the study of politics.</t>
  </si>
  <si>
    <t>[Schoonvelde, Martijn] Univ Coll Dublin, Sch Polit &amp; Int Relat, Newman Bldg Belfield, Dublin 4, Ireland; [Schumacher, Gijs] Univ Amsterdam, Dept Polit Sci, Amsterdam, Netherlands; [Bakker, Bert N.] Univ Amsterdam, Amsterdam Sch Commun Res, Amsterdam, Netherlands</t>
  </si>
  <si>
    <t>University College Dublin; University of Amsterdam; University of Amsterdam</t>
  </si>
  <si>
    <t>Schoonvelde, M (corresponding author), Univ Coll Dublin, Sch Polit &amp; Int Relat, Newman Bldg Belfield, Dublin 4, Ireland.</t>
  </si>
  <si>
    <t>Bakker, Bert/AAJ-2408-2021</t>
  </si>
  <si>
    <t>Bakker, Bert/0000-0002-6491-5045; Schoonvelde, Martijn/0000-0003-4370-2654</t>
  </si>
  <si>
    <t>European Union [649281]</t>
  </si>
  <si>
    <t>European Union(European Commission)</t>
  </si>
  <si>
    <t>For conducting this research, Schoonvelde and Schumacher received funding from the European Union's Horizon2020 research and innovation program under grant agreement No 649281, EUENGAGE.</t>
  </si>
  <si>
    <t>PSYCHOPEN</t>
  </si>
  <si>
    <t>TRIER</t>
  </si>
  <si>
    <t>UNIVERSITAETSRING 15, TRIER, 54296, GERMANY</t>
  </si>
  <si>
    <t>2195-3325</t>
  </si>
  <si>
    <t>J SOC POLIT PSYCHOL</t>
  </si>
  <si>
    <t>J. Soc. Polit. Psychol.</t>
  </si>
  <si>
    <t>10.5964/jspp.v7i1.964</t>
  </si>
  <si>
    <t>Psychology, Social</t>
  </si>
  <si>
    <t>Psychology</t>
  </si>
  <si>
    <t>KN6FF</t>
  </si>
  <si>
    <t>Green Published, Green Submitted, gold</t>
  </si>
  <si>
    <t>WOS:000514931000008</t>
  </si>
  <si>
    <t>Humphreys, A; Wang, RJH</t>
  </si>
  <si>
    <t>Humphreys, Ashlee; Wang, Rebecca Jen-Hui</t>
  </si>
  <si>
    <t>Automated Text Analysis for Consumer Research</t>
  </si>
  <si>
    <t>JOURNAL OF CONSUMER RESEARCH</t>
  </si>
  <si>
    <t>automated text analysis; computer-assisted text analysis; automated content analysis; computational linguistics</t>
  </si>
  <si>
    <t>LANGUAGE USE; SOCIAL-STRATIFICATION; CONSUMPTION PRACTICES; MARKETING-RESEARCH; ONLINE REVIEWS; SEPTEMBER 11; WORDS; MEDIA; RATINGS; DYNAMICS</t>
  </si>
  <si>
    <t>The amount of digital text available for analysis by consumer researchers has risen dramatically. Consumer discussions on the internet, product reviews, and digital archives of news articles and press releases are just a few potential sources for insights about consumer attitudes, interaction, and culture. Drawing from linguistic theory and methods, this article presents an overview of automated text analysis, providing integration of linguistic theory with constructs commonly used in consumer research, guidance for choosing amongst methods, and advice for resolving sampling and statistical issues unique to text analysis. We argue that although automated text analysis cannot be used to study all phenomena, it is a useful tool for examining patterns in text that neither researchers nor consumers can detect unaided. Text analysis can be used to examine psychological and sociological constructs in consumer-produced digital text by enabling discovery or by providing ecological validity.</t>
  </si>
  <si>
    <t>[Humphreys, Ashlee] Northwestern Univ, Medill Sch Journalism Media &amp; Integrated Mkt Comm, Integrated Mkt Commun, MTC 3-109,1870 Campus Dr, Evanston, IL 60208 USA; [Wang, Rebecca Jen-Hui] Lehigh Univ, 621 Taylor St, Bethlehem, PA 18015 USA</t>
  </si>
  <si>
    <t>Northwestern University; Lehigh University</t>
  </si>
  <si>
    <t>Humphreys, A (corresponding author), Northwestern Univ, Medill Sch Journalism Media &amp; Integrated Mkt Comm, Integrated Mkt Commun, MTC 3-109,1870 Campus Dr, Evanston, IL 60208 USA.</t>
  </si>
  <si>
    <t>humphreys@northwestern.edu; rwang@lehigh.edu</t>
  </si>
  <si>
    <t>Wang, Rebecca Jen-Hui/0000-0002-7006-8460</t>
  </si>
  <si>
    <t>OXFORD UNIV PRESS INC</t>
  </si>
  <si>
    <t>CARY</t>
  </si>
  <si>
    <t>JOURNALS DEPT, 2001 EVANS RD, CARY, NC 27513 USA</t>
  </si>
  <si>
    <t>0093-5301</t>
  </si>
  <si>
    <t>1537-5277</t>
  </si>
  <si>
    <t>J CONSUM RES</t>
  </si>
  <si>
    <t>J. Consum. Res.</t>
  </si>
  <si>
    <t>APR</t>
  </si>
  <si>
    <t>10.1093/jcr/ucx104</t>
  </si>
  <si>
    <t>Business</t>
  </si>
  <si>
    <t>Business &amp; Economics</t>
  </si>
  <si>
    <t>GF9YC</t>
  </si>
  <si>
    <t>WOS:000432334000006</t>
  </si>
  <si>
    <t>Trilling, D; Boumans, J</t>
  </si>
  <si>
    <t>Trilling, Damian; Boumans, Jelle</t>
  </si>
  <si>
    <t>Automated analysis of Dutch language-based texts. An overview and research agenda</t>
  </si>
  <si>
    <t>TIJDSCHRIFT VOOR COMMUNICATIEWETENSCHAP</t>
  </si>
  <si>
    <t>Dutch</t>
  </si>
  <si>
    <t>automated content analysis; Dutch; dictionaries; supervised machine learning; unsupervised machine learning</t>
  </si>
  <si>
    <t>NEWSPAPER ARTICLES; POLITICAL TEXTS; FRAME ANALYSIS; NEWS; FLEMISH; MEDIA; SENTIMENT; MACHINE; CRISIS; COMMUNICATION</t>
  </si>
  <si>
    <t>While automated methods of content analysis are increasingly popular in today's communication research, these methods have hardly been adopted by communication scholars studying texts in Dutch. This essay offers an overview of the possibilities and current limitations of automated text analysis approaches in the context of the Dutch language. Particularly in dictionary-based approaches, research is far less prolific as research on the English language. We divide the most common types of content-analytical research questions into three categories: 1) research problems for which automated methods ought to be used, 2) research problems for which automated methods could be used, and 3) research problems for which automated methods (currently) cannot be used. Finally, we give suggestions for the advancement of automated text analysis approaches for Dutch texts.</t>
  </si>
  <si>
    <t>[Trilling, Damian; Boumans, Jelle] Univ Amsterdam, Amsterdam Sch Commun Res, Afdeling Commun Wetenschap, Postbus 15791, NL-1001 NG Amsterdam, Netherlands</t>
  </si>
  <si>
    <t>University of Amsterdam</t>
  </si>
  <si>
    <t>Trilling, D (corresponding author), Univ Amsterdam, Amsterdam Sch Commun Res, Afdeling Commun Wetenschap, Postbus 15791, NL-1001 NG Amsterdam, Netherlands.</t>
  </si>
  <si>
    <t>d.c.trilling@uva.nl; j.w.boumans@uva.nl</t>
  </si>
  <si>
    <t>UITGEVERIJ BOOM BV</t>
  </si>
  <si>
    <t>AMSTERDAM</t>
  </si>
  <si>
    <t>PRINSENGRACHT 747-751, AMSTERDAM, 1017 JX, NETHERLANDS</t>
  </si>
  <si>
    <t>1384-6930</t>
  </si>
  <si>
    <t>TIJDSCHR COMMUNWET</t>
  </si>
  <si>
    <t>Tidschr. Communwet.</t>
  </si>
  <si>
    <t>+</t>
  </si>
  <si>
    <t>Communication</t>
  </si>
  <si>
    <t>GA8LB</t>
  </si>
  <si>
    <t>WOS:000428590600002</t>
  </si>
  <si>
    <t>Rabini, C; Brummer, K; Dimmroth, K; Hansel, M</t>
  </si>
  <si>
    <t>Rabini, Christian; Brummer, Klaus; Dimmroth, Katharina; Hansel, Mischa</t>
  </si>
  <si>
    <t>Profiling foreign policy leaders in their own language: New insights into the stability and formation of leadership traits</t>
  </si>
  <si>
    <t>BRITISH JOURNAL OF POLITICS &amp; INTERNATIONAL RELATIONS</t>
  </si>
  <si>
    <t>automated content analysis; coding schemes; foreign policy analysis; German foreign policy; leadership traits; profiler plus</t>
  </si>
  <si>
    <t>CONCEPTUAL COMPLEXITY; PERSONALITY; CLINTON; TRAUMA</t>
  </si>
  <si>
    <t>Leaders matter in international politics. One of the main tools for assessing at-a-distance psychological characteristics of political leaders is Leadership Trait Analysis. To facilitate empirical studies, a Leadership Trait Analysis coding scheme for automated text analysis was developed to replace hand-coding. However, the coding scheme has been available only for English-language texts. To broaden research opportunities, this article presents a novel Leadership Trait Analysis coding scheme for the German language. This coding scheme allows engaging in empirical analysis based on original German language sources, thereby shedding new or different light on German foreign policy. At the same time, it contributes to moving automated content analysis beyond the English language more generally.</t>
  </si>
  <si>
    <t>[Rabini, Christian; Brummer, Klaus; Dimmroth, Katharina] Catholic Univ Eichstatt Ingolstadt, Fac Hist &amp; Social Sci, Eichstatt, Germany; [Hansel, Mischa] Dev &amp; Peace Fdn, Bonn, Germany</t>
  </si>
  <si>
    <t>Rabini, C (corresponding author), Catholic Univ Eichstatt Ingolstadt, Univ Allee 1, D-85072 Eichstatt, Germany.</t>
  </si>
  <si>
    <t>Christian.Rabini@ku.de</t>
  </si>
  <si>
    <t>German Research Foundation (DFG) [288437573]</t>
  </si>
  <si>
    <t>German Research Foundation (DFG)(German Research Foundation (DFG))</t>
  </si>
  <si>
    <t>The author(s) disclosed receipt of the following financial support for the research, authorship, and/or publication of this article: The development of the coding scheme for LTA was funded by a grant from the German Research Foundation (DFG) (project number 288437573).</t>
  </si>
  <si>
    <t>SAGE PUBLICATIONS INC</t>
  </si>
  <si>
    <t>THOUSAND OAKS</t>
  </si>
  <si>
    <t>2455 TELLER RD, THOUSAND OAKS, CA 91320 USA</t>
  </si>
  <si>
    <t>1369-1481</t>
  </si>
  <si>
    <t>1467-856X</t>
  </si>
  <si>
    <t>BRIT J POLIT INT REL</t>
  </si>
  <si>
    <t>Br. J. Polit. Int. Relat.</t>
  </si>
  <si>
    <t>MAY</t>
  </si>
  <si>
    <t>10.1177/1369148120910984</t>
  </si>
  <si>
    <t>MAR 2020</t>
  </si>
  <si>
    <t>International Relations; Political Science</t>
  </si>
  <si>
    <t>LM6VE</t>
  </si>
  <si>
    <t>WOS:000523796600001</t>
  </si>
  <si>
    <t>Almquist, ZW; Bagozzi, BE</t>
  </si>
  <si>
    <t>Almquist, Zack W.; Bagozzi, Benjamin E.</t>
  </si>
  <si>
    <t>Automated text analysis for understanding radical activism: The topical agenda of the North American animal liberation movement</t>
  </si>
  <si>
    <t>RESEARCH &amp; POLITICS</t>
  </si>
  <si>
    <t>Environmental politics; radicalism; radical environmental activism; animal liberation front; animal rights; text-as-data</t>
  </si>
  <si>
    <t>SOCIAL NETWORKS; RIGHTS</t>
  </si>
  <si>
    <t>It is difficult to study radical social movements due to their often covert, fluid, and fleeting qualities. As a consequence, data limitations and/or theoretical disagreements abound within research on such movements. We contend that the texts produced by radical movements and their supporters provide a window into group features, and that recent advances in automated text analysis methods afford a means for unlocking these texts in a systematic fashion. We evaluate the contentions through an automated analysis of the radical animal liberation movement's primary North American publication. Our application provides novel insights into the topical agenda of animal liberationists, and the relative attention paid towards networking, (non)violence, radicalization, and direct actions. Examination of these topics over time further reveals a number of ideological and tactical shifts, which are predictive of future direct-action events. This demonstrates the benefits of automated text analysis for the study of radical movements and their texts.</t>
  </si>
  <si>
    <t>[Almquist, Zack W.] Univ Washington, Dept Sociol, Seattle, WA 98195 USA; [Almquist, Zack W.] Univ Washington, ESci Inst, Seattle, WA 98195 USA; [Bagozzi, Benjamin E.] Univ Delaware, Dept Polit &amp; Int Relat, 405 Smith Hall,18 Amstel Ave, Newark, DE 19716 USA</t>
  </si>
  <si>
    <t>University of Washington; University of Washington Seattle; University of Washington; University of Washington Seattle; University of Delaware</t>
  </si>
  <si>
    <t>Bagozzi, BE (corresponding author), Univ Delaware, Dept Polit &amp; Int Relat, 405 Smith Hall,18 Amstel Ave, Newark, DE 19716 USA.</t>
  </si>
  <si>
    <t>bagozzib@udel.edu</t>
  </si>
  <si>
    <t>Almquist, Zack/0000-0002-1967-123X; Bagozzi, Benjamin/0000-0002-6233-6453</t>
  </si>
  <si>
    <t>2053-1680</t>
  </si>
  <si>
    <t>RES POLITICS</t>
  </si>
  <si>
    <t>Res. Politics</t>
  </si>
  <si>
    <t>10.1177/2053168020921742</t>
  </si>
  <si>
    <t>Political Science</t>
  </si>
  <si>
    <t>Government &amp; Law</t>
  </si>
  <si>
    <t>LW7IS</t>
  </si>
  <si>
    <t>gold</t>
  </si>
  <si>
    <t>WOS:000539317700001</t>
  </si>
  <si>
    <t>Barbera, P; Boydstun, AE; Linn, S; McMahon, R; Nagler, J</t>
  </si>
  <si>
    <t>Barbera, Pablo; Boydstun, Amber E.; Linn, Suzanna; McMahon, Ryan; Nagler, Jonathan</t>
  </si>
  <si>
    <t>Automated Text Classification of News Articles: A Practical Guide</t>
  </si>
  <si>
    <t>POLITICAL ANALYSIS</t>
  </si>
  <si>
    <t>statistical analysis of texts; automated content analysis; content analysis</t>
  </si>
  <si>
    <t>ECONOMIC-NEWS; MEDIA; SENTIMENT; IMPACT; WORDS</t>
  </si>
  <si>
    <t>Automated text analysis methods have made possible the classification of large corpora of text by measures such as topic and tone. Here, we provide a guide to help researchers navigate the consequential decisions they need to make before any measure can be produced from the text. We consider, both theoretically and empirically, the effects of such choices using as a running example efforts to measure the tone of New York Times coverage of the economy. We show that two reasonable approaches to corpus selection yield radically different corpora and we advocate for the use of keyword searches rather than predefined subject categories provided by news archives. We demonstrate the benefits of coding using article segments instead of sentences as units of analysis. We show that, given a fixed number of codings, it is better to increase the number of unique documents coded rather than the number of coders for each document. Finally, we find that supervised machine learning algorithms outperform dictionaries on a number of criteria. Overall, we intend this guide to serve as a reminder to analysts that thoughtfulness and human validation are key to text-as-data methods, particularly in an age when it is all too easy to computationally classify texts without attending to the methodological choices therein.</t>
  </si>
  <si>
    <t>[Barbera, Pablo] Univ Southern Calif, Polit Sci &amp; Int Relat, Los Angeles, CA 90089 USA; [Boydstun, Amber E.] Univ Calif Davis, Polit Sci, Davis, CA 95616 USA; [Linn, Suzanna] Penn State Univ, Dept Polit Sci, Polit Sci, University Pk, PA 16802 USA; [McMahon, Ryan] Penn State Univ, Dept Polit Sci, University Pk, PA 16802 USA; [McMahon, Ryan] Google, Mountain View, CA 94043 USA; [Nagler, Jonathan] NYU, Polit, New York, NY 10012 USA; [Nagler, Jonathan] NYU, Ctr Social Media &amp; Polit, New York, NY 10012 USA</t>
  </si>
  <si>
    <t>University of Southern California; University of California System; University of California Davis; Pennsylvania Commonwealth System of Higher Education (PCSHE); Pennsylvania State University; Pennsylvania State University - University Park; Pennsylvania Commonwealth System of Higher Education (PCSHE); Pennsylvania State University; Pennsylvania State University - University Park; Google Incorporated; New York University; New York University</t>
  </si>
  <si>
    <t>Barbera, P (corresponding author), Univ Southern Calif, Polit Sci &amp; Int Relat, Los Angeles, CA 90089 USA.</t>
  </si>
  <si>
    <t>pbarbera@usc.edu; aboydstun@ucdavis.edu; sld8@psu.edu; mcmahon.rb@gmail.com; jonathan.nagler@nyu.edu</t>
  </si>
  <si>
    <t>Linn, Suzanna/GLS-8909-2022</t>
  </si>
  <si>
    <t>Linn, Suzanna/0000-0001-7758-4137; Barbera, Pablo/0000-0002-9063-4829</t>
  </si>
  <si>
    <t>National Science Foundation under IGERT [DGE-1144860]; Big Data Social Science; Moore Foundation; Sloan Foundation; National Science Foundation [SES-1248077]</t>
  </si>
  <si>
    <t>National Science Foundation under IGERT(National Science Foundation (NSF)); Big Data Social Science; Moore Foundation(Gordon and Betty Moore Foundation); Sloan Foundation(Alfred P. Sloan Foundation); National Science Foundation(National Science Foundation (NSF))</t>
  </si>
  <si>
    <t>This material is based in part on work supported by the National Science Foundation under IGERT Grant DGE-1144860, Big Data Social Science, and funding provided by the Moore and Sloan Foundations. Nagler's work was supported in part by a grant from the INSPIRE program of the National Science Foundation (Award SES-1248077).</t>
  </si>
  <si>
    <t>CAMBRIDGE UNIV PRESS</t>
  </si>
  <si>
    <t>CAMBRIDGE</t>
  </si>
  <si>
    <t>EDINBURGH BLDG, SHAFTESBURY RD, CB2 8RU CAMBRIDGE, ENGLAND</t>
  </si>
  <si>
    <t>1047-1987</t>
  </si>
  <si>
    <t>1476-4989</t>
  </si>
  <si>
    <t>POLIT ANAL</t>
  </si>
  <si>
    <t>Polit. Anal.</t>
  </si>
  <si>
    <t>JAN</t>
  </si>
  <si>
    <t>PII S104719872000008X</t>
  </si>
  <si>
    <t>10.1017/pan.2020.8</t>
  </si>
  <si>
    <t>PC1ZC</t>
  </si>
  <si>
    <t>Green Submitted</t>
  </si>
  <si>
    <t>WOS:000596806500002</t>
  </si>
  <si>
    <t>Song, H; Tolochko, P; Eberl, JM; Eisele, O; Greussing, E; Heidenreich, T; Lind, F; Galyga, S; Boomgaarden, HG</t>
  </si>
  <si>
    <t>Song, Hyunjin; Tolochko, Petro; Eberl, Jakob-Moritz; Eisele, Olga; Greussing, Esther; Heidenreich, Tobias; Lind, Fabienne; Galyga, Sebastian; Boomgaarden, Hajo G.</t>
  </si>
  <si>
    <t>In Validations We Trust? The Impact of Imperfect Human Annotations as a Gold Standard on the Quality of Validation of Automated Content Analysis</t>
  </si>
  <si>
    <t>POLITICAL COMMUNICATION</t>
  </si>
  <si>
    <t>automated text analysis; reliability; validation; Monte Carlo simulations</t>
  </si>
  <si>
    <t>MEASUREMENT ERROR; PUBLIC-OPINION; NEWS; COMMUNICATION; RELIABILITY; CHALLENGES; PITFALLS; TEXT</t>
  </si>
  <si>
    <t>Political communication has become one of the central arenas of innovation in the application of automated analysis approaches to ever-growing quantities of digitized texts. However, although researchers routinely and conveniently resort to certain forms of human coding to validate the results derived from automated procedures, in practice the actual quality assurance of such a gold standard often goes unchecked. Contemporary practices of validation via manual annotations are far from being acknowledged as best practices in the literature, and the reporting and interpretation of validation procedures differ greatly. We systematically assess the connection between the quality of human judgment in manual annotations and the relative performance evaluations of automated procedures against true standards by relying on large-scale Monte Carlo simulations. The results from the simulations con?rm that there is a substantially greater risk of a researcher reaching an incorrect conclusion regarding the performance of automated procedures when the quality of manual annotations used for validation is not properly ensured. Our contribution should therefore be regarded as a call for the systematic application of high-quality manual validation materials in any political communication study, drawing on automated text analysis procedures.</t>
  </si>
  <si>
    <t>[Song, Hyunjin; Eberl, Jakob-Moritz; Eisele, Olga; Heidenreich, Tobias; Lind, Fabienne; Galyga, Sebastian] Univ Vienna, Dept Commun, Vienna, Austria; [Boomgaarden, Hajo G.] Univ Vienna, Dept Commun, Empir Social Sci Methods Focus Text Anal, Vienna, Turkey; [Tolochko, Petro] Univ Vienna, Dept Polit Sci, Vienna, Austria; [Greussing, Esther] Tech Univ Carolo Wilhelmina Braunschweig, Dept Commun &amp; Media Sci, Braunschweig, Germany</t>
  </si>
  <si>
    <t>University of Vienna; University of Vienna; Braunschweig University of Technology</t>
  </si>
  <si>
    <t>Song, H (corresponding author), Univ Vienna, Dept Commun, Vienna, Austria.</t>
  </si>
  <si>
    <t>hyunjin.song@univie.ac.at</t>
  </si>
  <si>
    <t>Song, Hyunjin/ABD-2100-2020; Heidenreich, Tobias/HDO-5760-2022; Lind, Fabienne/ABY-3927-2022; Eberl, Jakob-Moritz/K-4689-2019; Galyga, Sebastian/AAS-4407-2021</t>
  </si>
  <si>
    <t>Song, Hyunjin/0000-0001-7752-3035; Heidenreich, Tobias/0000-0001-9070-0550; Eberl, Jakob-Moritz/0000-0002-5613-760X; Galyga, Sebastian/0000-0003-2642-0815; , Fabienne/0000-0002-4978-9415; Boomgaarden, Hajo G./0000-0002-5260-1284; Tolochko, Petro/0000-0001-5971-8816; Eisele, Olga/0000-0002-6604-3498</t>
  </si>
  <si>
    <t>Austrian Science Fund under the Hertha-Firnberg-Program [T-989]</t>
  </si>
  <si>
    <t>Austrian Science Fund under the Hertha-Firnberg-Program</t>
  </si>
  <si>
    <t>Olga Eisele is supported by the Austrian Science Fund under the Hertha-Firnberg-Program [Grant no: T-989].</t>
  </si>
  <si>
    <t>TAYLOR &amp; FRANCIS INC</t>
  </si>
  <si>
    <t>PHILADELPHIA</t>
  </si>
  <si>
    <t>530 WALNUT STREET, STE 850, PHILADELPHIA, PA 19106 USA</t>
  </si>
  <si>
    <t>1058-4609</t>
  </si>
  <si>
    <t>1091-7675</t>
  </si>
  <si>
    <t>POLIT COMMUN</t>
  </si>
  <si>
    <t>Polit. Commun.</t>
  </si>
  <si>
    <t>JUL 3</t>
  </si>
  <si>
    <t>10.1080/10584609.2020.1723752</t>
  </si>
  <si>
    <t>Communication; Political Science</t>
  </si>
  <si>
    <t>ND6FO</t>
  </si>
  <si>
    <t>hybrid</t>
  </si>
  <si>
    <t>WOS:000518721300001</t>
  </si>
  <si>
    <t>Iliev, R; Dehghani, M; Sagi, E</t>
  </si>
  <si>
    <t>Iliev, Rumen; Dehghani, Morteza; Sagi, Eyal</t>
  </si>
  <si>
    <t>Automated text analysis in psychology: methods, applications, and future developments</t>
  </si>
  <si>
    <t>LANGUAGE AND COGNITION</t>
  </si>
  <si>
    <t>automated text analysis; psychological variables; demographics; technology; big data; psycho-informatics</t>
  </si>
  <si>
    <t>LATENT SEMANTIC ANALYSIS; LANGUAGE USE; SEPTEMBER 11; DOCUMENTS; CULTURE; GERMAN; WORDS; BLOGS</t>
  </si>
  <si>
    <t>Recent years have seen rapid developments in automated text analysis methods focused on measuring psychological and demographic properties. While this development has mainly been driven by computer scientists and computational linguists, such methods can be of great value for social scientists in general, and for psychologists in particular. In this paper, we review some of the most popular approaches to automated text analysis from the perspective of social scientists, and give examples of their applications in different theoretical domains. After describing some of the pros and cons of these methods, we speculate about future methodological developments, and how they might change social sciences. We conclude that, despite the fact that current methods have many disadvantages and pitfalls compared to more traditional methods of data collection, the constant increase of computational power and the wide availability of textual data will inevitably make automated text analysis a common tool for psychologists.</t>
  </si>
  <si>
    <t>[Iliev, Rumen] Univ Michigan, Ann Arbor, MI 48109 USA; [Dehghani, Morteza] Univ So Calif, Los Angeles, CA 90089 USA; [Sagi, Eyal] Northwestern Univ, Evanston, IL 60208 USA</t>
  </si>
  <si>
    <t>University of Michigan System; University of Michigan; University of Southern California; Northwestern University</t>
  </si>
  <si>
    <t>Iliev, R (corresponding author), Univ Michigan, Ann Arbor, MI 48109 USA.</t>
  </si>
  <si>
    <t>riliev@umich.edu</t>
  </si>
  <si>
    <t>Ponton, Twyla/X-3944-2019</t>
  </si>
  <si>
    <t>Dehghani, Morteza/0000-0002-9478-4365</t>
  </si>
  <si>
    <t>1866-9808</t>
  </si>
  <si>
    <t>1866-9859</t>
  </si>
  <si>
    <t>LANG COGN</t>
  </si>
  <si>
    <t>Lang. Cogn.</t>
  </si>
  <si>
    <t>JUN</t>
  </si>
  <si>
    <t>10.1017/langcog.2014.30</t>
  </si>
  <si>
    <t>Linguistics; Language &amp; Linguistics; Psychology, Experimental</t>
  </si>
  <si>
    <t>Linguistics; Psychology</t>
  </si>
  <si>
    <t>CN4PY</t>
  </si>
  <si>
    <t>WOS:000358413600005</t>
  </si>
  <si>
    <t>C</t>
  </si>
  <si>
    <t>Lafon, P</t>
  </si>
  <si>
    <t>Fattori, M</t>
  </si>
  <si>
    <t>Automated text analysis</t>
  </si>
  <si>
    <t>VOCABULARY OF REPUBLIQUES DES LETTRES: PHILOSOPHICAL TERMINOLOGY AND HISTORY OF PHILOSOPHY - METHODOLOGICAL PROBLEMS</t>
  </si>
  <si>
    <t>LESSICO INTELLETTUALE EUROPEO</t>
  </si>
  <si>
    <t>Italian</t>
  </si>
  <si>
    <t>Proceedings Paper</t>
  </si>
  <si>
    <t>International Convention on Vocabulary of Republiques des Lettres, in Memory of Paul Dibon</t>
  </si>
  <si>
    <t>MAY 17-18, 1996</t>
  </si>
  <si>
    <t>NAPLES, ITALY</t>
  </si>
  <si>
    <t>LEO S OLSCHKI</t>
  </si>
  <si>
    <t>FLORENCE</t>
  </si>
  <si>
    <t>CASELLA POSTALE 66, 50100 FLORENCE, ITALY</t>
  </si>
  <si>
    <t>88-222-4527-X</t>
  </si>
  <si>
    <t>LESS INTELL</t>
  </si>
  <si>
    <t>Philosophy</t>
  </si>
  <si>
    <t>BK41W</t>
  </si>
  <si>
    <t>WOS:000072089700011</t>
  </si>
  <si>
    <t>Amicarelli, E; Di Salvatore, J</t>
  </si>
  <si>
    <t>Amicarelli, Elio; Di Salvatore, Jessica</t>
  </si>
  <si>
    <t>Introducing the PeaceKeeping Operations Corpus (PKOC)</t>
  </si>
  <si>
    <t>JOURNAL OF PEACE RESEARCH</t>
  </si>
  <si>
    <t>peacekeeping; quantitative text analysis; text-as-data</t>
  </si>
  <si>
    <t>Scholars have used United Nations Secretary-General's (UNSG) reports to extract information on peacekeeping operations (PKOs). As key peacekeeping political documents, UNSG reports contain much more information on the politics of peacekeeping. Furthermore, manually extracting information is costly and time-consuming. By providing a machine-readable collection of the UN Secretary-General's Reports on PKOs (1994-2020), the PeaceKeeping Operations Corpus (PKOC) offers highly structured and multiformat text data that connect the peace and conflict research community to recent advancements in text-as-data techniques. Besides paving the way for the first quantitative content analyses on PKOs, PKOC speeds up and expands the range of information analysable from these documents and allows researchers to query them in a quicker, systematic and reproducible way. In this article, we discuss PKOC's core characteristics. As illustration of the innovative potential of PKOC, we show how text-as-data approaches provide more nuanced understanding on PKOs' evolution toward multidimensionality, both over time and within missions. While last generation PKOs are assumed to be multidimensional, we show how they vary in multidimensionality and how their complexity also changes throughout their life-cycle.</t>
  </si>
  <si>
    <t>[Amicarelli, Elio] NTT DATA, Coventry, W Midlands, England; [Di Salvatore, Jessica] Univ Warwick, Dept Polit &amp; Int Studies, Coventry, W Midlands, England</t>
  </si>
  <si>
    <t>University of Warwick</t>
  </si>
  <si>
    <t>Di Salvatore, J (corresponding author), Univ Warwick, Dept Polit &amp; Int Studies, Coventry, W Midlands, England.</t>
  </si>
  <si>
    <t>jessica.di-salvatore@warwick.ac.uk</t>
  </si>
  <si>
    <t>Di Salvatore, Jessica/O-1177-2018</t>
  </si>
  <si>
    <t>Di Salvatore, Jessica/0000-0001-7654-9794</t>
  </si>
  <si>
    <t>SAGE PUBLICATIONS LTD</t>
  </si>
  <si>
    <t>LONDON</t>
  </si>
  <si>
    <t>1 OLIVERS YARD, 55 CITY ROAD, LONDON EC1Y 1SP, ENGLAND</t>
  </si>
  <si>
    <t>0022-3433</t>
  </si>
  <si>
    <t>1460-3578</t>
  </si>
  <si>
    <t>J PEACE RES</t>
  </si>
  <si>
    <t>J. Peace Res.</t>
  </si>
  <si>
    <t>10.1177/0022343320978693</t>
  </si>
  <si>
    <t>FEB 2021</t>
  </si>
  <si>
    <t>UU4DL</t>
  </si>
  <si>
    <t>hybrid, Green Published</t>
  </si>
  <si>
    <t>WOS:000626213000001</t>
  </si>
  <si>
    <t>Engler, S; Gessler, T; Abou-Chadi, T; Leemann, L</t>
  </si>
  <si>
    <t>Engler, Sarah; Gessler, Theresa; Abou-Chadi, Tarik; Leemann, Lucas</t>
  </si>
  <si>
    <t>Democracy challenged: how parties politicize different democratic principles</t>
  </si>
  <si>
    <t>JOURNAL OF EUROPEAN PUBLIC POLICY</t>
  </si>
  <si>
    <t>Article; Early Access</t>
  </si>
  <si>
    <t>Liberal democracy; left-libertarian parties; politicization of democracy; populist radical right parties; automated text analysis; dictionary</t>
  </si>
  <si>
    <t>Scholars have paid increasing attention to how questions of multi-level governance have become politicized in the domestic political arena. Issues surrounding democratic government itself have received surprisingly little attention in this debate. In this article, we ask how political parties politicize the principles of liberal democracy within advanced democracies. We expect that challenger parties are most likely to question existing principles. The targets of their criticism, however, should vary according to their ideological origins. Conducting automated quantitative text analysis of Swiss, German and Austrian party press releases between 2006 and 2018 using a multidimensional dictionary of liberal democracy, we confirm that left-libertarian and populist radical right parties are the main challengers of the democratic status quo. The foundation of criticism, however, differs fundamentally. While left-libertarians focus on principles that strengthen individual autonomy in politics, populist radical right parties demand more forms of participation and fewer constraints by liberal elements of democracy.</t>
  </si>
  <si>
    <t>[Engler, Sarah; Gessler, Theresa; Leemann, Lucas] Univ Zurich, Dept Polit Sci, Zurich, Switzerland; [Abou-Chadi, Tarik] Univ Oxford, Dept Polit &amp; Int Relat, Oxford, England; [Gessler, Theresa] European Univ Viadrina, Fac Social &amp; Cultural Sci, Frankfurt, Oder, Germany</t>
  </si>
  <si>
    <t>University of Zurich; University of Oxford; European University Viadrina Frankfurt Oder</t>
  </si>
  <si>
    <t>Engler, S (corresponding author), Univ Zurich, Dept Polit Sci, Zurich, Switzerland.</t>
  </si>
  <si>
    <t>sarah.engler@uzh.ch</t>
  </si>
  <si>
    <t>Gessler, Theresa/AAB-5676-2019</t>
  </si>
  <si>
    <t>Gessler, Theresa/0000-0003-2339-6266; Abou-Chadi, Tarik/0000-0002-5529-2616; Engler, Sarah/0000-0003-3555-1091</t>
  </si>
  <si>
    <t>Swiss National Science Foundation [100017_185204]</t>
  </si>
  <si>
    <t>Swiss National Science Foundation(Swiss National Science Foundation (SNSF)European Commission)</t>
  </si>
  <si>
    <t>This work was supported by Swiss National Science Foundation: [Grant Number 100017_185204].</t>
  </si>
  <si>
    <t>ROUTLEDGE JOURNALS, TAYLOR &amp; FRANCIS LTD</t>
  </si>
  <si>
    <t>ABINGDON</t>
  </si>
  <si>
    <t>2-4 PARK SQUARE, MILTON PARK, ABINGDON OX14 4RN, OXON, ENGLAND</t>
  </si>
  <si>
    <t>1350-1763</t>
  </si>
  <si>
    <t>1466-4429</t>
  </si>
  <si>
    <t>J EUR PUBLIC POLICY</t>
  </si>
  <si>
    <t>J. Eur. Public Policy</t>
  </si>
  <si>
    <t>10.1080/13501763.2022.2099956</t>
  </si>
  <si>
    <t>JUL 2022</t>
  </si>
  <si>
    <t>Political Science; Public Administration</t>
  </si>
  <si>
    <t>3E3WS</t>
  </si>
  <si>
    <t>WOS:000829916500001</t>
  </si>
  <si>
    <t>Brandtner, C</t>
  </si>
  <si>
    <t>Brandtner, Christof</t>
  </si>
  <si>
    <t>Decoupling Under Scrutiny: Consistency of Managerial Talk and Action in the Age of Nonprofit Accountability</t>
  </si>
  <si>
    <t>NONPROFIT AND VOLUNTARY SECTOR QUARTERLY</t>
  </si>
  <si>
    <t>nonprofit managerialism; decoupling; organizational accountability; discourse; quantitative text analysis; institutional theory</t>
  </si>
  <si>
    <t>Decoupling theory suggests inconsistencies in what nonprofits do and what they claim to do. Accountability is a potential antidote to such inconsistencies in the nonprofit sector. To test whether different features of accountability prevent decoupling, I examine the divergence in statements about managerialism among nonprofit organizations in a major U.S. metropolitan area. The analysis compares a survey of organizations to public discourse based on five-million-word website text. Professionalism and evaluation indeed prevent organizations from embellishing their discourse. However, inconsistencies between managerial practices and managerial discourse remain frequent: Organizations continue to present symbolic displays of managerialism to the general public, particularly when their missions are tangible. Furthermore, ratings generate inconsistencies by leading organizations to downplay managerial practices. This study develops an institutional understanding of managerial talk and action, shows that the problem of decoupling in the age of accountability is multifaceted, and has implications for the estimation of nonprofit practices using automated text analysis.</t>
  </si>
  <si>
    <t>[Brandtner, Christof] Emlyon Business Sch, 23 Ave Guy Collongue, F-69130 Ecully, France; [Brandtner, Christof] Univ Chicago, Chicago, IL 60637 USA; [Brandtner, Christof] Stanford Univ, Ctr Philanthropy &amp; Civil Soc, Stanford, CA 94305 USA</t>
  </si>
  <si>
    <t>EMLYON Business School; University of Chicago; Stanford University</t>
  </si>
  <si>
    <t>Brandtner, C (corresponding author), Emlyon Business Sch, 23 Ave Guy Collongue, F-69130 Ecully, France.</t>
  </si>
  <si>
    <t>brandtner@em-lyon.com</t>
  </si>
  <si>
    <t>Brandtner, Christof/J-9713-2019</t>
  </si>
  <si>
    <t>Brandtner, Christof/0000-0002-7484-464X</t>
  </si>
  <si>
    <t>Stanford Center on Philanthropy and Civil Society (PACS) [1801677]; Mansueto Institute for Urban Innovation at the University of Chicago; National Science Foundation Soc-DDRI award [1801677]</t>
  </si>
  <si>
    <t>Stanford Center on Philanthropy and Civil Society (PACS); Mansueto Institute for Urban Innovation at the University of Chicago; National Science Foundation Soc-DDRI award(National Science Foundation (NSF))</t>
  </si>
  <si>
    <t>The author(s) disclosed receipt of the following financial support for the research, authorship, and/or publication of this article: The author acknowledges financial support from the Stanford Center on Philanthropy and Civil Society (PACS), the Mansueto Institute for Urban Innovation at the University of Chicago, and National Science Foundation Soc-DDRI award #1801677.</t>
  </si>
  <si>
    <t>0899-7640</t>
  </si>
  <si>
    <t>1552-7395</t>
  </si>
  <si>
    <t>NONPROF VOLUNT SEC Q</t>
  </si>
  <si>
    <t>Nonprofit Volunt. Sect. Q.</t>
  </si>
  <si>
    <t>OCT</t>
  </si>
  <si>
    <t>10.1177/0899764021995240</t>
  </si>
  <si>
    <t>MAR 2021</t>
  </si>
  <si>
    <t>Social Issues</t>
  </si>
  <si>
    <t>UN2IO</t>
  </si>
  <si>
    <t>WOS:000628965900001</t>
  </si>
  <si>
    <t>Gorin, JS</t>
  </si>
  <si>
    <t>Gorin, Joanna S.</t>
  </si>
  <si>
    <t>Using automated text analysis tools to develop verbal ability tests</t>
  </si>
  <si>
    <t>INTERNATIONAL JOURNAL OF PSYCHOLOGY</t>
  </si>
  <si>
    <t>[Gorin, Joanna S.] Arizona State Univ, Coll Educ, Tempe, AZ 85287 USA</t>
  </si>
  <si>
    <t>Arizona State University; Arizona State University-Tempe</t>
  </si>
  <si>
    <t>PSYCHOLOGY PRESS</t>
  </si>
  <si>
    <t>HOVE</t>
  </si>
  <si>
    <t>27 CHURCH RD, HOVE BN3 2FA, EAST SUSSEX, ENGLAND</t>
  </si>
  <si>
    <t>0020-7594</t>
  </si>
  <si>
    <t>INT J PSYCHOL</t>
  </si>
  <si>
    <t>Int. J. Psychol.</t>
  </si>
  <si>
    <t>JUN-AUG</t>
  </si>
  <si>
    <t>3-4</t>
  </si>
  <si>
    <t>Psychology, Multidisciplinary</t>
  </si>
  <si>
    <t>349EO</t>
  </si>
  <si>
    <t>WOS:000259264304687</t>
  </si>
  <si>
    <t>Alves, EEC; de Albuquerque, RB; Ferreira, MA; Monteiro, CA</t>
  </si>
  <si>
    <t>Cia Alves, Elia Elisa; de Albuquerque, Rodrigo Barros; Ferreira, Marcos Alan; Monteiro, Claudio Alves</t>
  </si>
  <si>
    <t>Do Non-State Actors Influence Climate Change Policy? Evidence from the Brazilian Nationally Determined Contributions for COP21</t>
  </si>
  <si>
    <t>JOURNAL OF POLITICS IN LATIN AMERICA</t>
  </si>
  <si>
    <t>Brazil; foreign policy analysis; participation; climate change; public consultations; environmental politics; Brazilian foreign politics; automated content analysis</t>
  </si>
  <si>
    <t>FOREIGN-POLICY; PROTECTION</t>
  </si>
  <si>
    <t>Participation in democratic regimes has been a central issue in foreign policy (FP) studies. This article seeks to contribute to the empirical discussion about FP participation through the analysis of the public consultation process conducted by the Brazilian Ministry of Foreign Affairs with non-state actors in the context of the preparations for the Paris Climate Agreement (2015). We employed automated text analysis using Python and R qualifying open responses submitted to the questionnaire launched at the first round of the consultations process and comparing them to the official document presented by Brazil establishing its own carbon emission targets. We found that the Brazilian academia members had a relevant influence on the content of the final document presented by Brazil, strengthening the literature on the importance of the epistemic community to environmental politics and raising new questions on the paths of foreign policy influence.</t>
  </si>
  <si>
    <t>[Cia Alves, Elia Elisa; Ferreira, Marcos Alan] Fed Univ Paraiba UFPB, Dept Int Relat DRI, Joao Pessoa, Paraiba, Brazil; [de Albuquerque, Rodrigo Barros] Fed Univ Sergipe UFS, Dept Int Relat DRI, Sao Cristovao, SE, Brazil; [Monteiro, Claudio Alves] Univ Fed Pernambuco, Comp Ctr CIn, Recife, PE, Brazil</t>
  </si>
  <si>
    <t>Universidade Federal da Paraiba; Universidade Federal de Pernambuco</t>
  </si>
  <si>
    <t>Alves, EEC (corresponding author), Fed Univ Paraiba UFPB, Dept Int Relat DRI, Joao Pessoa, Paraiba, Brazil.</t>
  </si>
  <si>
    <t>eliacia@gmail.com; albuquerque.rodrigo@gmail.com; marcosalan@gmail.com; claudiomonteirol.a@gmail.com</t>
  </si>
  <si>
    <t>Ferreira, Marcos Alan/N-1122-2017</t>
  </si>
  <si>
    <t>Ferreira, Marcos Alan/0000-0002-3196-6508; Albuquerque, Rodrigo/0000-0002-2315-9095; Alves, Elia/0000-0002-0434-7656</t>
  </si>
  <si>
    <t>1866-802X</t>
  </si>
  <si>
    <t>1868-4890</t>
  </si>
  <si>
    <t>J POLITICS LAT AM</t>
  </si>
  <si>
    <t>J. Politics Lat. Am.</t>
  </si>
  <si>
    <t>10.1177/1866802X211034187</t>
  </si>
  <si>
    <t>0D7TQ</t>
  </si>
  <si>
    <t>WOS:000776193600006</t>
  </si>
  <si>
    <t>He, JL</t>
  </si>
  <si>
    <t>He, Jialan</t>
  </si>
  <si>
    <t>The discourse of customer service tweets: Planes, trains and automated text analysis</t>
  </si>
  <si>
    <t>ENGLISH FOR SPECIFIC PURPOSES</t>
  </si>
  <si>
    <t>Book Review</t>
  </si>
  <si>
    <t>[He, Jialan] Zhejiang Gongshang Univ, Sch Foreign Languages, 18 Xuezheng St,Xiasha Campus, Hangzhou 310018, Zhejiang, Peoples R China</t>
  </si>
  <si>
    <t>Zhejiang Gongshang University</t>
  </si>
  <si>
    <t>He, JL (corresponding author), Zhejiang Gongshang Univ, Sch Foreign Languages, 18 Xuezheng St,Xiasha Campus, Hangzhou 310018, Zhejiang, Peoples R China.</t>
  </si>
  <si>
    <t>jialan.he@outlook.com</t>
  </si>
  <si>
    <t>National Planning Of fice of Philosophy and Social Sciences, P. R. China [18BYY221]</t>
  </si>
  <si>
    <t>National Planning Of fice of Philosophy and Social Sciences, P. R. China</t>
  </si>
  <si>
    <t>Acknowledgements This paper is sponsored by the research grant from the National Planning Of fice of Philosophy and Social Sciences, P. R. China (18BYY221) .</t>
  </si>
  <si>
    <t>PERGAMON-ELSEVIER SCIENCE LTD</t>
  </si>
  <si>
    <t>OXFORD</t>
  </si>
  <si>
    <t>THE BOULEVARD, LANGFORD LANE, KIDLINGTON, OXFORD OX5 1GB, ENGLAND</t>
  </si>
  <si>
    <t>0889-4906</t>
  </si>
  <si>
    <t>1873-1937</t>
  </si>
  <si>
    <t>ENGL SPECIF PURP</t>
  </si>
  <si>
    <t>Engl. Specif. Purp.</t>
  </si>
  <si>
    <t>10.1016/j.esp.2022.07.005</t>
  </si>
  <si>
    <t>Linguistics</t>
  </si>
  <si>
    <t>4W9UW</t>
  </si>
  <si>
    <t>WOS:000860500700001</t>
  </si>
  <si>
    <t>James, S; Pagliari, S; Young, KL</t>
  </si>
  <si>
    <t>James, Scott; Pagliari, Stefano; Young, Kevin L.</t>
  </si>
  <si>
    <t>The internationalization of European financial networks: a quantitative text analysis of EU consultation responses</t>
  </si>
  <si>
    <t>REVIEW OF INTERNATIONAL POLITICAL ECONOMY</t>
  </si>
  <si>
    <t>Finance; networks; lobbying; text analysis; internationalization; European Union</t>
  </si>
  <si>
    <t>POLITICAL-ECONOMY; UNITED-STATES; US; COALITIONS; BUSINESS; DECISION; BANKING; POWER</t>
  </si>
  <si>
    <t>Regulatory initiatives are frequently shaped by the ability of the financial industry to build alliances across the wider business community. Yet comparative and international political economy scholarship remains divided over how to explain the resulting networks of financial lobbying. Using quantitative text analysis of 1300 responses to EU financial regulatory consultations between 2010 and 2018, we map patterns of lobbying coordination based on cosigning and text re-use in consultation responses for the first time. This unique dataset is used to analyze hitherto hidden patterns of domestic and cross-border coordination by financial organizations within and between European countries. We find that while distinctive national lobbying networks persist at the country level, the internationalization of financial actors is statistically associated with the formation of coordination ties with foreign financial actors. This suggests that European financial integration has facilitated the emergence of new cross-border alliances which complement - rather than substitute for - existing domestic financial interest coalitions. We argue that the text-as-data approach employed here makes an important new contribution to scholarship on business power and the political economy of Europe.</t>
  </si>
  <si>
    <t>[James, Scott] Kings Coll London, Dept Polit Econ, London WC2R 2LS, England; [Pagliari, Stefano] City Univ London, Dept Int Polit, London, England; [Young, Kevin L.] Univ Massachusetts, Dept Econ, Amherst, MA 01003 USA</t>
  </si>
  <si>
    <t>University of London; King's College London; City University London; University of Massachusetts System; University of Massachusetts Amherst</t>
  </si>
  <si>
    <t>James, S (corresponding author), Kings Coll London, Dept Polit Econ, London WC2R 2LS, England.</t>
  </si>
  <si>
    <t>scott.james@kcl.ac.uk</t>
  </si>
  <si>
    <t>James, Scott/0000-0002-4632-9288; Pagliari, Stefano/0000-0003-0612-5296</t>
  </si>
  <si>
    <t>0969-2290</t>
  </si>
  <si>
    <t>1466-4526</t>
  </si>
  <si>
    <t>REV INT POLIT ECON</t>
  </si>
  <si>
    <t>Rev. Int. Polit. Econ.</t>
  </si>
  <si>
    <t>JUL 4</t>
  </si>
  <si>
    <t>SI</t>
  </si>
  <si>
    <t>10.1080/09692290.2020.1779781</t>
  </si>
  <si>
    <t>JUL 2020</t>
  </si>
  <si>
    <t>Economics; International Relations; Political Science</t>
  </si>
  <si>
    <t>TT9QJ</t>
  </si>
  <si>
    <t>Green Submitted, Green Accepted</t>
  </si>
  <si>
    <t>WOS:000547529200001</t>
  </si>
  <si>
    <t>Kluver, H</t>
  </si>
  <si>
    <t>Kluever, Heike</t>
  </si>
  <si>
    <t>The promises of quantitative text analysis in interest group research: A reply to Bunea and Ibenskas</t>
  </si>
  <si>
    <t>EUROPEAN UNION POLITICS</t>
  </si>
  <si>
    <t>Influence; interest groups; lobbying; quantitative text analysis; Wordfish</t>
  </si>
  <si>
    <t>POLITICAL TEXTS; EUROPEAN-PARLIAMENT; POLICY POSITIONS; EU; MANIFESTOS; MODEL</t>
  </si>
  <si>
    <t>Quantitative text analysis constitutes a promising new method that allows for measuring the policy positions and the lobbying success of interest groups by analyzing their submissions to legislative consultations (Kluver, 2009). The use of quantitative text analysis allowed me to present a novel and unique research design which was the largest in scope at the time and resulted in important new insights regarding the determinants of lobbying success (Kluver, 2009, 2011, 2013). In their recent article, Bunea and Ibenskas (2015) however question the usefulness of quantitative text analysis for studying interest groups and discuss several issues which in their view constitute important disadvantages of the technique. In this article I carefully discuss each of their arguments and show that none of their objections actually prevents scholars from successfully using quantitative text analysis to study interest groups in the European Union and beyond.</t>
  </si>
  <si>
    <t>[Kluever, Heike] Univ Hamburg, D-20146 Hamburg, Germany</t>
  </si>
  <si>
    <t>University of Hamburg</t>
  </si>
  <si>
    <t>Kluver, H (corresponding author), Univ Hamburg, Dept Social Sci, Allende Pl 1, D-20146 Hamburg, Germany.</t>
  </si>
  <si>
    <t>heike.kluever@uni-hamburg.de</t>
  </si>
  <si>
    <t>1465-1165</t>
  </si>
  <si>
    <t>1741-2757</t>
  </si>
  <si>
    <t>EUR UNION POLIT</t>
  </si>
  <si>
    <t>Eur. Union Polit.</t>
  </si>
  <si>
    <t>10.1177/1465116515581669</t>
  </si>
  <si>
    <t>CP7ZC</t>
  </si>
  <si>
    <t>WOS:000360108000008</t>
  </si>
  <si>
    <t>Miller, C</t>
  </si>
  <si>
    <t>Miller, Charles</t>
  </si>
  <si>
    <t>Australia's anti-Islam right in their own words. Text as data analysis of social media content</t>
  </si>
  <si>
    <t>AUSTRALIAN JOURNAL OF POLITICAL SCIENCE</t>
  </si>
  <si>
    <t>Islam; Australia; social media; One Nation; text analysis</t>
  </si>
  <si>
    <t>POLITICAL TEXTS; IDENTITY; PITFALLS; MODELS</t>
  </si>
  <si>
    <t>In recent years, far-right organisations have formed in response to what they believe to be the threat from the rise of Islam in Australia. Parallel movements have spawned an extensive literature internationally. In this study I investigate this movement in Australia using automated text analysis of all public posts from two of the most popular Australian anti-Islam groups on social media. This approach complements traditional polling methods by offering access to large samples of the spontaneously generated opinions, allowing subjects to speak in their own words. My analysis finds evidence that concerns about terrorism and the perceived political threat from Islam are paramount in these groups' discussion of Muslims. I conclude by discussing the implications for counter-messaging strategies.</t>
  </si>
  <si>
    <t>[Miller, Charles] Australian Natl Univ, Sch Polit &amp; Int Relat, Polit &amp; Int Relat, Canberra, ACT, Australia</t>
  </si>
  <si>
    <t>Australian National University</t>
  </si>
  <si>
    <t>Miller, C (corresponding author), Australian Natl Univ, Sch Polit &amp; Int Relat, Polit &amp; Int Relat, Canberra, ACT, Australia.</t>
  </si>
  <si>
    <t>charles.miller@anu.edu.au</t>
  </si>
  <si>
    <t>Miller, Charles/0000-0001-6484-8906</t>
  </si>
  <si>
    <t>1036-1146</t>
  </si>
  <si>
    <t>1363-030X</t>
  </si>
  <si>
    <t>AUST J POLIT SCI</t>
  </si>
  <si>
    <t>Aust. J. Polit. Sci.</t>
  </si>
  <si>
    <t>10.1080/10361146.2017.1324561</t>
  </si>
  <si>
    <t>EY4FV</t>
  </si>
  <si>
    <t>WOS:000403933800005</t>
  </si>
  <si>
    <t>DYKSTRA, M</t>
  </si>
  <si>
    <t>FUGMANN, R</t>
  </si>
  <si>
    <t>HANDLING THE STUFF ITSELF - TOWARD AUTOMATED TEXT ANALYSIS AND RETRIEVAL USING A DATABASE OF CONTROLLED ABSTRACTS</t>
  </si>
  <si>
    <t>TOOLS FOR KNOWLEDGE ORGANIZATION AND THE HUMAN INTERFACE, VOL 1</t>
  </si>
  <si>
    <t>ADVANCES IN KNOWLEDGE ORGANIZATION</t>
  </si>
  <si>
    <t>1ST INTERNATIONAL CONF OF THE INTERNATIONAL SOC FOR KNOWLEDGE ORGANIZATION</t>
  </si>
  <si>
    <t>AUG 14-17, 1990</t>
  </si>
  <si>
    <t>DARMSTADT, FED REP GER</t>
  </si>
  <si>
    <t>INT SOC KNOWLEDGE ORG,GERMAN DOCUMENTAT SOC, COMM CLASSIFICAT &amp; THESAURUS RES,FEDERAT INT INFORMAT &amp; DOCUMENTAT, COMM CLASSIFICAT RES,DEUT FORSCHUNGSGEMEINSCH,HESS MINIST WISSENSCH &amp; KUNST,GESELL MATH &amp; DATENARBEITUNG,DEUT STIFTUNG INT ENTWICKLUNG</t>
  </si>
  <si>
    <t>INDEKS-VERLAG</t>
  </si>
  <si>
    <t>FRANKFURT</t>
  </si>
  <si>
    <t>3-88672-020-9</t>
  </si>
  <si>
    <t>ADV KNOW OR</t>
  </si>
  <si>
    <t>Information Science &amp; Library Science</t>
  </si>
  <si>
    <t>BR70Y</t>
  </si>
  <si>
    <t>WOS:A1990BR70Y00016</t>
  </si>
  <si>
    <t>Bubenhofer, N; Scharloth, J</t>
  </si>
  <si>
    <t>Bubenhofer, Noah; Scharloth, Joachim</t>
  </si>
  <si>
    <t>Automated Text Analysis in the Characters of Big Data and Data-driven Turn - Overview and Desiderata</t>
  </si>
  <si>
    <t>ZEITSCHRIFT FUR GERMANISTISCHE LINGUISTIK</t>
  </si>
  <si>
    <t>German</t>
  </si>
  <si>
    <t>VISUALIZATION</t>
  </si>
  <si>
    <t>[Bubenhofer, Noah; Scharloth, Joachim] Tech Univ Dresden, Inst Germanist, D-01062 Dresden, Germany; [Bubenhofer, Noah] Dresden Ctr Digital Linguist, Angew Linguist, D-01062 Dresden, Germany</t>
  </si>
  <si>
    <t>Technische Universitat Dresden</t>
  </si>
  <si>
    <t>Bubenhofer, N (corresponding author), Tech Univ Dresden, Inst Germanist, Helmholtzstr 10, D-01062 Dresden, Germany.</t>
  </si>
  <si>
    <t>noah.bubenhofer@tu-dresden.de; joachim.scharloth@tu-dresden.de</t>
  </si>
  <si>
    <t>WALTER DE GRUYTER GMBH</t>
  </si>
  <si>
    <t>BERLIN</t>
  </si>
  <si>
    <t>GENTHINER STRASSE 13, D-10785 BERLIN, GERMANY</t>
  </si>
  <si>
    <t>0301-3294</t>
  </si>
  <si>
    <t>1613-0626</t>
  </si>
  <si>
    <t>Z GER LINGUISTIK</t>
  </si>
  <si>
    <t>Z. Ger. Linguist.</t>
  </si>
  <si>
    <t>MAR</t>
  </si>
  <si>
    <t>10.1515/zgl-2015-0001</t>
  </si>
  <si>
    <t>Language &amp; Linguistics</t>
  </si>
  <si>
    <t>CE8HZ</t>
  </si>
  <si>
    <t>Green Accepted</t>
  </si>
  <si>
    <t>WOS:000352084000001</t>
  </si>
  <si>
    <t>B</t>
  </si>
  <si>
    <t>Cohen, T; Widdows, D</t>
  </si>
  <si>
    <t>Sarkar, IN</t>
  </si>
  <si>
    <t>Cohen, Trevor; Widdows, Dominic</t>
  </si>
  <si>
    <t>Geometric Representations in Biomedical Informatics: Applications in Automated Text Analysis</t>
  </si>
  <si>
    <t>METHODS IN BIOMEDICAL INFORMATICS: A PRAGMATIC APPROACH</t>
  </si>
  <si>
    <t>Article; Book Chapter</t>
  </si>
  <si>
    <t>SINGULAR-VALUE DECOMPOSITION; FISH-OIL; DISCOVERY; UMLS</t>
  </si>
  <si>
    <t>[Cohen, Trevor] Univ Texas Sch Biomed Informat Houston, Houston, TX 77030 USA; [Widdows, Dominic] Serendipity, Microsoft Bing, Palo Alto, CA USA</t>
  </si>
  <si>
    <t>University of Texas System; University of Texas Health Science Center Houston</t>
  </si>
  <si>
    <t>Cohen, T (corresponding author), Univ Texas Sch Biomed Informat Houston, Houston, TX 77030 USA.</t>
  </si>
  <si>
    <t>Cohen, Trevor/0000-0003-0159-6697</t>
  </si>
  <si>
    <t>ELSEVIER ACADEMIC PRESS INC</t>
  </si>
  <si>
    <t>SAN DIEGO</t>
  </si>
  <si>
    <t>525 B STREET, SUITE 1900, SAN DIEGO, CA 92101-4495 USA</t>
  </si>
  <si>
    <t>978-0-12-401684-2; 978-0-12-401678-1</t>
  </si>
  <si>
    <t>10.1016/B978-0-12-401678-1.00005-1</t>
  </si>
  <si>
    <t>Medical Informatics</t>
  </si>
  <si>
    <t>BA2XG</t>
  </si>
  <si>
    <t>WOS:000333977700005</t>
  </si>
  <si>
    <t>Lawlor, A; Tolley, E</t>
  </si>
  <si>
    <t>Lawlor, Andrea; Tolley, Erin</t>
  </si>
  <si>
    <t>Deciding Who's Legitimate: News Media Framing of Immigrants and Refugees</t>
  </si>
  <si>
    <t>INTERNATIONAL JOURNAL OF COMMUNICATION</t>
  </si>
  <si>
    <t>media coverage; immigrants; refugees; automated text analysis; framing; Canada</t>
  </si>
  <si>
    <t>POLITICAL TEXTS; REPRESENTATIONS; OPPOSITION; NEWSPAPERS; MIGRANTS; OPINION; ILLEGAL; CANADA; CRISIS; POLICY</t>
  </si>
  <si>
    <t>With its relatively high immigration levels and comparatively favorable public opinion, Canada is often seen as a bastion of support for immigrants and refugees. We argue that support is uneven because Canadians differentiate between economic immigrants and those who arrive on humanitarian grounds. Our conclusion is supported by an automated content analysis of Canadian print media coverage over a 10-year period, an approach that allowed us to capture a wide swath of discourse. We found distinct differences in the framing of immigrants and refugees. Immigrants are framed in economic terms, whereas greater attention is focused on the validity of refugee claims, potential security threats, and the extent to which refugees take advantage of social programs. More focus is also given to refugees' national origins, and that framing is disproportionately negative. Our analysis illustrates the discursive distinctions that are drawn between immigrants and refugees and the hierarchy of preferences for the former over the latter.</t>
  </si>
  <si>
    <t>[Lawlor, Andrea] Western Univ, Kings Univ Coll, London, ON N6A 3K7, Canada; [Tolley, Erin] Univ Toronto, Toronto, ON M5S 1A1, Canada</t>
  </si>
  <si>
    <t>Western University (University of Western Ontario); University of Toronto</t>
  </si>
  <si>
    <t>Lawlor, A (corresponding author), Western Univ, Kings Univ Coll, London, ON N6A 3K7, Canada.</t>
  </si>
  <si>
    <t>andrea.lawlor@uwo.ca; erin.tolley@utoronto.ca</t>
  </si>
  <si>
    <t>Tolley, Erin/V-7892-2019</t>
  </si>
  <si>
    <t>Tolley, Erin/0000-0002-8614-6670</t>
  </si>
  <si>
    <t>USC ANNENBERG PRESS</t>
  </si>
  <si>
    <t>LOS ANGELES</t>
  </si>
  <si>
    <t>UNIV SOUTHERN CALIFORNIA, KERCKHOFF HALL, 734 W ADAMS BLVD, MC7725, LOS ANGELES, CA 90089 USA</t>
  </si>
  <si>
    <t>1932-8036</t>
  </si>
  <si>
    <t>INT J COMMUN-US</t>
  </si>
  <si>
    <t>Int. J. Commun.</t>
  </si>
  <si>
    <t>EM7YX</t>
  </si>
  <si>
    <t>WOS:000395529400001</t>
  </si>
  <si>
    <t>Politsyna, E; Politsyn, S</t>
  </si>
  <si>
    <t>IOP</t>
  </si>
  <si>
    <t>Politsyna, Ekaterina; Politsyn, Sergey</t>
  </si>
  <si>
    <t>The automatic text analysis toolset for solving practical and research tasks</t>
  </si>
  <si>
    <t>APPLIED MATHEMATICS, COMPUTATIONAL SCIENCE AND MECHANICS: CURRENT PROBLEMS</t>
  </si>
  <si>
    <t>Journal of Physics Conference Series</t>
  </si>
  <si>
    <t>Conference on Applied Mathematics, Computational Science and Mechanics - Current Problems</t>
  </si>
  <si>
    <t>NOV 11-13, 2019</t>
  </si>
  <si>
    <t>Voronezh, RUSSIA</t>
  </si>
  <si>
    <t>Voronezh State Univ, Fac Appl Math, Informat &amp; Mech</t>
  </si>
  <si>
    <t>Tasks of automated text analysis are increasingly moving from theoretical research and experimental systems into practice. Increased volumes of text information for manual processing caused the need to use automated tools to solve a variety of tasks for a wide range of users operating not only desktop computers but more and more often mobile devices. There is the need of creating new automated systems and services for a wide variety of applications and the lack of universal algorithms for text analysis. In addition, in connection with different performance requirements of the large data volumes processing, it is urgent to develop integrated tools of automated text analysis, quickly solve user problems on any device, tools for deeper text study and create a basis for further research in the field of computational linguistics and testing of new algorithms of analysis. The proposed toolset includes an open system of automated text analysis, web-portal Automated text analysis, a set of services and mobile applications. Its use will provide an ability to create and use software tools to solve practical problems, taking into account the interests of a wide range of users, and promotes research in the field of computer linguistics and deploying their results into various applications.</t>
  </si>
  <si>
    <t>[Politsyna, Ekaterina; Politsyn, Sergey] Natl Res Univ, Moscow Aviat Inst, Bld 4, Moscow 125993, Russia</t>
  </si>
  <si>
    <t>Moscow Aviation Institute</t>
  </si>
  <si>
    <t>Politsyna, E (corresponding author), Natl Res Univ, Moscow Aviat Inst, Bld 4, Moscow 125993, Russia.</t>
  </si>
  <si>
    <t>kathrin.beaver@mail.ru; pul_forever@mail.ru</t>
  </si>
  <si>
    <t>Politsyna, Ekaterina/ABD-1167-2021</t>
  </si>
  <si>
    <t>Politsyna, Ekaterina/0000-0002-9313-4766</t>
  </si>
  <si>
    <t>IOP PUBLISHING LTD</t>
  </si>
  <si>
    <t>BRISTOL</t>
  </si>
  <si>
    <t>DIRAC HOUSE, TEMPLE BACK, BRISTOL BS1 6BE, ENGLAND</t>
  </si>
  <si>
    <t>1742-6588</t>
  </si>
  <si>
    <t>1742-6596</t>
  </si>
  <si>
    <t>J PHYS CONF SER</t>
  </si>
  <si>
    <t>10.1088/1742-6596/1479/1/012075</t>
  </si>
  <si>
    <t>Mathematics, Applied; Mechanics</t>
  </si>
  <si>
    <t>Mathematics; Mechanics</t>
  </si>
  <si>
    <t>BQ3BH</t>
  </si>
  <si>
    <t>WOS:000583786400075</t>
  </si>
  <si>
    <t>Roberts, CW</t>
  </si>
  <si>
    <t>A conceptual framework for quantitative text analysis - On joining probabilities and substantive inferences about texts</t>
  </si>
  <si>
    <t>content analysis; text analysis; semantic grammar; network; instrumental versus representational; quantitative methods</t>
  </si>
  <si>
    <t>Quantitative text analysis refers to the application of one or more methods for drawing statistical inferences from text populations. After briefly distinguishing quantitative text analysis from linguistics, computational linguistics, and qualitative text analysis, issues raised during the 1955 Allerton House Conference are used as a vehicle for characterizing classical text analysis as an instrumental-thematic method. Quantitative text analysis methods are then depicted according to a 2 x 3 conceptual framework in which texts are interpreted either instrumentally (according to the researcher's conceptual framework) or representationally (according to the texts' sources' perspectives), as well as in which variables are thematic (counts of word/phrase occurrences), semantic (themes within a semantic grammar), or network-related (theme- or relation-positions within a conceptual network). Common methodological errors associated with each method are discussed. The paper concludes with a delineation of the universe of substantive answers that quantitative text analysis is able to provide to social science researchers.</t>
  </si>
  <si>
    <t>Iowa State Univ, Dept Sociol, Ames, IA 50011 USA; Iowa State Univ, Dept Stat, Ames, IA 50011 USA</t>
  </si>
  <si>
    <t>Iowa State University; Iowa State University</t>
  </si>
  <si>
    <t>Roberts, CW (corresponding author), Iowa State Univ, Dept Sociol, Ames, IA 50011 USA.</t>
  </si>
  <si>
    <t>KLUWER ACADEMIC PUBL</t>
  </si>
  <si>
    <t>SPUIBOULEVARD 50, PO BOX 17, 3300 AA DORDRECHT, NETHERLANDS</t>
  </si>
  <si>
    <t>AUG</t>
  </si>
  <si>
    <t>10.1023/A:1004780007748</t>
  </si>
  <si>
    <t>324CW</t>
  </si>
  <si>
    <t>WOS:000087605100003</t>
  </si>
  <si>
    <t>Sun, ZR; Zhang, ZQ</t>
  </si>
  <si>
    <t>Zhang, L; Li, X; Chen, J</t>
  </si>
  <si>
    <t>Sun Zhiru; Zhang Zhiqiang</t>
  </si>
  <si>
    <t>Measuring Think Tank Influence Using Quantitative Text Analysis</t>
  </si>
  <si>
    <t>PROCEEDINGS OF THE 2013 INTERNATIONAL CONFERENCE ON INFORMATION, BUSINESS AND EDUCATION TECHNOLOGY (ICIBET 2013)</t>
  </si>
  <si>
    <t>Advances in Intelligent Systems Research</t>
  </si>
  <si>
    <t>International Conference on Information, Business and Education Technology (ICIBET)</t>
  </si>
  <si>
    <t>MAR 14-15, 2013</t>
  </si>
  <si>
    <t>Beijing, PEOPLES R CHINA</t>
  </si>
  <si>
    <t>think tank; quantitative text analysis; influence; Wordfish</t>
  </si>
  <si>
    <t>Measuring think tank influence is crucial to explain policy outcomes and to assess the action of think tank. This article therefore presents a new method for measuring this type of influence, drawing on quantitative text analysis. By comparing think tanks' policy position with the final policy output, one can assess the preference realization of think tanks in the decision-making process. The method is illustrated by a case regarding the influence of environment think tanks on Obama Government.</t>
  </si>
  <si>
    <t>[Sun Zhiru] Heilongjiang Acad Agr Sci, Ctr Int Agr Econ, Harbin, Peoples R China</t>
  </si>
  <si>
    <t>Heilongjiang Academy of Agricultural Sciences</t>
  </si>
  <si>
    <t>Sun, ZR (corresponding author), Heilongjiang Acad Agr Sci, Ctr Int Agr Econ, Harbin, Peoples R China.</t>
  </si>
  <si>
    <t>ATLANTIS PRESS</t>
  </si>
  <si>
    <t>PARIS</t>
  </si>
  <si>
    <t>29 AVENUE LAVMIERE, PARIS, 75019, FRANCE</t>
  </si>
  <si>
    <t>1951-6851</t>
  </si>
  <si>
    <t>978-90-78677-57-4</t>
  </si>
  <si>
    <t>ADV INTEL SYS RES</t>
  </si>
  <si>
    <t>Computer Science, Artificial Intelligence; Computer Science, Information Systems</t>
  </si>
  <si>
    <t>Computer Science</t>
  </si>
  <si>
    <t>BFK72</t>
  </si>
  <si>
    <t>WOS:000320283600136</t>
  </si>
  <si>
    <t>Diesner, J; Carley, KM; Tambayong, L</t>
  </si>
  <si>
    <t>Diesner, Jana; Carley, Kathleen M.; Tambayong, Laurent</t>
  </si>
  <si>
    <t>Extracting socio-cultural networks of the Sudan from open-source, large-scale text data</t>
  </si>
  <si>
    <t>COMPUTATIONAL AND MATHEMATICAL ORGANIZATION THEORY</t>
  </si>
  <si>
    <t>Social networks; Automated text analysis; Sudan; Dynamic network analysis</t>
  </si>
  <si>
    <t>CONFLICT</t>
  </si>
  <si>
    <t>[Carley, Kathleen M.] Carnegie Mellon Univ, SCS, ISR, Pittsburgh, PA 15213 USA; [Diesner, Jana] UIUC, Grad Sch Lib &amp; Informat Sci, Urbana, IL USA; [Tambayong, Laurent] Calif State Univ Fullerton, Dept Informat Syst &amp; Decis Sci, Mihaylo Coll Business Econ, Fullerton, CA 92634 USA</t>
  </si>
  <si>
    <t>Carnegie Mellon University; University of Illinois System; University of Illinois Urbana-Champaign; California State University System; California State University Fullerton</t>
  </si>
  <si>
    <t>Carley, KM (corresponding author), Carnegie Mellon Univ, SCS, ISR, Pittsburgh, PA 15213 USA.</t>
  </si>
  <si>
    <t>jdiesner@illinois.edu; kathleen.carley@cs.cmu.edu; ltambayong@gmail.com</t>
  </si>
  <si>
    <t>Carley, Kathleen M./0000-0002-6356-0238</t>
  </si>
  <si>
    <t>ARI [W91WAW07C0063]; GMU MURI [FA9550-05-1-0388]; ONR [N00014-08-1-1186]</t>
  </si>
  <si>
    <t>ARI; GMU MURI; ONR(Office of Naval Research)</t>
  </si>
  <si>
    <t>This research was supported in part by ARI W91WAW07C0063, GMU MURI FA9550-05-1-0388, and ONR N00014-08-1-1186. The views and conclusions contained in this document are those of the authors and should not be interpreted as representing the official policies, either expressed or implied, of the Army Research Institute, the Air Force Office of Sponsored Research, the Office of Naval Research, or the United States Government. We also thank our research partners Jeffrey Johnson and Tracy van Holt, both from East Carolina University, and Richard Lobban from Rhode Island College for their continuous help on this project. Special thanks also to Frank Kunkel, CMU, for his help with this project. We are furthermore grateful to the feedback from the attendees of our presentation at the 29th Annual Conference of the Sudan Studies Organization (SSA).</t>
  </si>
  <si>
    <t>1381-298X</t>
  </si>
  <si>
    <t>COMPUT MATH ORGAN TH</t>
  </si>
  <si>
    <t>Comput. Math. Organ. Theory</t>
  </si>
  <si>
    <t>10.1007/s10588-012-9126-x</t>
  </si>
  <si>
    <t>Computer Science, Interdisciplinary Applications; Mathematics, Interdisciplinary Applications; Social Sciences, Mathematical Methods</t>
  </si>
  <si>
    <t>Computer Science; Mathematics; Mathematical Methods In Social Sciences</t>
  </si>
  <si>
    <t>993TX</t>
  </si>
  <si>
    <t>WOS:000307883600005</t>
  </si>
  <si>
    <t>Ziemer, KS; Korkmaz, G</t>
  </si>
  <si>
    <t>ACM</t>
  </si>
  <si>
    <t>Ziemer, Kathryn Schaefer; Korkmaz, Gizem</t>
  </si>
  <si>
    <t>Human vs. Automated Text Analysis: Estimating Positive and Negative Affect</t>
  </si>
  <si>
    <t>PROCEEDINGS OF THE 27TH ACM CONFERENCE ON HYPERTEXT AND SOCIAL MEDIA (HT'16)</t>
  </si>
  <si>
    <t>27th ACM Conference on Hypertext and Social Media (HT)</t>
  </si>
  <si>
    <t>JUL 10-13, 2016</t>
  </si>
  <si>
    <t>Halifax, CANADA</t>
  </si>
  <si>
    <t>Assoc Comp Machinery,ACM SIGWEB,ACM SIGCHI</t>
  </si>
  <si>
    <t>automated text analysis; human coding; expressive writing; feature selection; Lasso; LIWC; sentiment analysis</t>
  </si>
  <si>
    <t>COMPUTERIZED CONTENT-ANALYSIS; EMOTIONAL EXPRESSION; SENTIMENT ANALYSIS; AFFECT SCHEDULE; VALIDITY; PANAS; SAMPLE; HEALTH</t>
  </si>
  <si>
    <t>Automated text analysis (ATA) has been a widely used tool for determining the sentiment of writing samples. However, it is unclear how ATA compares to human ratings of text when estimating affect. There are costs and benefits associated with each method, and comparing the two approaches will help determine which one provides the most useful and accurate results. This study uses 279 journal entries from individuals with chronic pain in order to estimate the positive and negative affect scores reported directly by participants. We use Lasso to select the features that are most predictive of affect. Our results indicate that the model combining human coders and ATA accounts for the most variance in self-reported positive affect scores, resulting in adjusted R-2 = 0.36. For negative affect scores, we obtain a lower adjusted R-2 = 0.30 with the combined model, however, ATA results in significantly higher adjusted R-2 = 0.27 compared to the model using only human coders, R-2 = 0.14. This suggests that utilizing human coders may be the most beneficial when the focus is on positive affect, but automated text analysis may be sufficient when studying negative affect.</t>
  </si>
  <si>
    <t>[Ziemer, Kathryn Schaefer; Korkmaz, Gizem] Virginia Tech, Biocomplex Inst, 900 N Glebe Rd, Arlington, VA 22203 USA</t>
  </si>
  <si>
    <t>Virginia Polytechnic Institute &amp; State University</t>
  </si>
  <si>
    <t>Ziemer, KS (corresponding author), Virginia Tech, Biocomplex Inst, 900 N Glebe Rd, Arlington, VA 22203 USA.</t>
  </si>
  <si>
    <t>ziemer@vbi.vt.edu; gkorkmaz@vbi.vt.edu</t>
  </si>
  <si>
    <t>Korkmaz, Gizem/0000-0002-4947-6320</t>
  </si>
  <si>
    <t>ASSOC COMPUTING MACHINERY</t>
  </si>
  <si>
    <t>NEW YORK</t>
  </si>
  <si>
    <t>1515 BROADWAY, NEW YORK, NY 10036-9998 USA</t>
  </si>
  <si>
    <t>978-1-4503-4247-6</t>
  </si>
  <si>
    <t>10.1145/2914586.2914634</t>
  </si>
  <si>
    <t>Computer Science, Information Systems; Computer Science, Theory &amp; Methods; Engineering, Electrical &amp; Electronic</t>
  </si>
  <si>
    <t>Computer Science; Engineering</t>
  </si>
  <si>
    <t>BF6UX</t>
  </si>
  <si>
    <t>WOS:000383738200041</t>
  </si>
  <si>
    <t>S</t>
  </si>
  <si>
    <t>Popping, R</t>
  </si>
  <si>
    <t>Liao, TF</t>
  </si>
  <si>
    <t>Popping, Roel</t>
  </si>
  <si>
    <t>Qualitative Decisions in Quantitative Text Analysis Research</t>
  </si>
  <si>
    <t>SOCIOLOGICAL METHODOLOGY 2012, VOL 42</t>
  </si>
  <si>
    <t>Sociological Methodology</t>
  </si>
  <si>
    <t>Editorial Material; Book Chapter</t>
  </si>
  <si>
    <t>Univ Groningen, Dept Sociol, NL-9700 AB Groningen, Netherlands</t>
  </si>
  <si>
    <t>University of Groningen</t>
  </si>
  <si>
    <t>Popping, R (corresponding author), Univ Groningen, Dept Sociol, NL-9700 AB Groningen, Netherlands.</t>
  </si>
  <si>
    <t>r.popping@rug.nl</t>
  </si>
  <si>
    <t>NEWBURY PK</t>
  </si>
  <si>
    <t>2455 TELLER RD, NEWBURY PK, CA 91320 USA</t>
  </si>
  <si>
    <t>0081-1750</t>
  </si>
  <si>
    <t>978-1-4522-8246-6</t>
  </si>
  <si>
    <t>SOCIOL METHODOL</t>
  </si>
  <si>
    <t>Sociol. Methodol.</t>
  </si>
  <si>
    <t>10.1177/0081175012460854</t>
  </si>
  <si>
    <t>Social Sciences, Mathematical Methods; Sociology</t>
  </si>
  <si>
    <t>Mathematical Methods In Social Sciences; Sociology</t>
  </si>
  <si>
    <t>BA9YK</t>
  </si>
  <si>
    <t>WOS:000339965700008</t>
  </si>
  <si>
    <t>Haefeli, J; Lischer, S; Haeusler, J</t>
  </si>
  <si>
    <t>Haefeli, Joerg; Lischer, Suzanne; Haeusler, Joachim</t>
  </si>
  <si>
    <t>Communications-based early detection of gambling-related problems in online gambling</t>
  </si>
  <si>
    <t>INTERNATIONAL GAMBLING STUDIES</t>
  </si>
  <si>
    <t>responsible gambling; harm minimization; Internet; prediction; text analysis</t>
  </si>
  <si>
    <t>IDENTIFYING BEHAVIORAL MARKERS; EMOTIONAL EXPRESSION; LINGUISTIC INQUIRY; PROBLEM GAMBLERS; INTERNET; DEPRESSION</t>
  </si>
  <si>
    <t>Most algorithms developed for the early identification of gambling-related problems rely on predictors aggregated out of transactional gambling data. However, as a notable extension, one algorithm uses predictors derived from written correspondence with players and thereby opens up a so far unused resource for the early detection of gambling-related problems. In this article, a sample of 1008 emails from self-excluders and controls to the customer services of an online gambling operator was reanalysed to explore the possibility of using automated text analysis software to extract quantitative markers from written player correspondence. For this purpose a text analysis tool, using psychometrically validated English and German dictionaries, was applied. While the classification results that were based solely on automated text analysis were nearly on a level with those attained by human assessment, the application of an automated prediction model can even add incremental validity to human judgements. A combined model, relying on human rating as well as the scales Anger, Time and Causation, derived from automated text analysis, displayed improved validity and classification rate. Discussed in the light of practical application, the results indicate that automated text analysis can be deployed as an expert system to prioritize cases and to support human judgement.</t>
  </si>
  <si>
    <t>[Haefeli, Joerg; Lischer, Suzanne] Lucerne Univ Appl Sci &amp; Arts, Dept Social Work, Luzern, Switzerland; [Haeusler, Joachim] Bwin Party Digital Entertainment Plc, Dept Corp Responsibil, Vienna, Austria</t>
  </si>
  <si>
    <t>Haefeli, J (corresponding author), Lucerne Univ Appl Sci &amp; Arts, Dept Social Work, Luzern, Switzerland.</t>
  </si>
  <si>
    <t>joerg.haefeli@hslu.ch</t>
  </si>
  <si>
    <t>1445-9795</t>
  </si>
  <si>
    <t>1479-4276</t>
  </si>
  <si>
    <t>INT GAMBL STUD</t>
  </si>
  <si>
    <t>Int. Gambl. Stud.</t>
  </si>
  <si>
    <t>10.1080/14459795.2014.980297</t>
  </si>
  <si>
    <t>Substance Abuse</t>
  </si>
  <si>
    <t>CG3HW</t>
  </si>
  <si>
    <t>WOS:000353171700008</t>
  </si>
  <si>
    <t>Vogel, EA; Pechmann, C</t>
  </si>
  <si>
    <t>Vogel, Erin A.; Pechmann, Cornelia (connie)</t>
  </si>
  <si>
    <t>Application of Automated Text Analysis to Examine Emotions Expressed in Online Support Groups for Quitting Smoking</t>
  </si>
  <si>
    <t>JOURNAL OF THE ASSOCIATION FOR CONSUMER RESEARCH</t>
  </si>
  <si>
    <t>NEGATIVE AFFECT; ANXIETY SENSITIVITY; DEPRESSIVE SYMPTOMS; SOCIAL MEDIA; CESSATION; MOTIVATION; SMOKERS; TRIAL</t>
  </si>
  <si>
    <t>Online support groups offer social support and an outlet for expressing emotions when dealing with health-related challenges. This study examines whether automated text analysis of emotional expressions using Linguistic Inquiry and Word Count (LIWC) can identify emotions related to abstinence expressed in online support groups for quitting smoking, suggesting promise for offering targeted mood management to members. The emotional expressions in 1 month of posts by members of 36 online support groups were related to abstinence at month end. Using the available LIWC dictionary, posts were scored for overall positive emotions, overall negative emotions, anxiety, anger, sadness, and an upbeat emotional tone. Greater expressions of negative emotions, and specifically anxiety, related to nonabstinence, while a more upbeat emotional tone related to abstinence. The results indicate that automated text analysis can identify emotions expressed in online support groups for quitting smoking and enable targeted delivery of mood management to group members.</t>
  </si>
  <si>
    <t>[Vogel, Erin A.] Stanford Univ, Stanford Prevent Res Ctr, Dept Med, 1265 Welch Rd,X3C16, Stanford, CA 94305 USA; [Pechmann, Cornelia (connie)] Univ Calif Irvine, Mkt, Paul Merage Sch Business, 4293 Pereira Dr,SB Bldg 1,Suite 4317, Irvine, CA 92697 USA</t>
  </si>
  <si>
    <t>Stanford University; University of California System; University of California Irvine</t>
  </si>
  <si>
    <t>Vogel, EA (corresponding author), Stanford Univ, Stanford Prevent Res Ctr, Dept Med, 1265 Welch Rd,X3C16, Stanford, CA 94305 USA.</t>
  </si>
  <si>
    <t>eavogel@stanford.edu; cpechman@uci.edu</t>
  </si>
  <si>
    <t>National Cancer Institute; NCI [R01CA204356]; Tobacco Related Disease Research Program [TRDRP 28FT-0015]</t>
  </si>
  <si>
    <t>National Cancer Institute(United States Department of Health &amp; Human ServicesNational Institutes of Health (NIH) - USANIH National Cancer Institute (NCI)); NCI(United States Department of Health &amp; Human ServicesNational Institutes of Health (NIH) - USANIH National Cancer Institute (NCI)); Tobacco Related Disease Research Program(University of California System)</t>
  </si>
  <si>
    <t>This study was funded by the National Cancer Institute (award no. NCI R01CA204356). Preparation of this manuscript was partially supported by the Tobacco Related Disease Research Program (award no. TRDRP 28FT-0015). The authors gratefully acknowledge Douglas Calder and Connor Phillips for their assistance with data collection and Kevin Delucchi for his advice on statistical analyses.</t>
  </si>
  <si>
    <t>UNIV CHICAGO PRESS</t>
  </si>
  <si>
    <t>CHICAGO</t>
  </si>
  <si>
    <t>1427 E 60TH ST, CHICAGO, IL 60637-2954 USA</t>
  </si>
  <si>
    <t>2378-1815</t>
  </si>
  <si>
    <t>2378-1823</t>
  </si>
  <si>
    <t>J ASSOC CONSUM RES</t>
  </si>
  <si>
    <t>J. Assoc. Consum. Res.</t>
  </si>
  <si>
    <t>JUL</t>
  </si>
  <si>
    <t>10.1086/714517</t>
  </si>
  <si>
    <t>Business; Psychology, Applied</t>
  </si>
  <si>
    <t>Business &amp; Economics; Psychology</t>
  </si>
  <si>
    <t>3X4UH</t>
  </si>
  <si>
    <t>WOS:000843037200004</t>
  </si>
  <si>
    <t>Grimmer, J; Stewart, BM</t>
  </si>
  <si>
    <t>Grimmer, Justin; Stewart, Brandon M.</t>
  </si>
  <si>
    <t>Text as Data: The Promise and Pitfalls of Automatic Content Analysis Methods for Political Texts</t>
  </si>
  <si>
    <t>POLICY POSITIONS; CLASSIFICATION; INFERENCE; WORDS; PREFERENCES; MODEL</t>
  </si>
  <si>
    <t>Politics and political conflict often occur in the written and spoken word. Scholars have long recognized this, but the massive costs of analyzing even moderately sized collections of texts have hindered their use in political science research. Here lies the promise of automated text analysis: it substantially reduces the costs of analyzing large collections of text. We provide a guide to this exciting new area of research and show how, in many instances, the methods have already obtained part of their promise. But there are pitfalls to using automated methods-they are no substitute for careful thought and close reading and require extensive and problem-specific validation. We survey a wide range of new methods, provide guidance on how to validate the output of the models, and clarify misconceptions and errors in the literature. To conclude, we argue that for automated text methods to become a standard tool for political scientists, methodologists must contribute new methods and new methods of validation.</t>
  </si>
  <si>
    <t>[Grimmer, Justin] Stanford Univ, Dept Polit Sci, Stanford, CA 94305 USA; [Stewart, Brandon M.] Harvard Univ, Dept Govt, Cambridge, MA 02138 USA; [Stewart, Brandon M.] Harvard Univ, Inst Quantitat Social Sci, Cambridge, MA 02138 USA</t>
  </si>
  <si>
    <t>Stanford University; Harvard University; Harvard University</t>
  </si>
  <si>
    <t>Grimmer, J (corresponding author), Stanford Univ, Dept Polit Sci, Encina Hall West 616 Serra St, Stanford, CA 94305 USA.</t>
  </si>
  <si>
    <t>jgrimmer@stanford.edu; bstewart@fas.harvard.edu</t>
  </si>
  <si>
    <t>Lobo, Diele/I-9106-2012</t>
  </si>
  <si>
    <t>SUM</t>
  </si>
  <si>
    <t>10.1093/pan/mps028</t>
  </si>
  <si>
    <t>183OB</t>
  </si>
  <si>
    <t>Green Published, Bronze</t>
  </si>
  <si>
    <t>WOS:000321825000001</t>
  </si>
  <si>
    <t>Gunther, E; Quandt, T</t>
  </si>
  <si>
    <t>Guenther, Elisabeth; Quandt, Thorsten</t>
  </si>
  <si>
    <t>WORD COUNTS AND TOPIC MODELS Automated text analysis methods for digital journalism research</t>
  </si>
  <si>
    <t>DIGITAL JOURNALISM</t>
  </si>
  <si>
    <t>automated text analysis; big data; journalism research</t>
  </si>
  <si>
    <t>MEDIA</t>
  </si>
  <si>
    <t>With digital journalism and social media producing huge amounts of digital content every day, journalism scholars are faced with new challenges to describe and analyze the wealth of information. Borrowing sophisticated tools and resources from computer science and computational linguistics, journalism scholars have started to gain insights into the constant information flow and made big data a regular feature of the scientific debate. Both deductive (manual and semi-automated) and inductive (fully automated) text analysis methods are part of this new toolset. In order to make the automated research process more tangible and provide an insight into the options available, we provide a roadmap of common (semi-) automated options for text analysis. We describe the assumptions and workflows of rule-based approaches, dictionaries, supervised machine learning, document clustering, and topic models. We show that automated methods have different strengths that provide different opportunities, enriching-but not replacing-the range of manual content analysis methods.</t>
  </si>
  <si>
    <t>[Guenther, Elisabeth; Quandt, Thorsten] Univ Munster, Dept Commun, Munster, Germany</t>
  </si>
  <si>
    <t>University of Munster</t>
  </si>
  <si>
    <t>Gunther, E (corresponding author), Univ Munster, Dept Commun, Munster, Germany.</t>
  </si>
  <si>
    <t>elisabeth.guenther@uni-muenster.de</t>
  </si>
  <si>
    <t>Quandt, Thorsten/ABE-4668-2021</t>
  </si>
  <si>
    <t>Quandt, Thorsten/0000-0003-1937-0282</t>
  </si>
  <si>
    <t>2167-0811</t>
  </si>
  <si>
    <t>2167-082X</t>
  </si>
  <si>
    <t>DIGIT JOURNAL</t>
  </si>
  <si>
    <t>Digit. Journal.</t>
  </si>
  <si>
    <t>10.1080/21670811.2015.1093270</t>
  </si>
  <si>
    <t>EB2VT</t>
  </si>
  <si>
    <t>WOS:000387221400007</t>
  </si>
  <si>
    <t>Blaydes, L; Grimmer, J; McQueen, A</t>
  </si>
  <si>
    <t>Blaydes, Lisa; Grimmer, Justin; McQueen, Alison</t>
  </si>
  <si>
    <t>Mirrors for Princes and Sultans: Advice on the Art of Governance in the Medieval Christian and Islamic Worlds</t>
  </si>
  <si>
    <t>JOURNAL OF POLITICS</t>
  </si>
  <si>
    <t>comparative political theory; mirrors for princes; institutional divergence; Islamic political thought; text as data</t>
  </si>
  <si>
    <t>EUROPE; RELIGION; STATE; RISE</t>
  </si>
  <si>
    <t>When did European modes of political thought diverge from those that existed in other world regions? We compare Muslim and Christian political advice texts from the medieval period using automated text analysis to identify four major and 60 granular themes common to Muslim and Christian polities, and examine how emphasis on these topics evolves over time. For Muslim texts, we identify an inflection point in political discourse between the eleventh to thirteenth centuries, a juncture that historians suggest is an ideational watershed brought about by the Turkic and Mongol invaders. For Christian texts, we identify a decline in the relevance of religious appeals from the Middle Ages to the Renaissance. Our findings also suggest that Machiavelli's Prince was less a turn away from religious discourse on statecraft than the culmination of centuries-long developments in European advice literature.</t>
  </si>
  <si>
    <t>[Blaydes, Lisa; Grimmer, Justin; McQueen, Alison] Stanford Univ, Dept Polit Sci, Stanford, CA 94305 USA</t>
  </si>
  <si>
    <t>Stanford University</t>
  </si>
  <si>
    <t>Blaydes, L (corresponding author), Stanford Univ, Dept Polit Sci, Stanford, CA 94305 USA.</t>
  </si>
  <si>
    <t>blaydes@stanford.edu; jgrimmer@stanford.edu; amcqueen@stanford.edu</t>
  </si>
  <si>
    <t>0022-3816</t>
  </si>
  <si>
    <t>1468-2508</t>
  </si>
  <si>
    <t>J POLIT</t>
  </si>
  <si>
    <t>J. Polit.</t>
  </si>
  <si>
    <t>10.1086/699246</t>
  </si>
  <si>
    <t>GU9IX</t>
  </si>
  <si>
    <t>WOS:000445660100009</t>
  </si>
  <si>
    <t>BRUNET, E; LUONG, X</t>
  </si>
  <si>
    <t>DIDAY, E</t>
  </si>
  <si>
    <t>COMPUTER-PROCESSING AND QUANTITATIVE TEXT ANALYSIS - HYPERBASE, AN INTERACTIVE SOFTWARE FOR LARGE CORPORA</t>
  </si>
  <si>
    <t>DATA ANALYSIS, LEARNING SYMBOLIC AND NUMERIC KNOWLEDGE</t>
  </si>
  <si>
    <t>CONF ON DATA ANALYSIS, LEARNING SYMBOLIC AND NUMERIC KNOWLEDGE</t>
  </si>
  <si>
    <t>SEP 11-14, 1989</t>
  </si>
  <si>
    <t>ANTIBES, FRANCE</t>
  </si>
  <si>
    <t>INST RECH INFORMAT &amp; AUTOMAT,ASSOC STATIST &amp; UTILISAT,ELECT FRANCE,INT STAT INST,INT ASSOC STAT COMP,INST INT STAT, GRP MEMBRES FRANCAIS,INT FEDERAT CLASSIFICAT SOC,ROYAL STAT SOC,SOC FRANCOPHONE CLASSIFICAT</t>
  </si>
  <si>
    <t>NOVA SCIENCE PUBLISHERS</t>
  </si>
  <si>
    <t>COMMACK</t>
  </si>
  <si>
    <t>0-941743-64-0</t>
  </si>
  <si>
    <t>Statistics &amp; Probability</t>
  </si>
  <si>
    <t>Mathematics</t>
  </si>
  <si>
    <t>BQ25B</t>
  </si>
  <si>
    <t>WOS:A1989BQ25B00022</t>
  </si>
  <si>
    <t>Storch, M</t>
  </si>
  <si>
    <t>Storch, Monika</t>
  </si>
  <si>
    <t>Text Mining - Automated Content Analysis</t>
  </si>
  <si>
    <t>PSYCHOTHERAPIE PSYCHOSOMATIK MEDIZINISCHE PSYCHOLOGIE</t>
  </si>
  <si>
    <t>[Storch, Monika] Univ Klinikum Jena, Inst Psychosoziale Med Psychotherapie &amp; Psychoonk, Stoystr 3, D-07740 Jena, Germany</t>
  </si>
  <si>
    <t>Friedrich Schiller University of Jena</t>
  </si>
  <si>
    <t>Storch, M (corresponding author), Univ Klinikum Jena, Inst Psychosoziale Med Psychotherapie &amp; Psychoonk, Stoystr 3, D-07740 Jena, Germany.</t>
  </si>
  <si>
    <t>monika.storch@med.uni-jena.de</t>
  </si>
  <si>
    <t>GEORG THIEME VERLAG KG</t>
  </si>
  <si>
    <t>STUTTGART</t>
  </si>
  <si>
    <t>RUDIGERSTR 14, D-70469 STUTTGART, GERMANY</t>
  </si>
  <si>
    <t>0937-2032</t>
  </si>
  <si>
    <t>1439-1058</t>
  </si>
  <si>
    <t>PSYCHOTHER PSYCH MED</t>
  </si>
  <si>
    <t>Psychother. Psychosom. Med. Psychol.</t>
  </si>
  <si>
    <t>10.1055/a-1385-9319</t>
  </si>
  <si>
    <t>Psychology, Clinical</t>
  </si>
  <si>
    <t>TF5FH</t>
  </si>
  <si>
    <t>WOS:000670741900006</t>
  </si>
  <si>
    <t>Suzuki, T</t>
  </si>
  <si>
    <t>Suzuki, Takafumi</t>
  </si>
  <si>
    <t>Investigating macroscopic transitions in Japanese foreign policy using quantitative text analysis</t>
  </si>
  <si>
    <t>INTERNATIONAL RELATIONS OF THE ASIA-PACIFIC</t>
  </si>
  <si>
    <t>SECURITY</t>
  </si>
  <si>
    <t>This study introduces new quantitative text analysis methods into foreign policy analysis. Quantitative text analysis in the social sciences is currently aimed in two directions, namely (a) more systematic analysis using larger amounts of data sets and (b) more detailed analysis using linguistic knowledge. Our methods, by using recent techniques in natural language processing, integrate these two different trends, and achieve more systematic but detailed analysis. We apply our methods to 147 Diet speeches of Japanese prime ministers, and shed new light on the character of Japanese foreign policy. This study makes a methodological contribution to foreign policy analysis and a substantial contribution to the study of Japanese foreign policy.</t>
  </si>
  <si>
    <t>Univ Tokyo, Fac Sociol, Tokyo, Japan</t>
  </si>
  <si>
    <t>University of Tokyo</t>
  </si>
  <si>
    <t>Suzuki, T (corresponding author), Univ Tokyo, Fac Sociol, Tokyo, Japan.</t>
  </si>
  <si>
    <t>t_suzuki@nii.ac.jp</t>
  </si>
  <si>
    <t>OXFORD UNIV PRESS</t>
  </si>
  <si>
    <t>GREAT CLARENDON ST, OXFORD OX2 6DP, ENGLAND</t>
  </si>
  <si>
    <t>1470-482X</t>
  </si>
  <si>
    <t>1470-4838</t>
  </si>
  <si>
    <t>INT RELAT ASIA-PAC</t>
  </si>
  <si>
    <t>Int. Relat. Asia-Pac.</t>
  </si>
  <si>
    <t>10.1093/irap/lcr001</t>
  </si>
  <si>
    <t>International Relations</t>
  </si>
  <si>
    <t>821KW</t>
  </si>
  <si>
    <t>WOS:000294974900005</t>
  </si>
  <si>
    <t>Iliev, RI; Ojalehto, BL</t>
  </si>
  <si>
    <t>Iliev, Rumen I.; Ojalehto, Bethany L.</t>
  </si>
  <si>
    <t>Bringing history back to culture: on the missing diachronic component in the research on culture and cognition</t>
  </si>
  <si>
    <t>FRONTIERS IN PSYCHOLOGY</t>
  </si>
  <si>
    <t>culture; cognition; causality; diachronic analysis; automated text analysis</t>
  </si>
  <si>
    <t>INDEPENDENCE; METAANALYSIS; PERCEPTION; CONFORMITY; MANAGEMENT; AMERICAN; JUDGMENT; GAINS; TIME; CUES</t>
  </si>
  <si>
    <t>[Iliev, Rumen I.] Univ Michigan, Ford Sch Publ Policy, Ann Arbor, MI 48109 USA; [Ojalehto, Bethany L.] Northwestern Univ, Dept Psychol, Evanston, IL USA</t>
  </si>
  <si>
    <t>University of Michigan System; University of Michigan; Northwestern University</t>
  </si>
  <si>
    <t>Iliev, RI (corresponding author), Univ Michigan, Ford Sch Publ Policy, Ann Arbor, MI 48109 USA.</t>
  </si>
  <si>
    <t>National Science Foundation under AFOSR [FA9550-14-1-0030, FA9550-10-1-0373]</t>
  </si>
  <si>
    <t>National Science Foundation under AFOSR</t>
  </si>
  <si>
    <t>Preparation of the manuscript was made possible through funding support from the National Science Foundation under AFOSR grants FA9550-14-1-0030 and FA9550-10-1-0373. We are also thankful to Doug Medin for his help with this work.</t>
  </si>
  <si>
    <t>FRONTIERS MEDIA SA</t>
  </si>
  <si>
    <t>LAUSANNE</t>
  </si>
  <si>
    <t>AVENUE DU TRIBUNAL FEDERAL 34, LAUSANNE, CH-1015, SWITZERLAND</t>
  </si>
  <si>
    <t>1664-1078</t>
  </si>
  <si>
    <t>FRONT PSYCHOL</t>
  </si>
  <si>
    <t>Front. Psychol.</t>
  </si>
  <si>
    <t>MAY 27</t>
  </si>
  <si>
    <t>10.3389/fpsyg.2015.00716</t>
  </si>
  <si>
    <t>CJ4XP</t>
  </si>
  <si>
    <t>Green Published, gold</t>
  </si>
  <si>
    <t>WOS:000355491400001</t>
  </si>
  <si>
    <t>Mohr, JW; Wagner-Pacifici, R; Breiger, RL; Bogdanov, P</t>
  </si>
  <si>
    <t>Mohr, John W.; Wagner-Pacifici, Robin; Breiger, Ronald L.; Bogdanov, Petko</t>
  </si>
  <si>
    <t>Graphing the grammar of motives in National Security Strategies: Cultural interpretation, automated text analysis and the drama of global politics</t>
  </si>
  <si>
    <t>POETICS</t>
  </si>
  <si>
    <t>Kenneth Burke; Semantic and poetic meaning; Automated text analysis; US National Security Strategy; Dramatism; Rhetorics of states</t>
  </si>
  <si>
    <t>The literary theorist Kenneth Burke (1945) outlined a methodology for identifying the basic grammar of motives that operate within texts. His strategy was to identify the logical form that is used for attributing meaning to human situations. We imagine how a variant of Burke's method might be applied in the era of automated text analysis, and then we explore an implementation of that variant (using a combination of natural language process, semantic parsers and statistical topic models) in analyzing a corpus of eleven U.S. National Security Strategy documents that were produced between 1990 and 2010. This automated process for textual coding and analysis is shown to have much utility for analyzing these types of texts and to hold out the promise for being useful for other types of text corpora, as well-thereby opening up new possibilities for the scientific study of rhetoric. (C) 2013 Elsevier B.V. All rights reserved.</t>
  </si>
  <si>
    <t>[Mohr, John W.] Univ Calif Santa Barbara, Dept Sociol, Santa Barbara, CA 93106 USA; [Wagner-Pacifici, Robin] New Sch Social Res, Dept Sociol, New York, NY 10003 USA; [Breiger, Ronald L.] Univ Arizona, Sch Sociol, Tucson, AZ 85721 USA; [Bogdanov, Petko] Univ Calif Santa Barbara, Dept Comp Sci, Santa Barbara, CA 93106 USA</t>
  </si>
  <si>
    <t>University of California System; University of California Santa Barbara; The New School; University of Arizona; University of California System; University of California Santa Barbara</t>
  </si>
  <si>
    <t>Mohr, JW (corresponding author), Univ Calif Santa Barbara, Dept Sociol, Santa Barbara, CA 93106 USA.</t>
  </si>
  <si>
    <t>mohr@soc.ucsb.edu; wagnerpr@newschool.edu; Breiger@Arizona.edu; petko@cs.ucsb.edu</t>
  </si>
  <si>
    <t>Breiger, Ronald/Q-1801-2019</t>
  </si>
  <si>
    <t>Breiger, Ronald/0000-0003-0575-9211</t>
  </si>
  <si>
    <t>ELSEVIER</t>
  </si>
  <si>
    <t>RADARWEG 29, 1043 NX AMSTERDAM, NETHERLANDS</t>
  </si>
  <si>
    <t>0304-422X</t>
  </si>
  <si>
    <t>1872-7514</t>
  </si>
  <si>
    <t>Poetics</t>
  </si>
  <si>
    <t>DEC</t>
  </si>
  <si>
    <t>10.1016/j.poetic.2013.08.003</t>
  </si>
  <si>
    <t>Literature; Sociology</t>
  </si>
  <si>
    <t>287QV</t>
  </si>
  <si>
    <t>WOS:000329558200006</t>
  </si>
  <si>
    <t>Aleti, T; Pallant, JI; Tuan, A; van Laer, T</t>
  </si>
  <si>
    <t>Aleti, Torgeir; Pallant, Jason I.; Tuan, Annamaria; van Laer, Tom</t>
  </si>
  <si>
    <t>Tweeting with the Stars: Automated Text Analysis of the Effect of Celebrity Social Media Communications on Consumer Word of Mouth</t>
  </si>
  <si>
    <t>JOURNAL OF INTERACTIVE MARKETING</t>
  </si>
  <si>
    <t>Analytical; Automated text analysis; Emotion; Focus; Function words; Linguistic style; Narrative; Speech act theory</t>
  </si>
  <si>
    <t>NARRATIVE TRANSPORTATION; PARASOCIAL RELATIONSHIPS; ENGAGEMENT; STRATEGIES; INFORMATION; PERSUASION; DISCLOSURE; PSYCHOLOGY; PATTERNS; AUDIENCE</t>
  </si>
  <si>
    <t>Prior research has focused on analyzing the content and intent of celebrity social media communications. By observing that the linguistic style of such celebrity communications drives consumer word of mouth, the main goal of the current research is to broaden this limited perspective. An automated text analysis of narrative/analytical, internally/externally focused, and negative/positive emotional styles in tweets by celebrity chefs, personal trainers, and fashion bloggers was conducted to this effect. The findings are threefold. First, across celebrity categories externally focused, narrative styles are more effective in terms of word of mouth. Second, emotional styles are not effective. Third, angry outbursts are an exception; they are effective drivers of word of mouth for personal trainers. As such, this research furthers scholarly and practitioner understanding of the state-the-art of celebrity social media communication: the effect of tweets' linguistic styles on consumer word of mouth. (C) 2019</t>
  </si>
  <si>
    <t>[Aleti, Torgeir] RMIT Univ, Sch Econ Finance &amp; Mkt, Bldg 80,445 Swanston St, Melbourne, Vic 3000, Australia; [Pallant, Jason I.] Swinburne Univ Technol, Dept Mkt &amp; Management, POB 218, Hawthorn, Vic 3122, Australia; [Tuan, Annamaria] Univ Bologna, Dept Management, Via Capo di Lucca 34, I-40126 Bologna, Italy; [van Laer, Tom] Univ Sydney, Discipline Mkt, Abercrombie Bldg H70, Darlington, NSW 2006, Australia</t>
  </si>
  <si>
    <t>Royal Melbourne Institute of Technology (RMIT); Swinburne University of Technology; University of Bologna; University of Sydney</t>
  </si>
  <si>
    <t>Aleti, T (corresponding author), RMIT Univ, Sch Econ Finance &amp; Mkt, Bldg 80,445 Swanston St, Melbourne, Vic 3000, Australia.</t>
  </si>
  <si>
    <t>torgeir.aleti@rmit.edu.au; jipallant@swin.edu.au; annamaria.tuan@unibo.it; tom.vanlaer@sydney.edu.au</t>
  </si>
  <si>
    <t>Aleti, Torgeir/AAG-6310-2020; van Laer, Tom/AAC-2500-2019; Tuan, Annamaria/ABD-4320-2020; Pallant, Jason Ian/AHA-4192-2022</t>
  </si>
  <si>
    <t>Aleti, Torgeir/0000-0002-1222-3784; van Laer, Tom/0000-0003-4646-1569; Pallant, Jason Ian/0000-0002-1000-6719; Tuan, Annamaria/0000-0003-1471-3063</t>
  </si>
  <si>
    <t>1094-9968</t>
  </si>
  <si>
    <t>1520-6653</t>
  </si>
  <si>
    <t>J INTERACT MARK</t>
  </si>
  <si>
    <t>J. Interact. Mark.</t>
  </si>
  <si>
    <t>NOV</t>
  </si>
  <si>
    <t>10.1016/j.intmar.2019.03.003</t>
  </si>
  <si>
    <t>JK9GP</t>
  </si>
  <si>
    <t>WOS:000495146900002</t>
  </si>
  <si>
    <t>Berkhout, J</t>
  </si>
  <si>
    <t>Berkhout, Joost</t>
  </si>
  <si>
    <t>LOBBYING IN THE EUROPEAN UNION: INTEREST GROUPS, LOBBYING COALITIONS AND POLICY CHANGE</t>
  </si>
  <si>
    <t>PUBLIC ADMINISTRATION</t>
  </si>
  <si>
    <t>QUANTITATIVE TEXT ANALYSIS</t>
  </si>
  <si>
    <t>[Berkhout, Joost] Univ Amsterdam, NL-1012 WX Amsterdam, Netherlands</t>
  </si>
  <si>
    <t>Berkhout, J (corresponding author), Univ Amsterdam, NL-1012 WX Amsterdam, Netherlands.</t>
  </si>
  <si>
    <t>Berkhout, Joost/0000-0003-0527-8960</t>
  </si>
  <si>
    <t>WILEY-BLACKWELL</t>
  </si>
  <si>
    <t>HOBOKEN</t>
  </si>
  <si>
    <t>111 RIVER ST, HOBOKEN 07030-5774, NJ USA</t>
  </si>
  <si>
    <t>0033-3298</t>
  </si>
  <si>
    <t>1467-9299</t>
  </si>
  <si>
    <t>PUBLIC ADMIN</t>
  </si>
  <si>
    <t>Public Adm.</t>
  </si>
  <si>
    <t>U502</t>
  </si>
  <si>
    <t>10.1111/padm.12231</t>
  </si>
  <si>
    <t>DG8RF</t>
  </si>
  <si>
    <t>WOS:000372350600018</t>
  </si>
  <si>
    <t>Gavras, K; Mader, M; Schoen, H</t>
  </si>
  <si>
    <t>Gavras, Konstantin; Mader, Matthias; Schoen, Harald</t>
  </si>
  <si>
    <t>Convergence of European security and defense preferences? A quantitative text analysis of strategy papers, 1994-2018</t>
  </si>
  <si>
    <t>Security and defense politics; European integration; quantitative text analysis; preference convergence; strategy papers</t>
  </si>
  <si>
    <t>POLICY CONVERGENCE; POSITIONS; CULTURE; WORDS</t>
  </si>
  <si>
    <t>Since the end of the Cold War, the EU aims to advance to a relevant and autonomous actor in international politics-especially concerning security and defense politics. Scholars interested in whether the EU member states actually converge in their security and defense preferences often analyze strategy papers qualitatively, focusing on selected countries at specific points in time. In this article, we propose a dictionary approach for analyzing the development of security and defense preferences within the EU over the last three decades using quantitative text analysis. We make use of 163 strategy papers, published by all EU member states and the EU itself since 1994. The findings show that EU member states react similarly to international events, but do not converge substantially in their preferences. Furthermore, there is no substantial convergence to the position of the EU itself. We finally discuss usefulness and validity of quantitative text analysis in comparative research more broadly.</t>
  </si>
  <si>
    <t>[Gavras, Konstantin] Univ Mannheim, Dept Social Sci, A5 6,Room,A-342, D-68131 Mannheim, Germany; [Mader, Matthias] Univ Konstanz, Dept Polit &amp; Publ Adm, Constance, Germany</t>
  </si>
  <si>
    <t>University of Mannheim; University of Konstanz</t>
  </si>
  <si>
    <t>Gavras, K (corresponding author), Univ Mannheim, Dept Social Sci, A5 6,Room,A-342, D-68131 Mannheim, Germany.</t>
  </si>
  <si>
    <t>kgavras@mail.uni-mannheim.de</t>
  </si>
  <si>
    <t>Volkswagen Foundation under the European Common Defence and Shared Security in an Age of Brexit and Trump project [94760]</t>
  </si>
  <si>
    <t>Volkswagen Foundation under the European Common Defence and Shared Security in an Age of Brexit and Trump project</t>
  </si>
  <si>
    <t>This project has received funding from the Volkswagen Foundation under the European Common Defence and Shared Security in an Age of Brexit and Trump project (grant agreement no. 94760, http://www.seceurity.eu/).</t>
  </si>
  <si>
    <t>10.1177/14651165221103026</t>
  </si>
  <si>
    <t>JUN 2022</t>
  </si>
  <si>
    <t>5M4QF</t>
  </si>
  <si>
    <t>WOS:000813446100001</t>
  </si>
  <si>
    <t>Hauptli, A; Vogler, D</t>
  </si>
  <si>
    <t>Hauptli, Andrea; Vogler, Daniel</t>
  </si>
  <si>
    <t>Assessing the leeway of state-led strategic communication abroad: a comparison of news coverage on Austria, Germany, and Switzerland in Arabic</t>
  </si>
  <si>
    <t>PLACE BRANDING AND PUBLIC DIPLOMACY</t>
  </si>
  <si>
    <t>Strategic communication; Public diplomacy; Global communication; Comparative research; International news flows; News value; Arab media; Topic model; Automated content analysis</t>
  </si>
  <si>
    <t>INTERNATIONAL PUBLIC-RELATIONS; MEDIA; DIPLOMACY; AGENDA; DETERMINANTS; IMAGES; WORLD</t>
  </si>
  <si>
    <t>Public diplomacy programmes with the goal to enhance a country's reputation and image abroad have become wide-spread practice, also among small states with little geopolitical relevance. News media offer one of the most important platforms of their implementation. But do small states have the leeway to successfully implement their communication strategies on a global scale? Are media-based public diplomacy strategies even an option for those cases? This study assesses these questions based on international media resonance of states. Relating to the theoretical approach of country news value literature, a comparative research design is implemented. It analyses news coverage on the three German-speaking countries Germany, Austria, and Switzerland, performing a multi-level automated text analysis of 11,513 news media articles in Arabic. In accordance with existing empirical and theoretical contributions, it is shown that high-status states have more resonance-based leeway. Nevertheless, media resonance-based leeway of smaller states with lower status is caused differently, i.e. by their political, rather than their economic or military power.</t>
  </si>
  <si>
    <t>[Hauptli, Andrea] Univ Zurich, Dept Commun &amp; Media Res, Andreasstr 15, CH-8050 Zurich, Switzerland; [Vogler, Daniel] Univ Zurich, Reseach Ctr Publ Sphere &amp; Soc, Andreasstr 15, CH-8050 Zurich, Switzerland</t>
  </si>
  <si>
    <t>University of Zurich; University of Zurich</t>
  </si>
  <si>
    <t>Hauptli, A (corresponding author), Univ Zurich, Dept Commun &amp; Media Res, Andreasstr 15, CH-8050 Zurich, Switzerland.</t>
  </si>
  <si>
    <t>a.haeuptli@access.uzh.ch</t>
  </si>
  <si>
    <t>Vogler, Daniel/0000-0002-0211-7574; Haeuptli, Andrea/0000-0002-9795-2387</t>
  </si>
  <si>
    <t>Universitat Zurich</t>
  </si>
  <si>
    <t>Open Access funding provided by Universitat Zurich.</t>
  </si>
  <si>
    <t>PALGRAVE MACMILLAN LTD</t>
  </si>
  <si>
    <t>BASINGSTOKE</t>
  </si>
  <si>
    <t>BRUNEL RD BLDG, HOUNDMILLS, BASINGSTOKE RG21 6XS, HANTS, ENGLAND</t>
  </si>
  <si>
    <t>1751-8040</t>
  </si>
  <si>
    <t>1751-8059</t>
  </si>
  <si>
    <t>PLACE BRANDING PUBLI</t>
  </si>
  <si>
    <t>Place Branding Public Dipl.</t>
  </si>
  <si>
    <t>10.1057/s41254-021-00210-w</t>
  </si>
  <si>
    <t>APR 2021</t>
  </si>
  <si>
    <t>Hospitality, Leisure, Sport &amp; Tourism</t>
  </si>
  <si>
    <t>Social Sciences - Other Topics</t>
  </si>
  <si>
    <t>RQ4GM</t>
  </si>
  <si>
    <t>hybrid, Green Accepted</t>
  </si>
  <si>
    <t>WOS:000642378200001</t>
  </si>
  <si>
    <t>Walter, S</t>
  </si>
  <si>
    <t>Walter, Stefanie</t>
  </si>
  <si>
    <t>Better off without You? How the British Media Portrayed EU Citizens in Brexit News</t>
  </si>
  <si>
    <t>INTERNATIONAL JOURNAL OF PRESS-POLITICS</t>
  </si>
  <si>
    <t>Brexit; negativity; EU citizens; news reporting; popular press; local news; automated text analysis</t>
  </si>
  <si>
    <t>POLITICAL COMMUNICATION; ASYLUM SEEKERS; ATTITUDES; PRESS; NEWSPAPER; COVERAGE; IMMIGRATION; SENTIMENT; AMERICAN; CAMPAIGN</t>
  </si>
  <si>
    <t>The United Kingdom is the first country to withdraw its membership from the European Union (EU). Immigration featured high on the Brexit news agenda and EU citizens' rights to work and live in the United Kingdom are likely to be affected by the country's exit from the EU. This study analyzes how salient EU citizens were in Brexit news, and investigates whether there was a relationship between the negative portrayal of EU citizens and the type of news outlet. The analysis is based on 19,367 news stories published between June 1, 2015, and June 23, 2016. Automated content analysis was used to determine whether EU citizens were mentioned. The results do not reveal a divide between tabloids and broadsheets, but between national and regional papers. It is only in regional papers from England and Wales that EU citizens were more likely to be mentioned if the tone of a news story was more negative. The findings also suggest that the news media presented the Brexit referendum as a vote about migration in general rather than about intra-EU migration.</t>
  </si>
  <si>
    <t>[Walter, Stefanie] Univ Bremen, ZeMKI, Ctr Media Commun &amp; Informat Res, Bremen, Germany</t>
  </si>
  <si>
    <t>University of Bremen</t>
  </si>
  <si>
    <t>Walter, S (corresponding author), Univ Bremen, Ctr Media Commun &amp; Informat Res, Linzer Str 4, D-28359 Bremen, Germany.</t>
  </si>
  <si>
    <t>Stefanie.Walter@uni-bremen.de</t>
  </si>
  <si>
    <t>Walter, Stefanie/0000-0002-9304-3469</t>
  </si>
  <si>
    <t>1940-1612</t>
  </si>
  <si>
    <t>1940-1620</t>
  </si>
  <si>
    <t>INT J PRESS/POLIT</t>
  </si>
  <si>
    <t>Int. J. Press-Polit.</t>
  </si>
  <si>
    <t>10.1177/1940161218821509</t>
  </si>
  <si>
    <t>HP4WO</t>
  </si>
  <si>
    <t>WOS:000461677200005</t>
  </si>
  <si>
    <t>de Vries, E; Schoonvelde, M; Schumacher, G</t>
  </si>
  <si>
    <t>de Vries, Erik; Schoonvelde, Martijn; Schumacher, Gijs</t>
  </si>
  <si>
    <t>No Longer Lost in Translation: Evidence that Google Translate Works for Comparative Bag-of-Words Text Applications</t>
  </si>
  <si>
    <t>automated content analysis; statistical analysis of texts; bag-of-words models; Google Translate; LDA</t>
  </si>
  <si>
    <t>Automated text analysis allows researchers to analyze large quantities of text. Yet, comparative researchers are presented with a big challenge: across countries people speak different languages. To address this issue, some analysts have suggested using Google Translate to convert all texts into English before starting the analysis (Lucas et al. 2015). But in doing so, do we get lost in translation? This paper evaluates the usefulness of machine translation for bag-of-words models such as topic models. We use the europarl dataset and compare term-document matrices (TDMs) as well as topic model results from gold standard translated text and machine-translated text. We evaluate results at both the document and the corpus level. We first find TDMs for both text corpora to be highly similar, with minor differences across languages. What is more, we find considerable overlap in the set of features generated from human-translated and machine-translated texts. With regard to LDA topic models, we find topical prevalence and topical content to be highly similar with again only small differences across languages. We conclude that Google Translate is a useful tool for comparative researchers when using bag-of-words text models.</t>
  </si>
  <si>
    <t>[de Vries, Erik] Univ Stavanger, Dept Media &amp; Social Sci, Stavanger, Norway; [Schoonvelde, Martijn] Vrije Univ, Dept Polit Sci &amp; Publ Adm, Amsterdam, Netherlands; [Schumacher, Gijs] Univ Amsterdam, Dept Polit Sci, Amsterdam, Netherlands</t>
  </si>
  <si>
    <t>Universitetet i Stavanger; Vrije Universiteit Amsterdam; University of Amsterdam</t>
  </si>
  <si>
    <t>Schumacher, G (corresponding author), Univ Amsterdam, Dept Polit Sci, Amsterdam, Netherlands.</t>
  </si>
  <si>
    <t>erik.devries@uis.no; h.j.m.schoonvelde@vu.nl; g.schumacher@uva.nl</t>
  </si>
  <si>
    <t>Schoonvelde, Martijn/0000-0003-4370-2654; de Vries, Erik/0000-0002-4961-6047; Schumacher, Gijs/0000-0002-6503-4514</t>
  </si>
  <si>
    <t>European Union [649281]; Access Europe research center at the University of Amsterdam</t>
  </si>
  <si>
    <t>European Union(European Commission); Access Europe research center at the University of Amsterdam</t>
  </si>
  <si>
    <t>Replication code and data are available at the Political Analysis Dataverse (De Vries, Schoonvelde, and Schumacher 2018) while the supplementary materials for this article are available on the Political Analysis web site. The authors would like to thank James Cross, Aki Matsuo, Christian Rauh, Damian Trilling, Mariken van der Velden and Barbara Vis for helpful comments and suggestions. GS and MS acknowledge funding from the European Union's Horizon 2020 research and innovation program under grant agreement No 649281, EUENGAGE. EdV acknowledges funding for a research assistantship from the Access Europe (since 2018 : UVAccess Europe) research center at the University of Amsterdam.</t>
  </si>
  <si>
    <t>10.1017/pan.2018.26</t>
  </si>
  <si>
    <t>GW1YB</t>
  </si>
  <si>
    <t>Green Submitted, Green Published, hybrid</t>
  </si>
  <si>
    <t>WOS:000446677500004</t>
  </si>
  <si>
    <t>Huning, H</t>
  </si>
  <si>
    <t>Huening, Hendrik</t>
  </si>
  <si>
    <t>Schools' We-mentality and Students' Civic Engagement - A Text-based Approach</t>
  </si>
  <si>
    <t>CHILD INDICATORS RESEARCH</t>
  </si>
  <si>
    <t>Civic engagement; Sense of community; School climate; Text as data</t>
  </si>
  <si>
    <t>POLITICAL-PARTICIPATION; PSYCHOLOGICAL SENSE; MIDDLE SCHOOL; COMMUNITY; RESPONSIBILITY; CLASSROOM; RESOURCE; CLIMATE</t>
  </si>
  <si>
    <t>This paper studies the role of schools' we-mentality in shaping students' civic outcome. A school's we-mentality is important for the students' perception and education of sense of community. We-mentality is measured by an automated content-analysis approach applied to the schools' general principle. Data stem from a survey conducted in 13 German schools with 488 students. Using OLS and multi-level regression techniques, I find that stronger we-mentality is associated with more students being engaged in local civic activities. Moreover, students that exhibit stronger trust in others and are willing to engage with new and unknown tasks show more positive attitudes towards civic issues. The results hold relevance for the educational design of schools in fostering adolescents' civic education and participation.</t>
  </si>
  <si>
    <t>[Huening, Hendrik] Hamburg Univ, Dept Econ, Von Melle Pk 5, D-20146 Hamburg, Germany</t>
  </si>
  <si>
    <t>Huning, H (corresponding author), Hamburg Univ, Dept Econ, Von Melle Pk 5, D-20146 Hamburg, Germany.</t>
  </si>
  <si>
    <t>hendrik.huening@web.de</t>
  </si>
  <si>
    <t>European Union [822590]</t>
  </si>
  <si>
    <t>I am grateful to Lydia Mechtenberg for valuable feedback and to the WISO lab of Hamburg University for the outstanding technical assistance. This work has received funding from the European Union's Horizon 2020 research and innovation programme under grant agreement No 822590. Any dissemination of results here presented reflects only the author's view. The Agency is not responsible for any use that may be made of the information it contains. This study received ethical approval from the Institutional Review Board of the University of Hamburg. Written consent was obtained from participants and their parents before the study took place. The data for this study can be made available under reasonable request, except of the textual data from schools' homepages that would directly identify the schools' identities, which violates privacy agreements with the schools and responsible ministries. No material from other sources was used.</t>
  </si>
  <si>
    <t>1874-897X</t>
  </si>
  <si>
    <t>1874-8988</t>
  </si>
  <si>
    <t>CHILD INDIC RES</t>
  </si>
  <si>
    <t>Child Indic. Res.</t>
  </si>
  <si>
    <t>10.1007/s12187-022-09954-0</t>
  </si>
  <si>
    <t>AUG 2022</t>
  </si>
  <si>
    <t>Social Sciences, Interdisciplinary</t>
  </si>
  <si>
    <t>4E7HD</t>
  </si>
  <si>
    <t>hybrid, Green Published, Green Accepted</t>
  </si>
  <si>
    <t>WOS:000847992100001</t>
  </si>
  <si>
    <t>London, JA</t>
  </si>
  <si>
    <t>Levi, M; Rosenblum, N</t>
  </si>
  <si>
    <t>London, Jennifer A.</t>
  </si>
  <si>
    <t>Re-imagining the Cambridge School in the Age of Digital Humanities</t>
  </si>
  <si>
    <t>ANNUAL REVIEW OF POLITICAL SCIENCE, VOL 19</t>
  </si>
  <si>
    <t>Annual Review of Political Science</t>
  </si>
  <si>
    <t>Review; Book Chapter</t>
  </si>
  <si>
    <t>history of political thought; automated text analysis; text as data; discourse and politics; language; political theory</t>
  </si>
  <si>
    <t>HISTORY</t>
  </si>
  <si>
    <t>Recent work on the history of political thought, exploiting digital resources, is challenging the idea that empirically and hermeneutically minded political scientists must work independently in silos. Work by students of the Cambridge School and work by textual data miners are showing the way toward a new hermeneutical circle-one in which empirically and hermeneutically minded political scientists can use digital resources to analyze diverse texts and make groundbreaking discoveries on relationships between textual uses of language and political change. I analyze this new trend toward different sorts of political scientists using digital resources to study ideas, to outline underlying paradigms relating language and politics in these respective fields, and to consider how they could be brought into productive conversation. I then consider how such conversation would enrich subdisciplinary understandings of the role of language in politics. Ultimately, I use this analysis to generate a broader model for how empirically and hermeneutically inclined political scientists can benefit from collaboration in the age of digital humanities.</t>
  </si>
  <si>
    <t>[London, Jennifer A.] Univ Calif Los Angeles, Dept Polit Sci, Los Angeles, CA 90095 USA</t>
  </si>
  <si>
    <t>University of California System; University of California Los Angeles</t>
  </si>
  <si>
    <t>London, JA (corresponding author), Univ Calif Los Angeles, Dept Polit Sci, Los Angeles, CA 90095 USA.</t>
  </si>
  <si>
    <t>jenniferlondon@ucla.edu</t>
  </si>
  <si>
    <t>ANNUAL REVIEWS</t>
  </si>
  <si>
    <t>PALO ALTO</t>
  </si>
  <si>
    <t>4139 EL CAMINO WAY, PO BOX 10139, PALO ALTO, CA 94303-0897 USA</t>
  </si>
  <si>
    <t>1094-2939</t>
  </si>
  <si>
    <t>978-0-8243-3319-5</t>
  </si>
  <si>
    <t>ANNU REV POLIT SCI</t>
  </si>
  <si>
    <t>Annu. Rev. Polit. Sci.</t>
  </si>
  <si>
    <t>10.1146/annurev-polisci-061513-115924</t>
  </si>
  <si>
    <t>BE7XG</t>
  </si>
  <si>
    <t>WOS:000376010900019</t>
  </si>
  <si>
    <t>Trilling, D; van de Velde, B; Kroon, AC; Locherbach, F; Araujo, T; Strycharz, J; Raats, T; de Klerk, L; Jonkman, JGF</t>
  </si>
  <si>
    <t>IEEE</t>
  </si>
  <si>
    <t>Trilling, Damian; van de Velde, Bob; Kroon, Anne C.; Locherbach, Felicia; Araujo, Theo; Strycharz, Joanna; Raats, Tamara; de Klerk, Lisa; Jonkman, Jeroen G. F.</t>
  </si>
  <si>
    <t>INCA: Infrastructure for Content Analysis</t>
  </si>
  <si>
    <t>2018 IEEE 14TH INTERNATIONAL CONFERENCE ON E-SCIENCE (E-SCIENCE 2018)</t>
  </si>
  <si>
    <t>Proceeding IEEE International Conference on e-Science (e-Science)</t>
  </si>
  <si>
    <t>14th IEEE International Conference on E-Science (E-Science)</t>
  </si>
  <si>
    <t>OCT 29-NOV 01, 2018</t>
  </si>
  <si>
    <t>Amsterdam, NETHERLANDS</t>
  </si>
  <si>
    <t>IEEE,IEEE Comp Soc</t>
  </si>
  <si>
    <t>automated content analysis; Python module; social science; communication science</t>
  </si>
  <si>
    <t>We present INCA (short for INfrastructure for Content Analysis), a Python module for collecting, storing, processing, and analyzing a wide variety of media content, including but not limited to news, political debates, social media, forums, and customer reviews. Using Elasticsearch as a database backend and Celery for task management, it makes automated content analysis scalable. INCA's main objective is to enable and promote an integrated workflow. INCA focuses on re-usability of data, processors, and analyses; making all steps of automated content analysis (ACA) accessible to social scientists, without requiring advanced programming skills. Here, we present the aim, implementation, and recommended workflow for INCA.</t>
  </si>
  <si>
    <t>[Trilling, Damian; Kroon, Anne C.; Araujo, Theo; Strycharz, Joanna; Jonkman, Jeroen G. F.] Univ Amsterdam, Amsterdam Sch Commun Res, Dept Commun Sci, Amsterdam, Netherlands; [van de Velde, Bob; Raats, Tamara; de Klerk, Lisa] Univ Amsterdam, Informat Inst, Amsterdam, Netherlands; [Locherbach, Felicia] Univ Amsterdam, Grad Sch Commun, Dept Commun Sci, Amsterdam, Netherlands</t>
  </si>
  <si>
    <t>University of Amsterdam; University of Amsterdam; University of Amsterdam</t>
  </si>
  <si>
    <t>Trilling, D (corresponding author), Univ Amsterdam, Amsterdam Sch Commun Res, Dept Commun Sci, Amsterdam, Netherlands.</t>
  </si>
  <si>
    <t>d.c.trilling@uva.nl; r.n.vandevelde@uva.nl; a.c.kroon@uva.nl; felicia.locherbach@student.uva.nl; t.b.araujo@uva.nl; j.strycharz@uva.nl; tamara.raats@student.uva.nl; lisadk93@gmail.com; j.g.f.jonkman@uva.nl</t>
  </si>
  <si>
    <t>Loecherbach, Felicia/AAF-7001-2021; Loe, Fe/AEL-6212-2022; Strycharz, Joanna/U-2387-2017</t>
  </si>
  <si>
    <t>Loecherbach, Felicia/0000-0003-2637-613X; Strycharz, Joanna/0000-0001-7739-3349; Araujo, Theo/0000-0002-4633-9339</t>
  </si>
  <si>
    <t>SURF Cooperation</t>
  </si>
  <si>
    <t>This work was carried out on the Dutch national e-infrastructure with the support of SURF Cooperation. We thank all student assistants who contributed additional code: Eoin Hennessey, Marieke van Hoof, Konstantinos Lampridis, Payal Mitra, Arno Polegato, Jara Ruth Strebel, and Chamoetal Zeidler.</t>
  </si>
  <si>
    <t>345 E 47TH ST, NEW YORK, NY 10017 USA</t>
  </si>
  <si>
    <t>2325-372X</t>
  </si>
  <si>
    <t>978-1-5386-9156-4</t>
  </si>
  <si>
    <t>P IEEE INT C E-SCI</t>
  </si>
  <si>
    <t>10.1109/eScience.2018.00078</t>
  </si>
  <si>
    <t>Computer Science, Interdisciplinary Applications; Computer Science, Theory &amp; Methods</t>
  </si>
  <si>
    <t>BM1IJ</t>
  </si>
  <si>
    <t>Green Published</t>
  </si>
  <si>
    <t>WOS:000459856400070</t>
  </si>
  <si>
    <t>Olsson, B; Gawronska, B; Erlendsson, B; Lindlof, A; Dura, E</t>
  </si>
  <si>
    <t>Kolchanov, N; Hofestadt, R</t>
  </si>
  <si>
    <t>Olsson, B.; Gawronska, B.; Erlendsson, B.; Lindlof, A.; Dura, E.</t>
  </si>
  <si>
    <t>Automated text analysis of biomedical abstracts applied to the extraction of signaling pathways involved in plant cold-adaptation</t>
  </si>
  <si>
    <t>PROCEEDINGS OF THE FIFTH INTERNATIONAL CONFERENCE ON BIOINFORMATICS OF GENOME REGULATION AND STRUCTURE, VOL 3</t>
  </si>
  <si>
    <t>5th International Conference on Bioinformatics of Genome Regulation and Structure</t>
  </si>
  <si>
    <t>JUL 16-22, 2006</t>
  </si>
  <si>
    <t>Novosibirsk, RUSSIA</t>
  </si>
  <si>
    <t>Inst Cytol &amp; Genet, Lab Theoret Genet,Inst Cytol &amp; Genet,Siberian Branch Russian Acad Sci,Vavilov Soc Genet &amp; Breeders,Russian Acad Sci, Sci Council Bioinformat, Siberian Branch,Russian Acad Sci, Siberian Branch,Novosibirsk State Univ, Dept Natl Sci, Chair Informat Biol</t>
  </si>
  <si>
    <t>text analysis; information extraction; pathways; computational linguistics</t>
  </si>
  <si>
    <t>Motivation: Automated text analysis is an important tool for facilitating the extraction of knowledge from biomedical abstracts, thereby enabling researchers to build pathway models that integrate and summarize information from a large number of sources. Advanced methods of in-depth analysis of texts using grammar-based approaches developed within the field of computational linguistics must be adapted to the special requirements and challenges posed by biomedical texts, so that these methods can be made available to the bioinformatics and computational biology communities. Results: Our system for automated text analysis and extraction of pathway information is here applied to a set of PubMed abstracts concerning the CBF signaling pathway, which is a key pathway involved in the cold-adaptation response. of plants subjected to cold non-freezing temperatures. The system successfully and accurately re-discovers the main features of this pathway, while also pointing to interesting and plausible new hypotheses. The evaluation also reveals a number of issues which will be important targets in the continued development of the system, e.g. the need for an extended lexicon of taxonomic terms and an improved procedure for recognition of sentence boundaries.</t>
  </si>
  <si>
    <t>[Olsson, B.; Gawronska, B.; Erlendsson, B.; Lindlof, A.; Dura, E.] Univ Skovde, Sch Humanities &amp; Informat, Skovde, Sweden</t>
  </si>
  <si>
    <t>University of Skovde</t>
  </si>
  <si>
    <t>Olsson, B (corresponding author), Univ Skovde, Sch Humanities &amp; Informat, Skovde, Sweden.</t>
  </si>
  <si>
    <t>bjorn.olsson@his.se</t>
  </si>
  <si>
    <t>RUSSIAN ACAD SCI SIBERIAN BRANCH</t>
  </si>
  <si>
    <t>NOVOSIBIRSK</t>
  </si>
  <si>
    <t>NOVOSKIBRISK 90, MORSKOI, PROSP 2, 630090 NOVOSIBIRSK, RUSSIA</t>
  </si>
  <si>
    <t>978-5-7692-0848-5</t>
  </si>
  <si>
    <t>Biochemistry &amp; Molecular Biology; Computer Science</t>
  </si>
  <si>
    <t>BFQ58</t>
  </si>
  <si>
    <t>WOS:000243859500067</t>
  </si>
  <si>
    <t>Pitt, CS; Bal, AS; Plangger, K</t>
  </si>
  <si>
    <t>Pitt, Christine S.; Bal, Anjali Suniti; Plangger, Kirk</t>
  </si>
  <si>
    <t>New approaches to psychographic consumer segmentation Exploring fine art collectors using artificial intelligence, automated text analysis and correspondence analysis</t>
  </si>
  <si>
    <t>EUROPEAN JOURNAL OF MARKETING</t>
  </si>
  <si>
    <t>Correspondence analysis; Artificial intelligence; Art collectors; Psychographic segmentation; Quantitative analysis of qualitative data; Automated text analysis; Psychographic consumer segmentation</t>
  </si>
  <si>
    <t>NATURAL-LANGUAGE USE; PRONOUN USE; PERSONALITY; PREFERENCES; BEHAVIOR; INVESTMENT; IMPACT; MARKET</t>
  </si>
  <si>
    <t>Purpose While the motivation for collecting art has received considerable attention in the literature, less is known about the characteristics of the typical art collector. This paper aims to explore these characteristics to develop a typology of art consumers using a mixed method approach over several studies. Design/methodology/approach This is achieved by analyzing qualitative data, gathered via semi-structured interviews of art collectors, and quantitatively by means of natural language processing analysis and automated text analysis and using correspondence analysis to analyze and present the results. Findings The study's findings reveal four distinct clusters of art collectors based on their Big Five personality traits, as well as uncovering insights into how these types talk about their possessions. Originality/value This paper demonstrates a unique mixed methods approach to analyzing unstructured qualitative data. It shows how text data can be used to identify measurable market segments for which targeted strategies can be developed.</t>
  </si>
  <si>
    <t>[Pitt, Christine S.] Kungliga Tekniska Hogskolan, Dept Ind Econ &amp; Management, Stockholm, Sweden; [Bal, Anjali Suniti] Babson Coll, Dept Mkt, Wellesley, MA 02457 USA; [Plangger, Kirk] Kings Coll London, Kings Business Sch, London, England</t>
  </si>
  <si>
    <t>Royal Institute of Technology; Babson College; University of London; King's College London</t>
  </si>
  <si>
    <t>Bal, AS (corresponding author), Babson Coll, Dept Mkt, Wellesley, MA 02457 USA.</t>
  </si>
  <si>
    <t>christine.pitt@indek.kth.se; abal@babson.edu; kirk.plangger@kcl.ac.uk</t>
  </si>
  <si>
    <t>Plangger, Kirk/P-7532-2018</t>
  </si>
  <si>
    <t>Plangger, Kirk/0000-0002-0354-9707</t>
  </si>
  <si>
    <t>EMERALD GROUP PUBLISHING LTD</t>
  </si>
  <si>
    <t>BINGLEY</t>
  </si>
  <si>
    <t>HOWARD HOUSE, WAGON LANE, BINGLEY BD16 1WA, W YORKSHIRE, ENGLAND</t>
  </si>
  <si>
    <t>0309-0566</t>
  </si>
  <si>
    <t>1758-7123</t>
  </si>
  <si>
    <t>EUR J MARKETING</t>
  </si>
  <si>
    <t>Eur. J. Market.</t>
  </si>
  <si>
    <t>JAN 2</t>
  </si>
  <si>
    <t>10.1108/EJM-01-2019-0083</t>
  </si>
  <si>
    <t>KI6FO</t>
  </si>
  <si>
    <t>WOS:000511445400001</t>
  </si>
  <si>
    <t>Rodman, E</t>
  </si>
  <si>
    <t>Rodman, Emma</t>
  </si>
  <si>
    <t>A Timely Intervention: Tracking the Changing Meanings of Political Concepts with Word Vectors</t>
  </si>
  <si>
    <t>analysis of political speech; automated content analysis; statistical analysis of texts; time series</t>
  </si>
  <si>
    <t>SENTIMENT ANALYSIS; TEXT</t>
  </si>
  <si>
    <t>Word vectorization is an emerging text-as-data method that shows great promise for automating the analysis of semantics-here, the cultural meanings of words-in large volumes of text. Yet successes with this method have largely been confined to massive corpora where the meanings of words are presumed to be fixed. In political science applications, however, many corpora are comparatively small and many interesting questions hinge on the recognition that meaning changes over time. Together, these two facts raise vexing methodological challenges. Can word vectors trace the changing cultural meanings of words in typical small corpora use cases? I test four time-sensitive implementations of word vectors (word2vec) against a gold standard developed from a modest data set of 161 years of newspaper coverage. I find that one implementation method clearly outperforms the others in matching human assessments of how public dialogues around equality in America have changed over time. In addition, I suggest best practices for using word2vec to study small corpora for time series questions, including bootstrap resampling of documents and pretraining of vectors. I close by showing that word2vec allows granular analysis of the changing meaning of words, an advance over other common text-as-data methods for semantic research questions.</t>
  </si>
  <si>
    <t>[Rodman, Emma] Univ Washington, Dept Polit Sci, Seattle, WA 98195 USA</t>
  </si>
  <si>
    <t>University of Washington; University of Washington Seattle</t>
  </si>
  <si>
    <t>Rodman, E (corresponding author), Univ Washington, Dept Polit Sci, Seattle, WA 98195 USA.</t>
  </si>
  <si>
    <t>erodman@uw.edu</t>
  </si>
  <si>
    <t>Center for American Politics and Public Policy (CAPPP) at the University of Washington; National Science Foundation [1243917]</t>
  </si>
  <si>
    <t>Center for American Politics and Public Policy (CAPPP) at the University of Washington; National Science Foundation(National Science Foundation (NSF))</t>
  </si>
  <si>
    <t>This work was supported by the Center for American Politics and Public Policy (CAPPP) at the University of Washington and by the National Science Foundation [#1243917]. I am grateful for the invaluable advice and feedback received at various stages of this project from Chris Adolph, Jeffrey Arnold, Andreu Casas, Ryan Eastridge, Aziz Khan, Brendan O'Connor, Brandon Stewart, Rebecca Thorpe, Nora Webb Williams, and John Wilkerson, as well as from participants at the Ninth Annual Conference on New Directions in Analyzing Text as Data (TADA 2018). The paper was also much improved by thoughtful editorial and reviewer feedback at PA. Allyson McKinney and Molly Quinton contributed cheerful and diligent research assistance. This project was also improved by statistical and computational consulting provided by the Center for Statistics and the Social Sciences as well as the Center for Social Science Computation and Research, both at the University of Washington.</t>
  </si>
  <si>
    <t>PII S1047198719000238</t>
  </si>
  <si>
    <t>10.1017/pan.2019.23</t>
  </si>
  <si>
    <t>JS5NP</t>
  </si>
  <si>
    <t>WOS:000500352700005</t>
  </si>
  <si>
    <t>Hargrave, L; Blumenau, J</t>
  </si>
  <si>
    <t>Hargrave, Lotte; Blumenau, Jack</t>
  </si>
  <si>
    <t>No Longer Conforming to Stereotypes? Gender, Political Style and Parliamentary Debate in the UK</t>
  </si>
  <si>
    <t>BRITISH JOURNAL OF POLITICAL SCIENCE</t>
  </si>
  <si>
    <t>gender; legislative politics; debate; style; stereotypes; text as data</t>
  </si>
  <si>
    <t>DOUBLE-STANDARD; WOMEN; METAANALYSIS; LANGUAGE; TRENDS; POWER; MEN</t>
  </si>
  <si>
    <t>Research on political style suggests that where women make arguments that are more emotional, empathetic and positive, men use language that is more analytical, aggressive and complex. However, existing work does not consider how gendered patterns of style vary over time. Focusing on the UK, we argue that pressures for female politicians to conform to stereotypically 'feminine' styles have diminished in recent years. To test this argument, we describe novel quantitative text-analysis approaches for measuring a diverse set of styles at scale in political speech data. Analysing UK parliamentary debates between 1997 and 2019, we show that the debating styles of female MPs have changed substantially over time, as women in Parliament have increasingly adopted stylistic traits that are typically associated with 'masculine' stereotypes of communication. Our findings imply that prominent gender-based stereotypes of politicians' behaviour are significantly worse descriptors of empirical reality now than they were in the past.</t>
  </si>
  <si>
    <t>[Hargrave, Lotte; Blumenau, Jack] UCL, London, England</t>
  </si>
  <si>
    <t>University of London; University College London</t>
  </si>
  <si>
    <t>Hargrave, L (corresponding author), UCL, London, England.</t>
  </si>
  <si>
    <t>lotte.hargrave.16@ucl.ac.uk</t>
  </si>
  <si>
    <t>Blumenau, Jack/0000-0002-0536-1564; Hargrave, Lotte/0000-0001-5310-5277</t>
  </si>
  <si>
    <t>32 AVENUE OF THE AMERICAS, NEW YORK, NY 10013-2473 USA</t>
  </si>
  <si>
    <t>0007-1234</t>
  </si>
  <si>
    <t>1469-2112</t>
  </si>
  <si>
    <t>BRIT J POLIT SCI</t>
  </si>
  <si>
    <t>Br. J. Polit. Sci.</t>
  </si>
  <si>
    <t>PII S0007123421000648</t>
  </si>
  <si>
    <t>10.1017/S0007123421000648</t>
  </si>
  <si>
    <t>FEB 2022</t>
  </si>
  <si>
    <t>4Y3YY</t>
  </si>
  <si>
    <t>Green Submitted, Bronze</t>
  </si>
  <si>
    <t>WOS:000749889100001</t>
  </si>
  <si>
    <t>Guber, DL; Bohr, J; Dunlap, RE</t>
  </si>
  <si>
    <t>Guber, Deborah Lynn; Bohr, Jeremiah; Dunlap, Riley E.</t>
  </si>
  <si>
    <t>'TIME TO WAKE UP': Climate change advocacy in a polarized Congress, 1996-2015</t>
  </si>
  <si>
    <t>ENVIRONMENTAL POLITICS</t>
  </si>
  <si>
    <t>Climate change; political polarization; U; S; Congress; text-as-data</t>
  </si>
  <si>
    <t>PERCEPTIONS; ATTITUDES; LANGUAGE; POSITION; POLITICS; WEATHER; SCIENCE; TALK; TEXT</t>
  </si>
  <si>
    <t>Scholars who study the failure of climate change policy in the United States tend to focus on the mechanics of denial and the coordinated efforts of political operatives, conservative think tanks, and partisan news outlets to cast doubt on what has become overwhelming scientific consensus. In contrast, we address a factor that has been understudied until now - the role of climate change advocacy in the U.S. Congress. Using quantitative text analysis on a corpus of floor speeches published in theCongressional Recordbetween 1996 and 2015, we find notable differences in the language partisans use. Democrats communicate in ways that are message-based, emphasizing the weight of scientific evidence, while Republicans tend towards a softer, cue-based narrative based on anecdotes and storytelling. We end with a discussion of what climate change advocates can hope to accomplish through the 'politics of talk,' especially in an age of heightened polarization.</t>
  </si>
  <si>
    <t>[Guber, Deborah Lynn] Univ Vermont, Dept Polit Sci, Burlington, VT 05405 USA; [Bohr, Jeremiah] Univ Wisconsin Oshkosh, Dept Sociol, Oshkosh, WI USA; [Dunlap, Riley E.] Oklahoma State Univ, Dept Sociol, Stillwater, OK 74078 USA</t>
  </si>
  <si>
    <t>University of Vermont; University of Wisconsin System; University of Wisconsin Oshkosh; Oklahoma State University System; Oklahoma State University - Stillwater</t>
  </si>
  <si>
    <t>Guber, DL (corresponding author), Univ Vermont, Dept Polit Sci, Burlington, VT 05405 USA.</t>
  </si>
  <si>
    <t>deborah.guber@uvm.edu</t>
  </si>
  <si>
    <t>Dunlap, Riley/0000-0002-7047-3757; Guber, Deborah/0000-0001-6287-3905</t>
  </si>
  <si>
    <t>0964-4016</t>
  </si>
  <si>
    <t>1743-8934</t>
  </si>
  <si>
    <t>ENVIRON POLIT</t>
  </si>
  <si>
    <t>Environ. Polit.</t>
  </si>
  <si>
    <t>JUN 7</t>
  </si>
  <si>
    <t>10.1080/09644016.2020.1786333</t>
  </si>
  <si>
    <t>Environmental Studies; Political Science</t>
  </si>
  <si>
    <t>SI3LU</t>
  </si>
  <si>
    <t>WOS:000547443600001</t>
  </si>
  <si>
    <t>Measuring Interest Group Influence Using Quantitative Text Analysis</t>
  </si>
  <si>
    <t>influence; interest groups; quantitative text analysis; Wordfish; WORDSCORES</t>
  </si>
  <si>
    <t>POSITIONS; EU; POLICY</t>
  </si>
  <si>
    <t>The analysis of interest group influence is crucial in order to explain policy outcomes and to assess the democratic legitimacy of the European Union. However, owing to methodological difficulties in operationalizing influence, only few have studied it. This article therefore proposes a new approach to the measurement of influence, drawing on quantitative text analysis. By comparing interest groups' policy positions with the final policy output, one can draw conclusions about the winners and losers of the decision-making process. In order to examine the applicability of text analysis, a case study is presented comparing hand-coding, WORDSCORES and Wordfish. The results correlate highly and text analysis proves to be a powerful tool to measure interest groups' policy positions, paving the way for the large-scale analysis of interest group influence.</t>
  </si>
  <si>
    <t>Univ Mannheim, Grad Sch Econ &amp; Social Sci, Ctr Doctoral Studies Social &amp; Behav Sci, D-68131 Mannheim, Germany</t>
  </si>
  <si>
    <t>University of Mannheim</t>
  </si>
  <si>
    <t>Kluver, H (corresponding author), Univ Mannheim, Grad Sch Econ &amp; Social Sci, Ctr Doctoral Studies Social &amp; Behav Sci, D7,27, D-68131 Mannheim, Germany.</t>
  </si>
  <si>
    <t>hkluever@mail.uni-mannheim.de</t>
  </si>
  <si>
    <t>10.1177/1465116509346782</t>
  </si>
  <si>
    <t>521HE</t>
  </si>
  <si>
    <t>WOS:000271910400005</t>
  </si>
  <si>
    <t>Storz, A; Bernauer, J</t>
  </si>
  <si>
    <t>Storz, Anna; Bernauer, Julian</t>
  </si>
  <si>
    <t>Supply and Demand of Populism: A Quantitative Text Analysis of Cantonal SVP Manifestos</t>
  </si>
  <si>
    <t>SWISS POLITICAL SCIENCE REVIEW</t>
  </si>
  <si>
    <t>Populism; Selects; SVP; Political Attitudes; Quantitative Text Analysis; Party Manifestos</t>
  </si>
  <si>
    <t>RADICAL RIGHT; POLITICAL-PARTIES; WESTERN-EUROPE; POLICY; SUPPORT; PREFERENCES; AUSTRIA</t>
  </si>
  <si>
    <t>This article studies the heterogeneity of cantonal SVP branches in terms of populism and relates it to individual populist attitudes around the 2015 National Council elections. Quantitative text analysis of party manifestos delivers measures of populism for 24 cantonal branches of the SVP. These estimates are related to individual-level 2015 Selects survey data. The results indicate that there is still a variety of populism between the different cantonal branches of the SVP, even after the split into two parties (BDP and SVP). Evidence for general correspondence between contextual populism (supply side) and individual-level populist attitudes (demand side) is limited, but some patterns related to the existence of the BDP emerge.</t>
  </si>
  <si>
    <t>[Storz, Anna] Univ Bern, IPW, Bern, Switzerland; [Bernauer, Julian] Univ Mannheim, Mannheim Ctr European Social Res MZES, Data &amp; Methods Unit, Mannheim, Germany</t>
  </si>
  <si>
    <t>University of Bern; University of Mannheim</t>
  </si>
  <si>
    <t>Storz, A (corresponding author), Univ Bern, IPW, Bern, Switzerland.</t>
  </si>
  <si>
    <t>anna.storz@ipw.unibe.ch; julian.bernauer@mzes.uni-mannheim.de</t>
  </si>
  <si>
    <t>Bernauer, Julian/Y-8708-2019</t>
  </si>
  <si>
    <t>WILEY</t>
  </si>
  <si>
    <t>1424-7755</t>
  </si>
  <si>
    <t>1662-6370</t>
  </si>
  <si>
    <t>SWISS POLIT SCI REV</t>
  </si>
  <si>
    <t>Swiss Polit. Sci. Rev.</t>
  </si>
  <si>
    <t>10.1111/spsr.12332</t>
  </si>
  <si>
    <t>HD6CN</t>
  </si>
  <si>
    <t>WOS:000452619800009</t>
  </si>
  <si>
    <t>Berger, J; Packard, G</t>
  </si>
  <si>
    <t>Berger, Jonah; Packard, Grant</t>
  </si>
  <si>
    <t>Using Natural Language Processing to Understand People and Culture</t>
  </si>
  <si>
    <t>AMERICAN PSYCHOLOGIST</t>
  </si>
  <si>
    <t>natural language processing; automated text analysis; language; cultural success; culture</t>
  </si>
  <si>
    <t>CONCRETENESS; PSYCHOLOGY; PREJUDICE; SELECTION; COGNITION; DYNAMICS; INSIGHTS; EMOTION; SUCCESS; AROUSAL</t>
  </si>
  <si>
    <t>Language can provide important insights into people, and culture more generally. Further, the digitization of information has made more and more textual data available. But by itself, all that data are just that: data. Realizing its potential requires turning that data into insight. We suggest that automated text analysis can help. Recent advances have provided novel and increasingly accessible ways to extract insight from text. While some psychologists may be familiar with dictionary methods, fewer may be aware of approaches like topic modeling, word embeddings, and more advanced neural network language models. This article provides an overview of natural language processing and how it can be used to deepen understanding of people and culture. We outline the dual role of language (i.e., reflecting things about producers and impacting audiences), review some useful text analysis methods, and discuss how these approaches can help unlock a range of interesting questions. Public Significance Statement This article offers an integrative discussion of how automated text analysis can be used to shed light on people and culture. It reviews recent methods and explains how they can be applied by nonspecialists to answer a range of research questions.</t>
  </si>
  <si>
    <t>[Berger, Jonah] Univ Penn, Wharton Sch, 700 Jon M Huntsman Hall,3730 Walnut St, Philadelphia, PA 19104 USA; [Packard, Grant] York Univ, Schulich Sch Business, N York, ON, Canada</t>
  </si>
  <si>
    <t>University of Pennsylvania; York University - Canada</t>
  </si>
  <si>
    <t>Berger, J (corresponding author), Univ Penn, Wharton Sch, 700 Jon M Huntsman Hall,3730 Walnut St, Philadelphia, PA 19104 USA.</t>
  </si>
  <si>
    <t>jberger@wharton.upenn.edu</t>
  </si>
  <si>
    <t>AMER PSYCHOLOGICAL ASSOC</t>
  </si>
  <si>
    <t>WASHINGTON</t>
  </si>
  <si>
    <t>750 FIRST ST NE, WASHINGTON, DC 20002-4242 USA</t>
  </si>
  <si>
    <t>0003-066X</t>
  </si>
  <si>
    <t>1935-990X</t>
  </si>
  <si>
    <t>AM PSYCHOL</t>
  </si>
  <si>
    <t>Am. Psychol.</t>
  </si>
  <si>
    <t>MAY-JUN</t>
  </si>
  <si>
    <t>10.1037/amp0000882</t>
  </si>
  <si>
    <t>DEC 2021</t>
  </si>
  <si>
    <t>6C3QP</t>
  </si>
  <si>
    <t>WOS:000733230300001</t>
  </si>
  <si>
    <t>Peterlin, J; Mesko, M; Dimovski, V; Roblek, V</t>
  </si>
  <si>
    <t>Peterlin, Judita; Mesko, Maja; Dimovski, Vlado; Roblek, Vasja</t>
  </si>
  <si>
    <t>Automated content analysis: The review of the big data systemic discourse in tourism and hospitality</t>
  </si>
  <si>
    <t>SYSTEMS RESEARCH AND BEHAVIORAL SCIENCE</t>
  </si>
  <si>
    <t>automated content analysis; big data; sustainability; sustainable tourism; tourism</t>
  </si>
  <si>
    <t>DATA ANALYTICS; MANAGEMENT; DESTINATIONS; DEMAND; ORGANIZATIONS; LEXIMANCER; GENERATION; MODELS; IMAGE</t>
  </si>
  <si>
    <t>Tourism is one of the economic activities that has changed most since large-scale multidimensional data set, so-called big data, was provided. The scientific literature on big data and tourism with the hospitality industry has been growing exponentially, which is, for this reason, hard to comprehend and synthesise manually. Our research question is how to familiarise oneself with the current knowledge of the relationship between the big data and the complex changes in the tourism and hospitality industry. An automated content analysis procedure was used to identify key topics and concepts of interest to the researchers. A careful review of the abstracts and full texts was carried out, resulting in a final list of 308 papers published in 154 journals. We used the Leximancer software 5.0 to create an automated content analysis. Seven topics (tourism, data, search, model, industry, online and travel) from papers published between 2011 and 5/2020 were found. We propose future development trends of big data in sustainable tourism.</t>
  </si>
  <si>
    <t>[Peterlin, Judita; Dimovski, Vlado] Univ Ljubljana, Sch Econ &amp; Business, Ljubljana, Slovenia; [Mesko, Maja] Univ Primorska, Fac Management, Koper, Slovenia; [Mesko, Maja] Univ Maribor, Fac Org Sci, Kranj, Slovenia; [Roblek, Vasja] Fac Org Studies Novo Mesto, Ulica Talcev 3, Novo Mesto, Slovenia</t>
  </si>
  <si>
    <t>University of Ljubljana; University of Primorska; University of Maribor</t>
  </si>
  <si>
    <t>Roblek, V (corresponding author), Fac Org Studies Novo Mesto, Ulica Talcev 3, Novo Mesto, Slovenia.</t>
  </si>
  <si>
    <t>vasja.roblek@gmx.com</t>
  </si>
  <si>
    <t>Roblek, Vasja/C-1836-2013</t>
  </si>
  <si>
    <t>Roblek, Vasja/0000-0003-1182-3400</t>
  </si>
  <si>
    <t>1092-7026</t>
  </si>
  <si>
    <t>1099-1743</t>
  </si>
  <si>
    <t>SYST RES BEHAV SCI</t>
  </si>
  <si>
    <t>Syst. Res. Behav. Sci.</t>
  </si>
  <si>
    <t>10.1002/sres.2790</t>
  </si>
  <si>
    <t>Management; Social Sciences, Interdisciplinary</t>
  </si>
  <si>
    <t>Business &amp; Economics; Social Sciences - Other Topics</t>
  </si>
  <si>
    <t>RY7VN</t>
  </si>
  <si>
    <t>WOS:000637221400001</t>
  </si>
  <si>
    <t>Ford, JM; Stetz, TA; Bott, MM; O'Leary, BS</t>
  </si>
  <si>
    <t>Automated content analysis of multiple-choice test item banks</t>
  </si>
  <si>
    <t>SOCIAL SCIENCE COMPUTER REVIEW</t>
  </si>
  <si>
    <t>automated content analysis; psychometries; test item banks; testing; validity</t>
  </si>
  <si>
    <t>TOOLS</t>
  </si>
  <si>
    <t>Test item review is a specialized type of content analysis conducted to identify and correct test item flaws early in the test development process. Test item reviewers not only examine the targeted content of a test but also remove inappropriate content and balance various types of incidental content. An automated content analysis implementation of Hiller's verbal ambiguity scales and Laffal's General Concept Dictionary of English was used to examine 576 multiple-choice test items before and after test item review and revision by experienced item editors. Hiller's scales detected some problems with item clarity. Laffal's categories detected content imbalance between test forms but not inappropriate item content.</t>
  </si>
  <si>
    <t>Brigham Young Univ, Provo, UT 84602 USA; Cent Michigan Univ, Mt Pleasant, MI 48859 USA; George Washington Univ, Sch Business Management, Washington, DC 20052 USA; Univ Maryland, College Pk, MD 20742 USA</t>
  </si>
  <si>
    <t>Brigham Young University; Central Michigan University; George Washington University; University System of Maryland; University of Maryland College Park</t>
  </si>
  <si>
    <t>Ford, JM (corresponding author), US Off Personnel Management, Washington, DC USA.</t>
  </si>
  <si>
    <t>0894-4393</t>
  </si>
  <si>
    <t>SOC SCI COMPUT REV</t>
  </si>
  <si>
    <t>Soc. Sci. Comput. Rev.</t>
  </si>
  <si>
    <t>FAL</t>
  </si>
  <si>
    <t>10.1177/089443930001800303</t>
  </si>
  <si>
    <t>Computer Science, Interdisciplinary Applications; Information Science &amp; Library Science; Social Sciences, Interdisciplinary</t>
  </si>
  <si>
    <t>Computer Science; Information Science &amp; Library Science; Social Sciences - Other Topics</t>
  </si>
  <si>
    <t>337TK</t>
  </si>
  <si>
    <t>WOS:000088377600003</t>
  </si>
  <si>
    <t>Fteimi, N; Basten, D; Lehner, F</t>
  </si>
  <si>
    <t>Fteimi, Nora; Basten, Dirk; Lehner, Franz</t>
  </si>
  <si>
    <t>Advancing Automated Content Analysis in Knowledge Management Research: The Use of Compound Concepts</t>
  </si>
  <si>
    <t>INTERNATIONAL JOURNAL OF KNOWLEDGE MANAGEMENT</t>
  </si>
  <si>
    <t>Automated Content Analysis; Compound Concepts; Corpus Linguistics; Frequency Counts; Knowledge Management Dictionary; Knowledge Management Literature; Literature Review; R Software; Text Analytics</t>
  </si>
  <si>
    <t>TEXT ANALYTICS</t>
  </si>
  <si>
    <t>This article reports on the development of a knowledge management (KM) dictionary and its application to automated content analysis to investigate topical foci of KM publications and provide an overview of the current research landscape. While automated content analysis gains importance, a problem prevails concerning the use and analysis of compound concepts (e.g., organizational learning). Using a self-developed dictionary of KM-related compound concepts, a sample of 4,290 publications from ten top-ranked KM journals and one KM conference was analyzed using text-mining software. Based on the dictionary approach, this study investigates core research themes of the KM discipline and compares key research interests throughout the IJKM community and those of other outlets. The investigation provides guidance to identify research opportunities in KM and provides useful implications concerning the application of dictionaries. Practitioners might adapt their organizations' approaches to KM accordingly, with regard to prevailing themes and trends in KM research.</t>
  </si>
  <si>
    <t>[Fteimi, Nora] Univ Passau, Dept Informat Syst, Passau, Germany; [Basten, Dirk] Univ Cologne, Dept Informat Syst &amp; Syst Dev, Cologne, Germany; [Lehner, Franz] Univ Passau, Passau, Germany</t>
  </si>
  <si>
    <t>University of Passau; University of Cologne; University of Passau</t>
  </si>
  <si>
    <t>Fteimi, N (corresponding author), Univ Passau, Dept Informat Syst, Passau, Germany.</t>
  </si>
  <si>
    <t>IGI GLOBAL</t>
  </si>
  <si>
    <t>HERSHEY</t>
  </si>
  <si>
    <t>701 E CHOCOLATE AVE, STE 200, HERSHEY, PA 17033-1240 USA</t>
  </si>
  <si>
    <t>1548-0666</t>
  </si>
  <si>
    <t>1548-0658</t>
  </si>
  <si>
    <t>INT J KNOWL MANAG</t>
  </si>
  <si>
    <t>Int. J. Knowl. Manag.</t>
  </si>
  <si>
    <t>JAN-MAR</t>
  </si>
  <si>
    <t>10.4018/IJKM.2019010104</t>
  </si>
  <si>
    <t>Management</t>
  </si>
  <si>
    <t>HI6DE</t>
  </si>
  <si>
    <t>WOS:000456542600004</t>
  </si>
  <si>
    <t>Reinhard, J</t>
  </si>
  <si>
    <t>Reinhard, Janine</t>
  </si>
  <si>
    <t>'Because we are all Europeans!' When do EU Member States use normative arguments?</t>
  </si>
  <si>
    <t>Arguing-bargaining-debate; EU intergovernmental negotiations; negotiation strategies; quantitative text analysis; rhetorical action</t>
  </si>
  <si>
    <t>BARGAINING POWER; NEGOTIATIONS; UNION</t>
  </si>
  <si>
    <t>Recent debate has highlighted the importance of communication and arguments to explanations of the progress and results of international negotiations. Various studies have indicated that member states taking part in EU negotiations do indeed use arguments, either owing to a normative conception of arguing as a 'truth seeking discourse' or a conception of strategic arguing. We also know that contextual conditions, such as the extent to which negotiations are publicized, or the characteristics of the issue being negotiated, affect the degree of arguing. This contribution takes a different view, focusing on actor-specific use of arguments. I find that some member states are more inclined to use arguments than others and try to find explanations that could account for this variation. I hypothesize that the availability of power resources derived from bargaining theory should affect the use of arguments. The subject under investigation here is the EU Intergovernmental Conference leading to the Treaty of Amsterdam (1997). By means of an automated content analysis of member states' position papers, I show that member states who have good alternatives to the agreement being negotiated are less likely to use arguments.</t>
  </si>
  <si>
    <t>Univ Konstanz, Dept Polit &amp; Publ Adm, Chair Int Relat &amp; Conflict Management, D-78457 Constance, Germany</t>
  </si>
  <si>
    <t>University of Konstanz</t>
  </si>
  <si>
    <t>Reinhard, J (corresponding author), Univ Konstanz, Dept Polit &amp; Publ Adm, Chair Int Relat &amp; Conflict Management, D-78457 Constance, Germany.</t>
  </si>
  <si>
    <t>janine.reinhard@uni-konstanz.de</t>
  </si>
  <si>
    <t>4 PARK SQUARE, MILTON PARK, ABINGDON OX14 4RN, OXFORDSHIRE, ENGLAND</t>
  </si>
  <si>
    <t>10.1080/13501763.2012.662072</t>
  </si>
  <si>
    <t>030SX</t>
  </si>
  <si>
    <t>WOS:000310591500003</t>
  </si>
  <si>
    <t>Sebok, M; Kacsuk, Z</t>
  </si>
  <si>
    <t>Sebok, Miklos; Kacsuk, Zoltan</t>
  </si>
  <si>
    <t>The Multiclass Classification of Newspaper Articles with Machine Learning: The Hybrid Binary Snowball Approach</t>
  </si>
  <si>
    <t>machine learning; statistical analysis of texts; Comparative Agendas Project; multiclass classification; automated content analysis</t>
  </si>
  <si>
    <t>In this article, we present a machine learning-based solution for matching the performance of the gold standard of double-blind human coding when it comes to content analysis in comparative politics. We combine a quantitative text analysis approach with supervised learning and limited human resources in order to classify the front-page articles of a leading Hungarian daily newspaper based on their full text. Our goal was to assign items in our dataset to one of 21 policy topics based on the codebook of the Comparative Agendas Project. The classification of the imbalanced classes of topics was handled by a hybrid binary snowball workflow. This relies on limited human resources as well as supervised learning; it simplifies the multiclass problem to one of binary choice; and it is based on a snowball approach as we augment the training set with machine-classified observations after each successful round and also between corpora. Our results show that our approach provided better precision results (of over 80% for most topic codes) than what is customary for human coders and most computer-assisted coding projects. Nevertheless, this high precision came at the expense of a relatively low, below 60%, share of labeled articles.</t>
  </si>
  <si>
    <t>[Sebok, Miklos; Kacsuk, Zoltan] Hungarian Acad Sci, Ctr Social Sci, Budapest, Hungary; [Kacsuk, Zoltan] Hsch Medien, Stuttgart, Germany</t>
  </si>
  <si>
    <t>Hungarian Academy of Sciences; Hungarian Centre for Social Sciences</t>
  </si>
  <si>
    <t>Sebok, M (corresponding author), Hungarian Acad Sci, Ctr Social Sci, Budapest, Hungary.</t>
  </si>
  <si>
    <t>sebok.miklos@tk.mta.hu</t>
  </si>
  <si>
    <t>Sebők, Miklós/AAG-4854-2019</t>
  </si>
  <si>
    <t>Sebők, Miklós/0000-0003-0595-2951</t>
  </si>
  <si>
    <t>National Research, Development and Innovation Office (NKFIH) [AJP-K-109303, FK-123907]; Bolyai Research Grant; Incubator and Flagship grants of ELKH TK</t>
  </si>
  <si>
    <t>National Research, Development and Innovation Office (NKFIH)(National Research, Development &amp; Innovation Office (NRDIO) - Hungary); Bolyai Research Grant(Hungarian Academy of Sciences); Incubator and Flagship grants of ELKH TK</t>
  </si>
  <si>
    <t>This work was supported by the National Research, Development and Innovation Office (NKFIH) grant (AJP-K-109303, FK-123907); the Incubator and Flagship grants of ELKH TK, and the Bolyai Research Grant for Miklos Sebok.</t>
  </si>
  <si>
    <t>PII S1047198720000273</t>
  </si>
  <si>
    <t>10.1017/pan.2020.27</t>
  </si>
  <si>
    <t>RK4KL</t>
  </si>
  <si>
    <t>WOS:000638266200006</t>
  </si>
  <si>
    <t>Habersack, F; Werner, A</t>
  </si>
  <si>
    <t>Habersack, Fabian; Werner, Annika</t>
  </si>
  <si>
    <t>How non-radical right parties strategically use nativist language: Evidence from an automated content analysis of Austrian, German, and Swiss election manifestos</t>
  </si>
  <si>
    <t>PARTY POLITICS</t>
  </si>
  <si>
    <t>nativism; party competition; quantitative text analysis</t>
  </si>
  <si>
    <t>RADICAL RIGHT; MAINSTREAM PARTIES; SPATIAL THEORY; POLICY SHIFTS; COMPETITION; NATIONALISM</t>
  </si>
  <si>
    <t>Radical right parties and their nativist ideas have gained considerable momentum, compelling non-radical parties to engage with this demand and with the nativist Zeitgeist. Yet, aside from general trends such as tougher stances on migration, we know little about the strategic choices of parties when balancing their commitment to core policy goals and the need to be timely, that is, to respond changing environments. Theoretically, parties may either adapt their ideological core to signal commitment or merely attribute nativist ideas to secondary issue areas to signal general responsiveness. Drawing on Austrian, German, and Swiss manifestos for over two decades and establishing a novel dictionary to assess parties' use of nativism, we find that while previous studies showing right-wing parties to compete with RRs using nativism in the same domains are correct, the strategic choices around this competition are more complex. How much commitment to nativist ideas parties show depends on whether RR parties use the same domains to construct their nativist claims. For research on party competition, this means that more attention should be paid to how rather than if parties engage with their rivals.</t>
  </si>
  <si>
    <t>[Habersack, Fabian] Univ Innsbruck, Polit Sci, Univ Str 15, A-6020 Innsbruck, Austria; [Werner, Annika] Australian Natl Univ, Sch Polit &amp; Int Relat, Acton, Australia</t>
  </si>
  <si>
    <t>University of Innsbruck; Australian National University</t>
  </si>
  <si>
    <t>Habersack, F (corresponding author), Univ Innsbruck, Polit Sci, Univ Str 15, A-6020 Innsbruck, Austria.</t>
  </si>
  <si>
    <t>fabian.habersack@uibk.ac.at</t>
  </si>
  <si>
    <t>Habersack, Fabian/AAD-5099-2022</t>
  </si>
  <si>
    <t>Habersack, Fabian/0000-0001-7792-1447; Werner, Annika/0000-0001-7341-0551</t>
  </si>
  <si>
    <t>1354-0688</t>
  </si>
  <si>
    <t>1460-3683</t>
  </si>
  <si>
    <t>PARTY POLIT</t>
  </si>
  <si>
    <t>Party Polit.</t>
  </si>
  <si>
    <t>10.1177/13540688221103930</t>
  </si>
  <si>
    <t>MAY 2022</t>
  </si>
  <si>
    <t>1U5XY</t>
  </si>
  <si>
    <t>WOS:000805486600001</t>
  </si>
  <si>
    <t>Chakrabarti, P; Frye, M</t>
  </si>
  <si>
    <t>Chakrabarti, Parijat; Frye, Margaret</t>
  </si>
  <si>
    <t>A mixed-methods framework for analyzing text data: Integrating computational techniques with qualitative methods in demography</t>
  </si>
  <si>
    <t>DEMOGRAPHIC RESEARCH</t>
  </si>
  <si>
    <t>SOCIAL-SCIENCE; HIV/AIDS; TRANSPARENCY; RELIABILITY; STRATEGIES; EPIDEMIC; COVERAGE; ACCESS; MALAWI; CONDOM</t>
  </si>
  <si>
    <t>BACKGROUND Automated text analysis is widely used across the social sciences, yet the application of these methods has largely proceeded independently of qualitative analysis. OBJECTIVE This paper explores the advantages of applying automated text analysis to augment traditional qualitative methods in demography. Computational text analysis does not replace close reading or subjective theorizing, but it can provide a complementary set of tools that we believe will be appealing for qualitative demographers. METHODS We apply topic modeling to text data from the Malawi Journals Project as a case study. RESULTS We examine three common issues that demographers face in analyzing qualitative data: large samples, the challenge of comparing qualitative data across external categories, and making data analysis transparent and readily accessible to other scholars. We discuss ways that new tools from machine learning and computer science might help qualitative scholars to address these issues. CONCLUSIONS We believe that there is great promise in mixed-method approaches to analyzing text. New methods that allow better access to data and new ways to approach qualitative data are likely to be fertile ground for research. CONTRIBUTIONS No research, to our knowledge, has used automated text analysis to take an explicitly mixed-method approach to the analysis of textual data. We develop a framework that allows qualitative researchers to do so.</t>
  </si>
  <si>
    <t>[Chakrabarti, Parijat; Frye, Margaret] Princeton Univ, Dept Sociol, Princeton, NJ 08544 USA</t>
  </si>
  <si>
    <t>Princeton University</t>
  </si>
  <si>
    <t>Chakrabarti, P (corresponding author), Princeton Univ, Dept Sociol, Princeton, NJ 08544 USA.</t>
  </si>
  <si>
    <t>parijatc@princeton.edu</t>
  </si>
  <si>
    <t>MAX PLANCK INST DEMOGRAPHIC RESEARCH</t>
  </si>
  <si>
    <t>ROSTOCK</t>
  </si>
  <si>
    <t>KONRAD-ZUSE-STR1, ROSTOCK, 18057, GERMANY</t>
  </si>
  <si>
    <t>1435-9871</t>
  </si>
  <si>
    <t>DEMOGR RES</t>
  </si>
  <si>
    <t>Demogr. Res.</t>
  </si>
  <si>
    <t>NOV 2</t>
  </si>
  <si>
    <t>Demography</t>
  </si>
  <si>
    <t>FL4UX</t>
  </si>
  <si>
    <t>gold, Green Submitted</t>
  </si>
  <si>
    <t>WOS:000414228100001</t>
  </si>
  <si>
    <t>Proksch, SO; Wratil, C; Wackerle, J</t>
  </si>
  <si>
    <t>Proksch, Sven-Oliver; Wratil, Christopher; Waeckerle, Jens</t>
  </si>
  <si>
    <t>Testing the Validity of Automatic Speech Recognition for Political Text Analysis</t>
  </si>
  <si>
    <t>Google; YouTube; text analysis; transcriptions; automatic speech recognition; campaigns</t>
  </si>
  <si>
    <t>BARGAINING POWER; ELECTION; POSITIONS; SENTIMENT; WORDS; MODEL; NEWS; VOTE</t>
  </si>
  <si>
    <t>The analysis of political texts from parliamentary speeches, party manifestos, social media, or press releases forms the basis of major and growing fields in political science, not least since advances in text-as-data methods have rendered the analysis of large text corpora straightforward. However, a lot of sources of political speech are not regularly transcribed, and their on-demand transcription by humans is prohibitively expensive for research purposes. This class includes political speech in certain legislatures, during political party conferences as well as television interviews and talk shows. We showcase how scholars can use automatic speech recognition systems to analyze such speech with quantitative text analysis models of the bag-of-words variety. To probe results for robustness to transcription error, we present an original word error rate simulation (WERSIM) procedure implemented in . We demonstrate the potential of automatic speech recognition to address open questions in political science with two substantive applications and discuss its limitations and practical challenges.</t>
  </si>
  <si>
    <t>[Proksch, Sven-Oliver; Wratil, Christopher; Waeckerle, Jens] Univ Cologne, Cologne Ctr Comparat Polit, Cologne, Germany; [Wratil, Christopher] Harvard Univ, Minda de Gunzburg Ctr European Studies, Cambridge, MA 02138 USA</t>
  </si>
  <si>
    <t>University of Cologne; Harvard University</t>
  </si>
  <si>
    <t>Proksch, SO (corresponding author), Univ Cologne, Cologne Ctr Comparat Polit, Cologne, Germany.</t>
  </si>
  <si>
    <t>so.proksch@uni-koeln.de</t>
  </si>
  <si>
    <t>Wäckerle, Jens/ABA-9169-2020; Wratil, Christopher/ABL-1792-2022</t>
  </si>
  <si>
    <t>Wäckerle, Jens/0000-0002-5108-7711; Wratil, Christopher/0000-0002-7339-9628; Proksch, Sven-Oliver/0000-0002-6130-6498</t>
  </si>
  <si>
    <t>Fritz Thyssen Stiffung [20.16.0.045WW]</t>
  </si>
  <si>
    <t>Fritz Thyssen Stiffung</t>
  </si>
  <si>
    <t>We are grateful to Leonie Diffene, Felix Reich and Pit Rieger for their excellent research assistance. We are also very thankful for helpful comments on earlier versions of this work by two anonymous reviewers as well as Jeff Gill. Christopher Wratil would like to acknowledge funding by the Fritz Thyssen Stiffung (20.16.0.045WW). All remaining errors are our own. The replication files for this article are available on the Political Analysis Dataverse (Proksch, Wratil, and Wackerle 2018).</t>
  </si>
  <si>
    <t>10.1017/pan.2018.62</t>
  </si>
  <si>
    <t>IJ1VU</t>
  </si>
  <si>
    <t>WOS:000475687800005</t>
  </si>
  <si>
    <t>Biesbroek, R; Badloe, S; Athanasiadis, IN</t>
  </si>
  <si>
    <t>Biesbroek, Robbert; Badloe, Shashi; Athanasiadis, Ioannis N.</t>
  </si>
  <si>
    <t>Machine learning for research on climate change adaptation policy integration: an exploratory UK case study</t>
  </si>
  <si>
    <t>REGIONAL ENVIRONMENTAL CHANGE</t>
  </si>
  <si>
    <t>Machine learning; Quantitative text analysis; Climate change adaptation; Policy and decision making; Mainstreaming; Artificial intelligence</t>
  </si>
  <si>
    <t>BIG DATA; CHALLENGES; COHERENCE</t>
  </si>
  <si>
    <t>Understanding how climate change adaptation is integrated into existing policy sectors and organizations is critical to ensure timely and effective climate actions across multiple levels and scales. Studying climate change adaptation policy has become increasingly difficult, particularly given the increasing volume of potentially relevant data available, the validity of existing methods handling large volumes of data, and comprehensiveness of assessing processes of integration across all sectors and public sector organizations over time. This article explores the use of machine learning to assist researchers when conducting adaptation policy research using text as data. We briefly introduce machine learning for text analysis, present the steps of training and testing a neural network model to classify policy texts using data from the UK, and demonstrate its usefulness with quantitative and qualitative illustrations. We conclude the article by reflecting on the merits and pitfalls of using machine learning in our case study and in general for researching climate change adaptation policy.</t>
  </si>
  <si>
    <t>[Biesbroek, Robbert] Wageningen Univ &amp; Res, Publ Adm &amp; Policy Grp, Wageningen, Netherlands; [Badloe, Shashi] Wageningen Univ &amp; Res, Bioinformat Grp, Wageningen, Netherlands; [Athanasiadis, Ioannis N.] Wageningen Univ &amp; Res, Geoinformat Sci &amp; Remote Sensing Lab, Wageningen, Netherlands</t>
  </si>
  <si>
    <t>Wageningen University &amp; Research; Wageningen University &amp; Research; Wageningen University &amp; Research</t>
  </si>
  <si>
    <t>Biesbroek, R (corresponding author), Wageningen Univ &amp; Res, Publ Adm &amp; Policy Grp, Wageningen, Netherlands.</t>
  </si>
  <si>
    <t>robbert.biesbroek@wur.nl</t>
  </si>
  <si>
    <t>Biesbroek, Robbert/GZZ-4476-2022; Athanasiadis, Ioannis N/F-6301-2010; Biesbroek, Robbert/ABE-3686-2021</t>
  </si>
  <si>
    <t>Biesbroek, Robbert/0000-0002-2906-1419; Athanasiadis, Ioannis N/0000-0003-2764-0078; Biesbroek, Robbert/0000-0002-2906-1419</t>
  </si>
  <si>
    <t>Netherlands Organization for Scientific Research (NWO) [451-117-006 4140]; Wageningen University &amp; Research's SSG Excellence fund</t>
  </si>
  <si>
    <t>Netherlands Organization for Scientific Research (NWO)(Netherlands Organization for Scientific Research (NWO)); Wageningen University &amp; Research's SSG Excellence fund</t>
  </si>
  <si>
    <t>Contributions by RB were funded through the Netherlands Organization for Scientific Research (NWO) grant no. 451-117-006 4140. Contributions of SB were funded through Wageningen University &amp; Research's SSG Excellence funding (2018).</t>
  </si>
  <si>
    <t>SPRINGER HEIDELBERG</t>
  </si>
  <si>
    <t>HEIDELBERG</t>
  </si>
  <si>
    <t>TIERGARTENSTRASSE 17, D-69121 HEIDELBERG, GERMANY</t>
  </si>
  <si>
    <t>1436-3798</t>
  </si>
  <si>
    <t>1436-378X</t>
  </si>
  <si>
    <t>REG ENVIRON CHANGE</t>
  </si>
  <si>
    <t>Reg. Envir. Chang.</t>
  </si>
  <si>
    <t>JUL 11</t>
  </si>
  <si>
    <t>10.1007/s10113-020-01677-8</t>
  </si>
  <si>
    <t>Environmental Sciences; Environmental Studies</t>
  </si>
  <si>
    <t>Environmental Sciences &amp; Ecology</t>
  </si>
  <si>
    <t>MI2NF</t>
  </si>
  <si>
    <t>WOS:000547248900001</t>
  </si>
  <si>
    <t>Nunez-Mir, GC; Desprez, JM; Lannone, BV; Clark, TL; Fei, SL</t>
  </si>
  <si>
    <t>Nunez-Mir, Gabriela C.; Desprez, Johanna M.; Lannone, Basil V., III; Clark, Teresa L.; Fei, Songlin</t>
  </si>
  <si>
    <t>An Automated Content Analysis of Forestry Research: Are Socioecological Challenges Being Addressed?</t>
  </si>
  <si>
    <t>JOURNAL OF FORESTRY</t>
  </si>
  <si>
    <t>automated content analysis; literature review; interdisciplinary; research gaps; socioecological challenges; ecosystem services</t>
  </si>
  <si>
    <t>CLIMATE-CHANGE; CONSERVATION; FRAGMENTATION; EDUCATION; IMPACT</t>
  </si>
  <si>
    <t>Forests worldwide are increasingly threatened by a wide range of human-induced socioecological challenges, such as urbanization, invasive species, and climate change. Using automated content analysis, we analyzed 14,855 abstracts published in seven prominent applied forestry journals between 2000 and 2013 to determine the degree to which these publications are providing forest managers with the information needed to address these challenges. We found that most articles still focus on more traditional forestry topics (e.g., silviculture and timber harvesting), with limited evidence of effort to address socioecological challenges. Although these traditional topics are essential to forest management, framing this research within the broader context of contemporary socioecological challenges will improve forest managers' abilities to address these challenges and contribute to the sustainability of forest ecosystems.</t>
  </si>
  <si>
    <t>[Nunez-Mir, Gabriela C.; Desprez, Johanna M.; Lannone, Basil V., III; Clark, Teresa L.] Purdue Univ, W Lafayette, IN 47907 USA; [Fei, Songlin] Purdue Univ, Forestry &amp; Nat Resources, W Lafayette, IN 47907 USA</t>
  </si>
  <si>
    <t>Purdue University System; Purdue University; Purdue University West Lafayette Campus; Purdue University System; Purdue University; Purdue University West Lafayette Campus</t>
  </si>
  <si>
    <t>Fei, SL (corresponding author), Purdue Univ, Forestry &amp; Nat Resources, W Lafayette, IN 47907 USA.</t>
  </si>
  <si>
    <t>sfei@purdue.edu</t>
  </si>
  <si>
    <t>Nunez-Mir, Gabriela/ABD-5360-2020; Nunez-Mir, Gabriela/GXE-9963-2022</t>
  </si>
  <si>
    <t xml:space="preserve">Nunez-Mir, Gabriela/0000-0003-2426-3393; </t>
  </si>
  <si>
    <t>USDA National Institute of Food and Agriculture [11207356, IND011531MS]; MacroSystems Biology Grant from the National Science Foundation [1241932]; Ecological Sciences and Engineering Program at Purdue University</t>
  </si>
  <si>
    <t>USDA National Institute of Food and Agriculture(United States Department of Agriculture (USDA)); MacroSystems Biology Grant from the National Science Foundation; Ecological Sciences and Engineering Program at Purdue University</t>
  </si>
  <si>
    <t>We thank Nathan Claus for assisting in the compilation of the text used for this analysis. The project was partially supported by the USDA National Institute of Food and Agriculture (11207356 and IND011531MS), by a MacroSystems Biology Grant from the National Science Foundation (1241932), and by the Ecological Sciences and Engineering Program at Purdue University.</t>
  </si>
  <si>
    <t>0022-1201</t>
  </si>
  <si>
    <t>1938-3746</t>
  </si>
  <si>
    <t>J FOREST</t>
  </si>
  <si>
    <t>J. For.</t>
  </si>
  <si>
    <t>10.5849/jof.15-144</t>
  </si>
  <si>
    <t>Forestry</t>
  </si>
  <si>
    <t>EH6UY</t>
  </si>
  <si>
    <t>Bronze</t>
  </si>
  <si>
    <t>WOS:000391910600001</t>
  </si>
  <si>
    <t>Cheng, MM; Edwards, D</t>
  </si>
  <si>
    <t>Cheng, Mingming; Edwards, Deborah</t>
  </si>
  <si>
    <t>A comparative automated content analysis approach on the review of the sharing economy discourse in tourism and hospitality</t>
  </si>
  <si>
    <t>CURRENT ISSUES IN TOURISM</t>
  </si>
  <si>
    <t>Review</t>
  </si>
  <si>
    <t>sharing economy; automated content analysis; Leximancer; comparative analysis; news articles; sample size</t>
  </si>
  <si>
    <t>SOCIAL MEDIA; LEXIMANCER; FUTURE; TRAVEL; AGENDA</t>
  </si>
  <si>
    <t>Using the sharing economy (SE) as the context, this article provides a coherent and nuanced methodological understanding of automated content analysis (ACA) in tourism and hospitality (TH) field. By adopting a comparative ACA approach, the paper compares the current TH Western academic literature of the SE with news media discourse in TH from the period 2011-2016 (August) (inclusive). The emerging issues from the news media discourse, such as mobility, SE companies and the role of government, are absent in current tourism academic research. Findings reveal that ACA can facilitate a more systematic comparison between different sources of data. This paper offers a starting point for tourism scholars to methodologically engage with ACA that can draw useful insights on a particular context.</t>
  </si>
  <si>
    <t>[Cheng, Mingming] Univ Otago, Dept Tourism, Dunedin, New Zealand; [Edwards, Deborah] Univ Technol Sydney, UTS Business Sch, Ultimo, Australia</t>
  </si>
  <si>
    <t>University of Otago; University of Technology Sydney</t>
  </si>
  <si>
    <t>Cheng, MM (corresponding author), Univ Otago, Dept Tourism, Dunedin, New Zealand.</t>
  </si>
  <si>
    <t>mingming.cheng@otago.ac.nz</t>
  </si>
  <si>
    <t>Cheng, Mingming/AFP-1907-2022; Cheng, Mingming/ABD-8848-2021; Edwards, Deborah C/M-6845-2013</t>
  </si>
  <si>
    <t>Cheng, Mingming/0000-0003-3706-3374; Edwards, Deborah C/0000-0002-8345-9700</t>
  </si>
  <si>
    <t>1368-3500</t>
  </si>
  <si>
    <t>1747-7603</t>
  </si>
  <si>
    <t>CURR ISSUES TOUR</t>
  </si>
  <si>
    <t>Curr. Issues Tour.</t>
  </si>
  <si>
    <t>10.1080/13683500.2017.1361908</t>
  </si>
  <si>
    <t>HB5WC</t>
  </si>
  <si>
    <t>WOS:000451133000006</t>
  </si>
  <si>
    <t>Suan, A; Leong, KM; Oleson, KLL</t>
  </si>
  <si>
    <t>Suan, Aviv; Leong, Kirsten M.; Oleson, Kirsten L. L.</t>
  </si>
  <si>
    <t>Automated content analysis of the Hawai'i small boat fishery survey reveals nuanced, evolving conflicts</t>
  </si>
  <si>
    <t>ECOLOGY AND SOCIETY</t>
  </si>
  <si>
    <t>automated content analysis; codebook; conservation conflicts; fisheries; Hawai'i; text mining; qualitative coding</t>
  </si>
  <si>
    <t>COMMUNICATION-RESEARCH; MANAGEMENT; NEWS</t>
  </si>
  <si>
    <t>Manual content analysis provides a systematic and reliable method to analyze patterns within a narrative text, but for larger datasets, where human coding is not feasible, automated content analysis methods present enticing and time-efficient solutions to classifying patterns of text automatically. However, the massive dataset needed and complexity of analyzing these large datasets have hindered their use in fishery science. Fishery scientists typically deal with intermediately sized datasets that are not large enough to warrant the complexity of sophisticated automated techniques, but that are also not small enough to cost-effectively analyze by hand. For these cases, a dictionary-based automated content analysis technique can potentially simplify the automation process without losing contextual sensitivity. Here, we built and tested a fisheries-specific data dictionary to conduct an automated content analysis of open-ended responses in a survey of the Hawaii small boat fishery to examine the nature of the fishery conflict. In this paper we describe the overall performance of the methodology, creating and applying the dictionary to fishery data, as well as advantages and limitations of the method. The results indicate that the dictionary approach is capable of quickly and accurately classifying unstructured fisheries data into structured data, and that it was useful in revealing deeply rooted conflicts that are often ambiguous and overlooked in fisheries management. In addition to providing a proof of concept for the approach, the dictionary can be reused on subsequent waves of the survey to continue monitoring the evolution of these conflicts. Further, this approach can be applied within the field of fishery and natural resource conservation science more broadly, offering a valuable addition to the methodological toolbox.</t>
  </si>
  <si>
    <t>[Suan, Aviv; Oleson, Kirsten L. L.] Univ Hawaii Manoa, Dept Nat Resources &amp; Environm Management, Honolulu, HI 96822 USA; [Leong, Kirsten M.] Natl Marine Fisheries Serv, Pacific Isl Fisheries Sci Ctr, Natl Oceanog &amp; Atmospher Adm NOAA, Silver Spring, MD USA</t>
  </si>
  <si>
    <t>University of Hawaii System; University of Hawaii Manoa; National Oceanic Atmospheric Admin (NOAA) - USA</t>
  </si>
  <si>
    <t>Suan, A (corresponding author), Univ Hawaii Manoa, Dept Nat Resources &amp; Environm Management, Honolulu, HI 96822 USA.</t>
  </si>
  <si>
    <t xml:space="preserve"> [NA11NMF4320128]</t>
  </si>
  <si>
    <t>We thank all participants surveyed and the National Oceanic Atmospheric Administration for data access and logistical support. We thank Dr. Thomas Oliver for statistical assistance and the Pacific Island Fisheries Science Center (PI: Dr. Minling Pan) for financial support (grant no. NA11NMF4320128) .</t>
  </si>
  <si>
    <t>RESILIENCE ALLIANCE</t>
  </si>
  <si>
    <t>WOLFVILLE</t>
  </si>
  <si>
    <t>ACADIA UNIV, BIOLOGY DEPT, WOLFVILLE, NS B0P 1X0, CANADA</t>
  </si>
  <si>
    <t>1708-3087</t>
  </si>
  <si>
    <t>ECOL SOC</t>
  </si>
  <si>
    <t>Ecol. Soc.</t>
  </si>
  <si>
    <t>10.5751/ES-12708-260409</t>
  </si>
  <si>
    <t>Ecology; Environmental Studies</t>
  </si>
  <si>
    <t>YJ0EH</t>
  </si>
  <si>
    <t>WOS:000744211900009</t>
  </si>
  <si>
    <t>Kraichy, D; Uggerslev, K</t>
  </si>
  <si>
    <t>Kraichy, David; Uggerslev, Krista</t>
  </si>
  <si>
    <t>Automated Leadership Assessments: Is Assessing Complexity an Option?</t>
  </si>
  <si>
    <t>JOURNAL OF CONSTRUCTIVIST PSYCHOLOGY</t>
  </si>
  <si>
    <t>INTEGRATIVE COMPLEXITY; ABILITY; PERSONALITY; VALIDITY; SUCCESS</t>
  </si>
  <si>
    <t>We investigated the viability of using an automated text analysis coding tool to measure cognitive complexity in terms of differentiation and integration. The sample consisted of senior (n = 20) and mid-level leaders (n = 11) within a Canadian post-secondary institution who participated in 60-min, semi-structured interviews discussing their perspectives on leadership. We found that leaders who expressed higher integration and lower differentiation were more likely to hold a senior leadership position. Among senior leaders, four years after their interview, those who expressed lower integration were more likely to turnover (90%) than those who expressed higher integration (40%). We introduce an automated text analysis coding tool as an alternative to repertory grid-based methods of measuring complexity. We discuss how this automated tool can measure differentiation and integration and how it can be used to develop theory in the cognitive complexity literature.</t>
  </si>
  <si>
    <t>[Kraichy, David] Univ Saskatchewan, Edwards Sch Business, 25 Campus Dr, Saskatoon, SK S7N 5A7, Canada; [Uggerslev, Krista] Northern Alberta Inst Technol, Edmonton, AB, Canada</t>
  </si>
  <si>
    <t>University of Saskatchewan</t>
  </si>
  <si>
    <t>Kraichy, D (corresponding author), Univ Saskatchewan, Edwards Sch Business, 25 Campus Dr, Saskatoon, SK S7N 5A7, Canada.</t>
  </si>
  <si>
    <t>kraichy@edwards.usask.ca</t>
  </si>
  <si>
    <t>1072-0537</t>
  </si>
  <si>
    <t>1521-0650</t>
  </si>
  <si>
    <t>J CONSTR PSYCHOL</t>
  </si>
  <si>
    <t>J. Constr. Psychol.</t>
  </si>
  <si>
    <t>APR 26</t>
  </si>
  <si>
    <t>10.1080/10720537.2021.1883489</t>
  </si>
  <si>
    <t>0X4IO</t>
  </si>
  <si>
    <t>WOS:000617586200001</t>
  </si>
  <si>
    <t>Theocharis, Y; Barbera, P; Fazekas, Z; Popa, SA; Parnet, O</t>
  </si>
  <si>
    <t>Theocharis, Yannis; Barbera, Pablo; Fazekas, Zoltan; Popa, Sebastian Adrian; Parnet, Olivier</t>
  </si>
  <si>
    <t>A Bad Workman Blames His Tweets: The Consequences of Citizens' Uncivil Twitter Use When Interacting With Party Candidates</t>
  </si>
  <si>
    <t>JOURNAL OF COMMUNICATION</t>
  </si>
  <si>
    <t>Political Communication; Machine Learning; Social Media; Twitter; Civility; Politeness; Automated Text Analysis</t>
  </si>
  <si>
    <t>ONLINE; INCIVILITY; CAMPAIGN; PATTERNS; FACEBOOK; COMMUNICATION; POLITICS; TOOLS; TALK</t>
  </si>
  <si>
    <t>Existing studies focusing on politicians' adoption of Twitter have found that they use it primarily as a broadcasting tool. We argue that citizens' impolite and/or uncivil behavior is one possible explanation for such decisions. Social media conversations are rife with harassment and politicians are a prime target. This alters the incentive structure of engaging in dialogue on social media. We use Spanish, Greek, German, and U.K. candidates' tweets sent during the run-up to the recent European Parliament elections, and rely on automated text analysis and machine learning methods to measure their level of civility. Our contribution is an actor-oriented theory of political dialogue that incorporates Twitter's specific affordances, clarifying how and why Twitter's democratic promise may be limited.</t>
  </si>
  <si>
    <t>[Theocharis, Yannis; Popa, Sebastian Adrian] Univ Mannheim, Mannheim Ctr European Social Res, D-68159 Mannheim, Germany; [Barbera, Pablo] Univ Calif Los Angeles, Sch Int Relat, Los Angeles, CA 90089 USA; [Fazekas, Zoltan] Univ Oslo, Dept Polit Sci, N-0317 Oslo, Norway; [Parnet, Olivier] Kantar Publ, B-1160 Brussels, Belgium</t>
  </si>
  <si>
    <t>University of Mannheim; University of California System; University of California Los Angeles; University of Oslo</t>
  </si>
  <si>
    <t>Theocharis, Y (corresponding author), Univ Mannheim, Mannheim Ctr European Social Res, D-68159 Mannheim, Germany.</t>
  </si>
  <si>
    <t>yannis.theocharis@uni-mannheim.de</t>
  </si>
  <si>
    <t>Theocharis, Yannis/Q-8336-2019; Barberá, Pablo/G-1893-2016</t>
  </si>
  <si>
    <t>Theocharis, Yannis/0000-0001-7209-9669; Barberá, Pablo/0000-0002-9063-4829</t>
  </si>
  <si>
    <t>Gordon and Betty Moore Foundation; Alfred P. Sloan Foundation</t>
  </si>
  <si>
    <t>Gordon and Betty Moore Foundation(Gordon and Betty Moore Foundation); Alfred P. Sloan Foundation(Alfred P. Sloan Foundation)</t>
  </si>
  <si>
    <t>The authors would like to thank Laura Sudulich and Michael Jensen for reading and commenting on earlier versions of this manuscript presented at the 2015 European Political Science Association conference and the 2015 Annual Meeting of the American Political Science Association respectively. The authors are also grateful to the Editor of the journal and the three anonymous reviewers for their thoughtful suggestions. Pablo Barbera gratefully acknowledges financial support from the Gordon and Betty Moore Foundation and the Alfred P. Sloan Foundation. Finally, the authors are grateful to the committee of the American Political Science Association's Information Technology and Politics Section, which honoured this manuscript with the 2015 Best Conference Paper in Information Technology and Politics Award.</t>
  </si>
  <si>
    <t>0021-9916</t>
  </si>
  <si>
    <t>1460-2466</t>
  </si>
  <si>
    <t>J COMMUN</t>
  </si>
  <si>
    <t>J. Commun.</t>
  </si>
  <si>
    <t>10.1111/jcom.12259</t>
  </si>
  <si>
    <t>EJ3QS</t>
  </si>
  <si>
    <t>WOS:000393127300012</t>
  </si>
  <si>
    <t>D'Acunto, D; Tuan, A; Dalli, D; Viglia, G; Okumus, F</t>
  </si>
  <si>
    <t>D'Acunto, David; Tuan, Annamaria; Dalli, Daniele; Viglia, Giampaolo; Okumus, Fevzi</t>
  </si>
  <si>
    <t>Do consumers care about CSR in their online reviews? An empirical analysis</t>
  </si>
  <si>
    <t>INTERNATIONAL JOURNAL OF HOSPITALITY MANAGEMENT</t>
  </si>
  <si>
    <t>Corporate social responsibility; Consumer online reviews; Hotel industry; Automated text analysis; Environment; Sustainability; Consumer emotions</t>
  </si>
  <si>
    <t>CORPORATE SOCIAL-RESPONSIBILITY; WORD-OF-MOUTH; CUSTOMER SATISFACTION; INFORMATION-TECHNOLOGY; TOURISM MANAGEMENT; HOTEL REVIEWS; HUMAN-RIGHTS; BIG DATA; HOSPITALITY; BEHAVIOR</t>
  </si>
  <si>
    <t>This research investigates how consumers assess hotels' corporate social responsibility (CSR) practices when writing online reviews. The study explores the CSR discourse in online reviews over a 10-year period, highlighting how CSR's social and environmental dimensions relate to the main hospitality topics (experience, amenities, location, transactions, value). Based on a longitudinal automated text analysis covering 480,000 reviews across six European cities, the findings reveal that hotel customers have gradually begun paying more attention to CSR factors, particularly to social and environmental ones. However, the aggregate results suggest that the overall CSR consumer discourse is still very limited, although it does have important implications in terms of consumer emotions and hospitality dimensions.</t>
  </si>
  <si>
    <t>[D'Acunto, David; Dalli, Daniele] Univ Pisa, Dept Econ &amp; Management, Via Ridolfi 10, I-56124 Pisa, Italy; [Tuan, Annamaria] Univ Bologna, Dept Management, Via Capo di Lucca 34, I-40126 Bologna, Italy; [Viglia, Giampaolo] Univ Portsmouth, Dept Mkt &amp; Sales, Portland St, Portsmouth PO1 3DE, Hants, England; [Okumus, Fevzi] Univ Cent Florida, Rosen Coll Hospitality Management, 9907 Universal Blvd, Orlando, FL 32819 USA</t>
  </si>
  <si>
    <t>University of Pisa; University of Bologna; University of Portsmouth; State University System of Florida; University of Central Florida</t>
  </si>
  <si>
    <t>D'Acunto, D (corresponding author), Univ Pisa, Dept Econ &amp; Management, Via Ridolfi 10, I-56124 Pisa, Italy.</t>
  </si>
  <si>
    <t>david.dacunto@ec.unipi.it</t>
  </si>
  <si>
    <t>D'Acunto, David/ABF-1381-2020; Tuan, Annamaria/ABD-4320-2020; Okumus, Fevzi/AAG-7481-2020; Viglia, Giampaolo/Q-1537-2019; Dalli, Daniele/B-8326-2009</t>
  </si>
  <si>
    <t>D'Acunto, David/0000-0001-9143-9163; Viglia, Giampaolo/0000-0001-8521-4988; Dalli, Daniele/0000-0002-7909-0963; Tuan, Annamaria/0000-0003-1471-3063; Okumus, Fevzi/0000-0001-8670-9720</t>
  </si>
  <si>
    <t>ELSEVIER SCI LTD</t>
  </si>
  <si>
    <t>THE BOULEVARD, LANGFORD LANE, KIDLINGTON, OXFORD OX5 1GB, OXON, ENGLAND</t>
  </si>
  <si>
    <t>0278-4319</t>
  </si>
  <si>
    <t>1873-4693</t>
  </si>
  <si>
    <t>INT J HOSP MANAG</t>
  </si>
  <si>
    <t>Int. J. Hosp. Manag.</t>
  </si>
  <si>
    <t>FEB</t>
  </si>
  <si>
    <t>10.1016/j.ijhm.2019.102342</t>
  </si>
  <si>
    <t>LH1PY</t>
  </si>
  <si>
    <t>WOS:000528562500011</t>
  </si>
  <si>
    <t>Zhang, Y</t>
  </si>
  <si>
    <t>Zhang, Yang</t>
  </si>
  <si>
    <t>The Internet in China: New Methods and Opportunities</t>
  </si>
  <si>
    <t>JOURNAL OF CHINESE POLITICAL SCIENCE</t>
  </si>
  <si>
    <t>Internet; Chinese Politics; Text Analysis; Experiment; Big Data</t>
  </si>
  <si>
    <t>COMPUTATIONAL SOCIAL-SCIENCE; BIG DATA; FIELD EXPERIMENT; PUBLIC-OPINION; MEDIA; CENSORSHIP; WEIBO; RESPONSIVENESS; ENVIRONMENT; EXPRESSION</t>
  </si>
  <si>
    <t>This essay reviews methodological advances in Internet studies in Chinese politics. First, automated text analysis reduces the time and cost of examining texts, and makes it possible to conduct a large-scale analysis of textual data like social media posts. Tools of automated text analysis, such as supervised classification, ReadMe, and topic models, have been applied in Internet studies in Chinese politics. Second, the new methods also bring new opportunities for developing rigorous research designs: (1) the Internet can serve as a platform for online field and survey experiments; (2) in some cases, in particular natural experiments, big data make it easier to conduct causal inference; (3) and using big data, there is potential to make inference with regard to a broader context.</t>
  </si>
  <si>
    <t>[Zhang, Yang] Southwest Jiaotong Univ, Dept Polit Sci, 0403 Cent Teaching Bldg, Chengdu 610031, Sichuan, Peoples R China</t>
  </si>
  <si>
    <t>Southwest Jiaotong University</t>
  </si>
  <si>
    <t>Zhang, Y (corresponding author), Southwest Jiaotong Univ, Dept Polit Sci, 0403 Cent Teaching Bldg, Chengdu 610031, Sichuan, Peoples R China.</t>
  </si>
  <si>
    <t>thezhangyang@gmail.com</t>
  </si>
  <si>
    <t>1080-6954</t>
  </si>
  <si>
    <t>1874-6357</t>
  </si>
  <si>
    <t>J CHIN POLIT SCI</t>
  </si>
  <si>
    <t>J. Chin. Polit. Sci.</t>
  </si>
  <si>
    <t>10.1007/s11366-017-9526-3</t>
  </si>
  <si>
    <t>Area Studies; Political Science</t>
  </si>
  <si>
    <t>FX0XY</t>
  </si>
  <si>
    <t>WOS:000425772300008</t>
  </si>
  <si>
    <t>Wiertz, T</t>
  </si>
  <si>
    <t>Wiertz, Thilo</t>
  </si>
  <si>
    <t>Quantitative text analysis in Geography: facilitating access and fostering collaboration</t>
  </si>
  <si>
    <t>ERDE</t>
  </si>
  <si>
    <t>human geography; digital geography; quantitative methods; corpus linguistics; discourse analysis; big data</t>
  </si>
  <si>
    <t>Quantitative text analysis can support researchers working with a large number of documents. Corpus linguistic methods are already employed by geographers in the context of discourse studies, and recent discussions about big data and digital geographies point to a potential broadening of their application. However, building a corpus and adapting to existing data analysis tools can be challenging. In this paper, we outline possible steps towards collaborative quantitative text analysis through the use of computational methods and corpora that can be incorporated into a variety of research settings. We summarise key steps for creating annotated corpora from text sources using state of the art methods and tools. Using the open source software Corpus Workbench (Evert and Hardie 2011) and CQPweb (Hardie 2012), we provide a platform to access corpora and corpus analysis functionality via a web interface. We invite researchers to use this existing infrastructure for corpus linguistic methods in their teaching and research, and to collaborate in making interesting material available to the geographic research community.</t>
  </si>
  <si>
    <t>[Wiertz, Thilo] Albert Ludwigs Univ Freiburg, Inst Umweltsozialwissensch Geog, D-79085 Freiburg, Germany</t>
  </si>
  <si>
    <t>University of Freiburg</t>
  </si>
  <si>
    <t>Wiertz, T (corresponding author), Albert Ludwigs Univ Freiburg, Inst Umweltsozialwissensch Geog, D-79085 Freiburg, Germany.</t>
  </si>
  <si>
    <t>thilo.wiertz@geographie.uni-freiburg.de</t>
  </si>
  <si>
    <t>Wiertz, Thilo/ABH-7487-2020</t>
  </si>
  <si>
    <t>Wiertz, Thilo/0000-0001-7828-4275</t>
  </si>
  <si>
    <t>GESELLSCHAFT ERDKUNDE BERLIN</t>
  </si>
  <si>
    <t>ARNO-HOLZ-STR 14, BERLIN, 12165, GERMANY</t>
  </si>
  <si>
    <t>0013-9998</t>
  </si>
  <si>
    <t>10.12854/erde-149-58</t>
  </si>
  <si>
    <t>Geography; Geography, Physical; Geosciences, Multidisciplinary</t>
  </si>
  <si>
    <t>Geography; Physical Geography; Geology</t>
  </si>
  <si>
    <t>GC5OX</t>
  </si>
  <si>
    <t>WOS:000429838400005</t>
  </si>
  <si>
    <t>Volgmann, K</t>
  </si>
  <si>
    <t>Volgmann, Kati</t>
  </si>
  <si>
    <t>Metropolis - size, function and symbolism. A quantitative text analysis of German print media for Berlin and Hamburg</t>
  </si>
  <si>
    <t>RAUMFORSCHUNG UND RAUMORDNUNG-SPATIAL RESEARCH AND PLANNING</t>
  </si>
  <si>
    <t>Metropolis; Lexicometry; Print media analysis; Hamburg; Berlin</t>
  </si>
  <si>
    <t>DISCOURSE</t>
  </si>
  <si>
    <t>As the epitome of the urban, the city type metropolis has been experiencing an ongoing boom for two to three decades. With a quantitative text analysis of the leading German national print media, the patterns of linguistic use for the term metropolis and for the two largest cities Berlin and Hamburg are highlighted. They are interpreted as attributions of meaning in mass media communication processes and generate a semantic field whose analysis allows declarations to be made about size, function and imagery of a metropolis over time.</t>
  </si>
  <si>
    <t>[Volgmann, Kati] ILS Inst Landes &amp; Stadtentwicklungsforsch, Bruderweg 22-24, D-44135 Dortmund, Germany</t>
  </si>
  <si>
    <t>Volgmann, K (corresponding author), ILS Inst Landes &amp; Stadtentwicklungsforsch, Bruderweg 22-24, D-44135 Dortmund, Germany.</t>
  </si>
  <si>
    <t>kati.volgmann@ils-forschung.de</t>
  </si>
  <si>
    <t>Volgmann, Kati/GXH-0928-2022</t>
  </si>
  <si>
    <t>SCIENDO</t>
  </si>
  <si>
    <t>WARSAW</t>
  </si>
  <si>
    <t>BOGUMILA ZUGA 32A, WARSAW, MAZOVIA, POLAND</t>
  </si>
  <si>
    <t>0034-0111</t>
  </si>
  <si>
    <t>1869-4179</t>
  </si>
  <si>
    <t>RAUMFORSCH RAUMORDN</t>
  </si>
  <si>
    <t>Raumforsch. Raumordn.</t>
  </si>
  <si>
    <t>10.2478/rara-2019-0060</t>
  </si>
  <si>
    <t>Geography</t>
  </si>
  <si>
    <t>MF5MN</t>
  </si>
  <si>
    <t>WOS:000545386300001</t>
  </si>
  <si>
    <t>Umansky, N</t>
  </si>
  <si>
    <t>Umansky, Natalia</t>
  </si>
  <si>
    <t>Who gets a say in this? Speaking security on social media</t>
  </si>
  <si>
    <t>NEW MEDIA &amp; SOCIETY</t>
  </si>
  <si>
    <t>International security; political communication; quantitative text analysis; social media</t>
  </si>
  <si>
    <t>AGENDA-SETTING POWER; SECURITIZATION; NEWS; ATTENTION; KNOWLEDGE; DYNAMICS; COVERAGE; FOREIGN; DEBATE; TWEET</t>
  </si>
  <si>
    <t>Can social media revert the top-down dynamics of securitization? Limited by the notion that 'security is only articulated in an institutional voice by the elites', the role of non-elite actors has remained understudied. Only recently has it been proposed that lay actors can become influential security agents through their online activity. However, social media's capacity to revert the top-down dynamics of securitization remains contended. To explore this puzzle and seeking to update the theory of securitization to the modern context of political communication, this study employs a semi-supervised machine learning approach to analyse a novel dataset of over 10 million Twitter messages by five elite and non-elite actor groups discussing the Amazon rainforest fires in 2019. Finally, the study uses vector autoregression (VAR) models to explore who leads and who echoes the securitization process. The results show that both elite and lay actors behave as security agents and demonstrate the methodological contribution offered by the text-as-data approach developed in this analysis.</t>
  </si>
  <si>
    <t>[Umansky, Natalia] Univ Coll Dublin, Sch Polit &amp; Int Relat, Dublin 4, Ireland</t>
  </si>
  <si>
    <t>University College Dublin</t>
  </si>
  <si>
    <t>Umansky, N (corresponding author), Univ Coll Dublin, Sch Polit &amp; Int Relat, Dublin 4, Ireland.</t>
  </si>
  <si>
    <t>natalia.umansky@ucdconnect.ie</t>
  </si>
  <si>
    <t>Umansky, Natalia/0000-0002-8059-5328</t>
  </si>
  <si>
    <t>School of Politics and International Relations at University College Dublin under the Iseult Honohan scholarship</t>
  </si>
  <si>
    <t>The author disclosed receipt of the following financial support for the research, authorship and/or publication of this article: Natalia Umansky received financial support from the School of Politics and International Relations at University College Dublin under the Iseult Honohan scholarship.</t>
  </si>
  <si>
    <t>1461-4448</t>
  </si>
  <si>
    <t>1461-7315</t>
  </si>
  <si>
    <t>NEW MEDIA SOC</t>
  </si>
  <si>
    <t>New Media Soc.</t>
  </si>
  <si>
    <t>10.1177/14614448221111009</t>
  </si>
  <si>
    <t>3F6DM</t>
  </si>
  <si>
    <t>WOS:000830757600001</t>
  </si>
  <si>
    <t>van der Meer, TGLA</t>
  </si>
  <si>
    <t>van der Meer, Toni G. L. A.</t>
  </si>
  <si>
    <t>Automated content analysis and crisis communication research</t>
  </si>
  <si>
    <t>PUBLIC RELATIONS REVIEW</t>
  </si>
  <si>
    <t>Automated content analysis; Crisis; Computational methods; Communication; Big data</t>
  </si>
  <si>
    <t>SOCIAL MEDIA; FRAMES; REPUTATIONS; NETWORKS; COVERAGE; WORDS; PRESS; MODEL; RISK</t>
  </si>
  <si>
    <t>Communication plays a central role in how crisis events evolve. The. huge collection of today's digital available content from actors such as organizations, news media, and the public provides scholars with the opportunity to analyze large-sized collections of crisis related communication and provide supplementary evidence for previous findings from smaller scaled research. However, the massive costs and complexity of analyzing these large-scaled data sets have hindered their use within the field of crisis research. This paper aims to provide an overview of how automated content analysis can potentially simplify and complement the analysis of these large collections of texts. Computational methods have long been used in the field of computer science and are currently gaining momentum within the field of crisis communication. This paper discusses the dictionary method, supervised method, and the unsupervised method as potential useful tools for analyzing crisis communication. (C) 2016 Elsevier Inc. All rights reserved.</t>
  </si>
  <si>
    <t>[van der Meer, Toni G. L. A.] Univ Amsterdam, Amsterdam Sch Commun Res, Nieuwe Achtergracht 166, Amsterdam, Netherlands</t>
  </si>
  <si>
    <t>van der Meer, TGLA (corresponding author), Univ Amsterdam, Amsterdam Sch Commun Res, Nieuwe Achtergracht 166, Amsterdam, Netherlands.</t>
  </si>
  <si>
    <t>G.L.A.vanderMeer@UvA.nl</t>
  </si>
  <si>
    <t>ELSEVIER SCIENCE INC</t>
  </si>
  <si>
    <t>STE 800, 230 PARK AVE, NEW YORK, NY 10169 USA</t>
  </si>
  <si>
    <t>0363-8111</t>
  </si>
  <si>
    <t>1873-4537</t>
  </si>
  <si>
    <t>PUBLIC RELAT REV</t>
  </si>
  <si>
    <t>Public Relat. Rev.</t>
  </si>
  <si>
    <t>10.1016/j.pubrev.2016.09.001</t>
  </si>
  <si>
    <t>Business; Communication</t>
  </si>
  <si>
    <t>Business &amp; Economics; Communication</t>
  </si>
  <si>
    <t>EE6PS</t>
  </si>
  <si>
    <t>WOS:000389735300025</t>
  </si>
  <si>
    <t>Zhou, Y</t>
  </si>
  <si>
    <t>Zhou, Yuan</t>
  </si>
  <si>
    <t>China's mediated public diplomacy towards Japan: a text-as-data approach</t>
  </si>
  <si>
    <t>ASIAN JOURNAL OF COMMUNICATION</t>
  </si>
  <si>
    <t>Mediated public diplomacy; content analysis; state-owned media; China; Japan</t>
  </si>
  <si>
    <t>SOFT-POWER; FOREIGN-POLICY; INTERNATIONAL NEWS; OPINION; RELIABILITY; LEGITIMACY; MODEL; IMAGE</t>
  </si>
  <si>
    <t>As a rising power, China has realized that it is an urgent task to improve its national image among foreign publics. In the era of Xi Jinping, China has invested a substantial amount of resources in its foreign-language media to present a more favorable national image to an international audience. This study provides a novel approach to examine the content of China's Japanese-language media and its dissemination. The study found that the Chinese state media promotes China's soft power using two main strategies: (1) highlighting China's culture and economic achievements, and (2) providing positive stories of China. A comparative content analysis of Chinese and Japanese media shows that Chinese media's narratives are not well circulated in Japan's public opinion ?eld. This study has both substantive and methodological signi?cance. Substantively, this investigation enhances our understanding of China's strategic use of state-owned media for public diplomacy. Methodologically, this research contributes to the employment of quantitative text analysis methods on Japanese-language data.</t>
  </si>
  <si>
    <t>[Zhou, Yuan] Kobe Univ, Grad Sch Law, Kobe, Hyogo, Japan</t>
  </si>
  <si>
    <t>Kobe University</t>
  </si>
  <si>
    <t>Zhou, Y (corresponding author), Kobe Univ, Grad Sch Law, Kobe, Hyogo, Japan.</t>
  </si>
  <si>
    <t>syuugenn@gmail.com</t>
  </si>
  <si>
    <t>0129-2986</t>
  </si>
  <si>
    <t>1742-0911</t>
  </si>
  <si>
    <t>ASIAN J COMMUN</t>
  </si>
  <si>
    <t>Asian J. Commun.</t>
  </si>
  <si>
    <t>10.1080/01292986.2022.2034901</t>
  </si>
  <si>
    <t>3L9ZM</t>
  </si>
  <si>
    <t>WOS:000753897100001</t>
  </si>
  <si>
    <t>Brommeyer, M; Mackay, M; Liang, ZM; Balan, P</t>
  </si>
  <si>
    <t>Brommeyer, Mark; Mackay, Mark; Liang, Zhanming; Balan, Peter</t>
  </si>
  <si>
    <t>PROTOCOL FOR AUTOMATED CONTENT ANALYSIS OF CORPUS TO DETERMINE INFORMATICS COMPETENCIES AMONGST HEALTH SERVICE MANAGERS</t>
  </si>
  <si>
    <t>ASIA PACIFIC JOURNAL OF HEALTH MANAGEMENT</t>
  </si>
  <si>
    <t>Healthcare Management; Health Informatics; Competency; Reflexive Thematic Analysis; Automated Content Analysis</t>
  </si>
  <si>
    <t>VALIDATION; FRAMEWORK; MODEL</t>
  </si>
  <si>
    <t>BACKGROUND: Competencies have emerged as being important to develop health professionals, including managers in healthcare. Professional institutions adopted specific competency frameworks to guide designing professional development opportunities for health service managers, in particularly managers working in the area of health informatics. The fast-growing nature of healthcare settings means that the required competencies continue to evolve. OBJECTIVE: The aim of this protocol is to outline a reflexive thematic analysis process, including using an automated content analysis approach and identify what is missing in existing health service management competency empirical studies in relation to health informatics competencies. METHODS: A rapid literature review has been performed using a PRISMA approach for eligibility screening, with 185 publications meeting the inclusion criteria. The Leximancer natural language processing software was used to transform a large corpus of literature from natural language into semantic themes and concepts. A reflexive thematic analysis was then undertaken using the text mining automated content analysis approach to identify predominant concepts and the co-occurrence between them. RESULTS: A search strategy was developed using three primary electronic databases: 1) Scopus; 2) ProQuest; and 3) the Cumulative Index to Nursing and Allied Health Literature (CINAHL); and five secondary electronic databases: 1) Web of Science 2) PubMed; 3) ACM Digital Library; 4) Open Access Theses and Dissertations Database; and 5) Google Scholar. The initial search undertaken on 10 November 2020 resulted in 1,212 publications. The results of the reflexive thematic analysis will be submitted for publication by November 2021. CONCLUSIONS: New understanding and knowledge in the area of health management competencies, specifically relating to informatics will be developed. Health informatics competencies will be defined for Australian health service managers. Further, this study helps inform the discourse regarding automated content analysis for the healthcare and informatics industry, healthcare organisations and university course requirements.</t>
  </si>
  <si>
    <t>[Brommeyer, Mark] Flinders Univ S Australia, Adelaide, SA, Australia; [Mackay, Mark; Balan, Peter] Univ South Australia, Adelaide, SA, Australia; [Liang, Zhanming] James Cook Univ, Townsville, Qld, Australia</t>
  </si>
  <si>
    <t>Flinders University South Australia; University of South Australia; James Cook University</t>
  </si>
  <si>
    <t>Brommeyer, M (corresponding author), Flinders Univ S Australia, Adelaide, SA, Australia.</t>
  </si>
  <si>
    <t>mark@brommeyer.com</t>
  </si>
  <si>
    <t>Brommeyer, Mark/GZA-6664-2022; Mackay, Mark/B-2363-2019</t>
  </si>
  <si>
    <t>Brommeyer, Mark/0000-0001-7380-1085; Mackay, Mark/0000-0002-7759-8755</t>
  </si>
  <si>
    <t>Australian Government Research Training Program (RTP) fee offset scholarship</t>
  </si>
  <si>
    <t>With grateful acknowledgment to the Australian Government Research Training Program (RTP) fee offset scholarship.</t>
  </si>
  <si>
    <t>AUSTRALIAN COLL HEALTH SERVICE MANAGEMENT</t>
  </si>
  <si>
    <t>NORTH RYDE</t>
  </si>
  <si>
    <t>PO BOX 341, NORTH RYDE, NSW 1670, AUSTRALIA</t>
  </si>
  <si>
    <t>2204-3136</t>
  </si>
  <si>
    <t>ASIA-PAC J HEALTH MA</t>
  </si>
  <si>
    <t>Asia Pac. J. Health Manag.</t>
  </si>
  <si>
    <t>Health Policy &amp; Services</t>
  </si>
  <si>
    <t>Health Care Sciences &amp; Services</t>
  </si>
  <si>
    <t>WF7KK</t>
  </si>
  <si>
    <t>WOS:000706480700025</t>
  </si>
  <si>
    <t>Smith, H; Markowitz, DM; Gilbert, C</t>
  </si>
  <si>
    <t>Smith, Hollie; Markowitz, David M.; Gilbert, Christine</t>
  </si>
  <si>
    <t>Science Training for Political Reporters: Understanding Impact with a Mixed Methods Approach</t>
  </si>
  <si>
    <t>JOURNALISM PRACTICE</t>
  </si>
  <si>
    <t>science journalism; science training; journalism education; continuing education; professional development; science communication</t>
  </si>
  <si>
    <t>JOURNALISM; COMMUNICATION; OBJECTIVITY; TRUTH</t>
  </si>
  <si>
    <t>This project analyzed the impact of a 2.5-day science training boot camp for political reporters on their use of scientific sources in published reporting. Results showed that immediately following the boot camp, most survey respondents indicated they would try to incorporate more scientific material into future stories. We used both automated text analysis and human-coded analysis to examine if actual changes in reporting behavior occurred. Automated text analysis revealed that while journalists did not use more explanatory language overall in the 6 months following the training, they wrote with greater certainty and less tentativeness in their published articles compared to before the training. The more targeted content analysis of articles revealed that journalists had modest increases for including scientific material overall, and peer-reviewed studies and scientists' quotes in particular. We discuss the implications of these findings for science training, journalism, and reporting.</t>
  </si>
  <si>
    <t>[Smith, Hollie; Markowitz, David M.] Univ Oregon, Sch Journalism &amp; Commun, Eugene, OR 97403 USA; [Gilbert, Christine] Univ Connecticut, Storrs, CT USA</t>
  </si>
  <si>
    <t>University of Oregon; University of Connecticut</t>
  </si>
  <si>
    <t>Smith, H (corresponding author), Univ Oregon, Sch Journalism &amp; Commun, Eugene, OR 97403 USA.</t>
  </si>
  <si>
    <t>hollies@uoregon.edu</t>
  </si>
  <si>
    <t>Markowitz, David/0000-0002-7159-7014; Smith, Hollie/0000-0003-3514-1164</t>
  </si>
  <si>
    <t>American Association for the Advancement of Science</t>
  </si>
  <si>
    <t>1751-2786</t>
  </si>
  <si>
    <t>1751-2794</t>
  </si>
  <si>
    <t>JOURNAL PRACT</t>
  </si>
  <si>
    <t>Journal. Pract.</t>
  </si>
  <si>
    <t>10.1080/17512786.2022.2065337</t>
  </si>
  <si>
    <t>APR 2022</t>
  </si>
  <si>
    <t>0S0IL</t>
  </si>
  <si>
    <t>WOS:000785966400001</t>
  </si>
  <si>
    <t>Decadri, S</t>
  </si>
  <si>
    <t>Decadri, Silvia</t>
  </si>
  <si>
    <t>What have you done for me lately?Re-thinking local representation</t>
  </si>
  <si>
    <t>ELECTORAL STUDIES</t>
  </si>
  <si>
    <t>Local representation; Political particularism; Automated text analysis; Legislative behavior; Italy</t>
  </si>
  <si>
    <t>PERSONAL VOTE; PORK-BARREL; BEHAVIOR; MEMBER; POLITICIANS; LEGISLATION; BILLS</t>
  </si>
  <si>
    <t>Scholars have studied the influence that constituents exert on elected representatives' action in national parliaments at length. Still, academic pundits have usually confined local representation to distributive policies and casework, and limited local legislators' focus to a territorial perspective. In this study, I try and propose a more nuanced theory of local representation, and I use automated text analysis to capture elected representatives' propensity to serve functional as well as territorial interests. In an effort to provide empirical backing to my theoretical argumentation, I present an analysis of Italian legislators' behavior which shows that deputies are willing to divert public spending to their district but also to favor the interests of specific economic sectors. Scholars have already acknowledged the multidimensional character of political representation at the national level, my analysis offers theoretical justification and empirical evidence to support doing so at the local level as well.</t>
  </si>
  <si>
    <t>[Decadri, Silvia] Univ Milan, Dept Social &amp; Polit Sci, Milan, Italy</t>
  </si>
  <si>
    <t>University of Milan</t>
  </si>
  <si>
    <t>Decadri, S (corresponding author), Univ Milan, Dept Social &amp; Polit Sci, Milan, Italy.</t>
  </si>
  <si>
    <t>silvia.decadri@unimi.it</t>
  </si>
  <si>
    <t>Decadri, Silvia/0000-0003-0378-1183</t>
  </si>
  <si>
    <t>Government of Ireland Postgraduate Scholarship Programme</t>
  </si>
  <si>
    <t>This study, part of my doctoral dissertation, was made possible through the generous contribution of the Irish Research Council, which founded my research through the Government of Ireland Postgraduate Scholarship Programme.</t>
  </si>
  <si>
    <t>0261-3794</t>
  </si>
  <si>
    <t>1873-6890</t>
  </si>
  <si>
    <t>ELECT STUD</t>
  </si>
  <si>
    <t>Elect. Stud.</t>
  </si>
  <si>
    <t>10.1016/j.electstud.2021.102417</t>
  </si>
  <si>
    <t>NOV 2021</t>
  </si>
  <si>
    <t>XC5BG</t>
  </si>
  <si>
    <t>WOS:000722027600003</t>
  </si>
  <si>
    <t>Kim, AY; Ha, JG; Choi, H; Moon, H</t>
  </si>
  <si>
    <t>Kim, Augustine Yongwhi; Ha, Jin Gwan; Choi, Hoduk; Moon, Hyeonjoon</t>
  </si>
  <si>
    <t>Automated Text Analysis Based on Skip-Gram Model for Food Evaluation in Predicting Consumer Acceptance</t>
  </si>
  <si>
    <t>COMPUTATIONAL INTELLIGENCE AND NEUROSCIENCE</t>
  </si>
  <si>
    <t>The purpose of this paper is to evaluate food taste, smell, and characteristics from consumers' online reviews. Several studies in food sensory evaluation have been presented for consumer acceptance. However, these studies need taste descriptive word lexicon, and they are not suitable for analyzing large number of evaluators to predict consumer acceptance. In this paper, an automated text analysis method for food evaluation is presented to analyze and compare recently introduced two jjampong ramen types (mixed seafood noodles). To avoid building a sensory word lexicon, consumers' reviews are collected from SNS. Then, by training word embedding model with acquired reviews, words in the large amount of review text are converted into vectors. Based on these words represented as vectors, inference is performed to evaluate taste and smell of two jjampong ramen types. Finally, the reliability and merits of the proposed food evaluation method are confirmed by a comparison with the results from an actual consumer preference taste evaluation.</t>
  </si>
  <si>
    <t>[Kim, Augustine Yongwhi; Choi, Hoduk] Sejong Univ, Dept Food Sci &amp; Biotechnol, Seoul, South Korea; [Ha, Jin Gwan; Moon, Hyeonjoon] Sejong Univ, Dept Comp Sci &amp; Engn, Seoul, South Korea</t>
  </si>
  <si>
    <t>Sejong University; Sejong University</t>
  </si>
  <si>
    <t>Moon, H (corresponding author), Sejong Univ, Dept Comp Sci &amp; Engn, Seoul, South Korea.</t>
  </si>
  <si>
    <t>hmoon@sejong.ac.kr</t>
  </si>
  <si>
    <t>Korean Small and Medium Business Technology Administration [S2340863]; Korea Institute of Planning and Evaluation for Technology in Food, Agriculture, Forestry and Fisheries (IPET) - Ministry of Agriculture, Food and Rural Affairs (MAFRA) [316033-4]</t>
  </si>
  <si>
    <t>Korean Small and Medium Business Technology Administration; Korea Institute of Planning and Evaluation for Technology in Food, Agriculture, Forestry and Fisheries (IPET) - Ministry of Agriculture, Food and Rural Affairs (MAFRA)(Ministry of Agriculture, Food &amp; Rural Affairs (MAFRA), Republic of KoreaInstitute of Planning &amp; Evaluation for Technology in Food, Agriculture, Forestry, &amp; Fisheries (iPET), Republic of Korea)</t>
  </si>
  <si>
    <t>This study was supported by the Word Class 300 Project (S2340863) from Korean Small and Medium Business Technology Administration. This work was also supported by Korea Institute of Planning and Evaluation for Technology in Food, Agriculture, Forestry and Fisheries (IPET) through Agri-Bio Industry Technology Development Program, funded by Ministry of Agriculture, Food and Rural Affairs (MAFRA) (316033-4).</t>
  </si>
  <si>
    <t>HINDAWI LTD</t>
  </si>
  <si>
    <t>ADAM HOUSE, 3RD FLR, 1 FITZROY SQ, LONDON, W1T 5HF, ENGLAND</t>
  </si>
  <si>
    <t>1687-5265</t>
  </si>
  <si>
    <t>1687-5273</t>
  </si>
  <si>
    <t>COMPUT INTEL NEUROSC</t>
  </si>
  <si>
    <t>Comput. Intell. Neurosci.</t>
  </si>
  <si>
    <t>10.1155/2018/9293437</t>
  </si>
  <si>
    <t>Mathematical &amp; Computational Biology; Neurosciences &amp; Neurology</t>
  </si>
  <si>
    <t>FV2ZY</t>
  </si>
  <si>
    <t>Green Published, gold, Green Submitted</t>
  </si>
  <si>
    <t>WOS:000424438700001</t>
  </si>
  <si>
    <t>Dai, YY; Kustov, A</t>
  </si>
  <si>
    <t>Dai, Yaoyao; Kustov, Alexander</t>
  </si>
  <si>
    <t>When Do Politicians Use Populist Rhetoric? Populism as a Campaign Gamble</t>
  </si>
  <si>
    <t>Populism; elections; campaign rhetoric; automated text analysis</t>
  </si>
  <si>
    <t>PARTIES; DISCOURSE; ATTITUDES; RISE; REPRESENTATION; COMMUNICATION; IMMIGRATION; NETHERLANDS; SUPPORT; PEOPLE</t>
  </si>
  <si>
    <t>Why do some politicians employ populist rhetoric more than others within the same elections, and why do the same politicians employ more of it in some elections? Building on a simple formal theoretical model of two-candidate elections informed by the ideational approach to populist communication, we argue that the initially less popular political actors are more likely to use populist rhetoric in a gamble to have at least some chance of winning. To test the empirical implications of our argument, we construct the most comprehensive corpus of U.S. presidential campaign speeches (1952-2016) and estimate the prevalence of populist rhetoric across these speeches with a novel automated text analysis method utilizing active learning and word embedding. Overall, we show the robustly greater use of populism among the presidential candidates with the lower polling numbers regardless of their partisanship or incumbency status.</t>
  </si>
  <si>
    <t>[Dai, Yaoyao; Kustov, Alexander] Univ N Carolina, Dept Polit Sci &amp; Publ Adm, 9201 Univ City Blvd, Charlotte, NC 28223 USA</t>
  </si>
  <si>
    <t>University of North Carolina; University of North Carolina Charlotte</t>
  </si>
  <si>
    <t>Dai, YY (corresponding author), Univ N Carolina, Dept Polit Sci &amp; Publ Adm, 9201 Univ City Blvd, Charlotte, NC 28223 USA.</t>
  </si>
  <si>
    <t>yaoyao.dai@uncc.edu</t>
  </si>
  <si>
    <t>Dai, Yaoyao/ADJ-9675-2022</t>
  </si>
  <si>
    <t>Dai, Yaoyao/0000-0003-3035-331X; Kustov, Alexander/0000-0001-9361-8739</t>
  </si>
  <si>
    <t>MAY 4</t>
  </si>
  <si>
    <t>10.1080/10584609.2022.2025505</t>
  </si>
  <si>
    <t>JAN 2022</t>
  </si>
  <si>
    <t>2B5HO</t>
  </si>
  <si>
    <t>WOS:000744295600001</t>
  </si>
  <si>
    <t>Fuhse, J; Stuhler, O; Riebling, J; Martin, JL</t>
  </si>
  <si>
    <t>Fuhse, Jan; Stuhler, Oscar; Riebling, Jan; Martin, John Levi</t>
  </si>
  <si>
    <t>Relating social and symbolic relations in quantitative text analysis. A study of parliamentary discourse in the Weimar Republic</t>
  </si>
  <si>
    <t>Automated text analysis; Culture, networks; Parliament; Political discourse; Social relationships; Symbolic relations; Weimar Republic</t>
  </si>
  <si>
    <t>NEW-YORK-CITY; NETWORK; CULTURE; CONVERSATION; POSITIONS; DUALITY; TIES</t>
  </si>
  <si>
    <t>Social relations between actors and symbolic relations between concepts or ideas are interwoven in discourse. We conceptually distinguish three approaches that construct relations between symbols with different connections to social structures. These three approaches are illustrated empirically with automated text analyses of the parliamentary proceedings of the Weimar Republic in Germany (1919-1933). First, cultural relations between symbols, as reconstructed from co-occurrences of terms in large text corpora, are supposedly widely shared in a social context. In this sense, we analyze a set of key terms in Weimar political discourse around the central term Volk (people). These fall into five word communities, each of them representing a different way of conceiving politics. Secondly, symbolic practices are related to actors positioning themselves through them in socio-symbolic constellations. We reconstruct such a constellation from the usage of key terms of Weimar parliamentary discourse by the eight major political parties in their speeches, with different parties signaling their ideological positions through these terms. Thirdly, the use of symbols in interaction characterizes social relationships between actors. In this vein, the ties between the Weimar parties show distinct patterns of hostility or support in their interjections and reactions to each other's speeches. The second and the third analyses reveal a two-dimensional patterning of the Weimar political landscape, with the traditional Left-Right dimension complemented by an opposition of forces supporting or rejecting the republic. Also, the similarities in word usage by parties correspond fairly well to the support or hostility in their interjections and reactions.</t>
  </si>
  <si>
    <t>[Fuhse, Jan] Univ Passau, Chair Sociol, D-94030 Passau, Germany; [Stuhler, Oscar] NYU, Dept Sociol, NYU Mail Code 1464,295 Lafayette St,4th Floor, New York, NY 10012 USA; [Riebling, Jan] Univ Wuppertal BUW, Sch Human &amp; Social Sci, Gaussstr 20, D-42119 Wuppertal, Germany; [Martin, John Levi] Univ Chicago, Dept Sociol, 1126 East 59th St, Chicago, IL 60637 USA</t>
  </si>
  <si>
    <t>University of Passau; New York University; University of Chicago</t>
  </si>
  <si>
    <t>Fuhse, J (corresponding author), Univ Passau, Chair Sociol, D-94030 Passau, Germany.</t>
  </si>
  <si>
    <t>jan@fuhse.net</t>
  </si>
  <si>
    <t>Fuhse, Jan/AAQ-4035-2021; Fuhse, Jan A/A-7854-2009; Riebling, Jan/ABC-8511-2021</t>
  </si>
  <si>
    <t xml:space="preserve">Fuhse, Jan/0000-0001-5183-9808; </t>
  </si>
  <si>
    <t>German Research Foundation [FU 714/3-2]; Alexander von Humboldt Foundation</t>
  </si>
  <si>
    <t>German Research Foundation(German Research Foundation (DFG)); Alexander von Humboldt Foundation(Alexander von Humboldt Foundation)</t>
  </si>
  <si>
    <t>The research for this project was supported by a Heisenberg fellowship for Jan Fuhse by the German Research Foundation (FU 714/3-2), by a Fulbright stipend for Oscar Stuhler, and by a Humboldt research award for John Levi Martin by the Alexander von Humboldt Foundation.</t>
  </si>
  <si>
    <t>RADARWEG 29a, 1043 NX AMSTERDAM, NETHERLANDS</t>
  </si>
  <si>
    <t>10.1016/j.poetic.2019.04.004</t>
  </si>
  <si>
    <t>LY8WY</t>
  </si>
  <si>
    <t>WOS:000540811400001</t>
  </si>
  <si>
    <t>Dempsey, J; Stamets, J; Eggleson, K</t>
  </si>
  <si>
    <t>Dempsey, Joshua; Stamets, Justin; Eggleson, Kathleen</t>
  </si>
  <si>
    <t>Stakeholder Views of Nanosilver Linings: Macroethics Education and Automated Text Analysis Through Participatory Governance Role Play in a Workshop Format</t>
  </si>
  <si>
    <t>SCIENCE AND ENGINEERING ETHICS</t>
  </si>
  <si>
    <t>Automated text analysis; Macroethics; Nanosilver; Role play; Stakeholder</t>
  </si>
  <si>
    <t>LIFE-CYCLE ASSESSMENT; RESPONSIBLE CONDUCT; BUSINESS ETHICS; SILVER; SCIENCE; NANOTECHNOLOGY; NANOTOXICITY; MANAGEMENT; STUDENTS; RELEASE</t>
  </si>
  <si>
    <t>The Nanosilver Linings role play case offers participants first-person experience with interpersonal interaction in the context of the wicked problems of emerging technology macroethics. In the fictional scenario, diverse societal stakeholders convene at a town hall meeting to consider whether a nanotechnology-enabled food packaging industry should be offered incentives to establish an operation in their economically struggling Midwestern city. This original creative work was built with a combination of elements, selected for their established pedagogical efficacy (e.g. active learning, case-based learning) and as topical dimensions of the realistic scenario (e.g. nanosilver in food packaging, occupational safety and health). The product life cycle is used as a framework for integrated consideration of scientific, societal, and ethical issues. The Nanosilver Linings hypothetical case was delivered through the format of the 3-hour workshop Ethics when Biocomplexity meets Human Complexity, providing an immersive, holistic ethics learning experience for STEM graduate students. Through their participation in the Nanosilver Linings case and Ethics when Biocomplexity meets Human Complexity workshop, four cohorts of science and engineering doctoral students reported the achievement of specific learning objectives pertaining to a range of macroethics concepts and professional practices, including stakeholder perspectives, communication, human values, and ethical frameworks. Automated text analysis of workshop transcripts revealed differences in sentiment and in ethical framework (consequentialism/deontology) preference between societal stakeholder roles. These resources have been recognized as ethics education exemplars by the U.S. National Academy of Engineering .</t>
  </si>
  <si>
    <t>[Dempsey, Joshua] Univ Notre Dame, Notre Dame, IN 46556 USA; [Stamets, Justin] Indiana Univ Bloomington, Bloomington, IN USA; [Eggleson, Kathleen] Indiana Univ Sch Med South Bend, 1234 Notre Dame Ave, South Bend, IN 46617 USA</t>
  </si>
  <si>
    <t>University of Notre Dame; Indiana University System; Indiana University Bloomington; Indiana University System; Indiana University South Bend</t>
  </si>
  <si>
    <t>Eggleson, K (corresponding author), Indiana Univ Sch Med South Bend, 1234 Notre Dame Ave, South Bend, IN 46617 USA.</t>
  </si>
  <si>
    <t>jdempsey@nd.edu; jstamets@iu.edu; keggleso@nd.edu</t>
  </si>
  <si>
    <t>NSF [1338682, 1623870]; Center for Nano Science and Technology at the University of Notre Dame; Indiana University School of Medicine-South Bend; Indiana University-Bloomington; Direct For Biological Sciences [1623870] Funding Source: National Science Foundation</t>
  </si>
  <si>
    <t>NSF(National Science Foundation (NSF)); Center for Nano Science and Technology at the University of Notre Dame; Indiana University School of Medicine-South Bend; Indiana University-Bloomington; Direct For Biological Sciences(National Science Foundation (NSF)NSF - Directorate for Biological Sciences (BIO))</t>
  </si>
  <si>
    <t>The authors gratefully acknowledge the NSF (under Award 1338682 and 1623870) and the Center for Nano Science and Technology at the University of Notre Dame for sponsoring this project. The support of Indiana University School of Medicine-South Bend and Indiana University-Bloomington is greatly appreciated. We thank our collaborators at Northeastern University: Matthew Eckelman, Jacqueline Isaacs, Christopher Bosso, and John Basl. We also thank workshop participants at</t>
  </si>
  <si>
    <t>1353-3452</t>
  </si>
  <si>
    <t>1471-5546</t>
  </si>
  <si>
    <t>SCI ENG ETHICS</t>
  </si>
  <si>
    <t>Sci. Eng. Ethics</t>
  </si>
  <si>
    <t>10.1007/s11948-016-9799-5</t>
  </si>
  <si>
    <t>Ethics; Engineering, Multidisciplinary; History &amp; Philosophy Of Science; Multidisciplinary Sciences; Philosophy</t>
  </si>
  <si>
    <t>Social Sciences - Other Topics; Engineering; History &amp; Philosophy of Science; Science &amp; Technology - Other Topics; Philosophy</t>
  </si>
  <si>
    <t>EX2OL</t>
  </si>
  <si>
    <t>WOS:000403065800014</t>
  </si>
  <si>
    <t>Burggraaff, C; Trilling, D</t>
  </si>
  <si>
    <t>Burggraaff, Christiaan; Trilling, Damian</t>
  </si>
  <si>
    <t>Through a different gate: An automated content analysis of how online news and print news differ</t>
  </si>
  <si>
    <t>JOURNALISM</t>
  </si>
  <si>
    <t>automated content analysis; computational methods; news values; online journalism; print journalism</t>
  </si>
  <si>
    <t>WEB ANALYTICS; JOURNALISM; MEDIA; AUDIENCES; METRICS; MODELS; TEXT</t>
  </si>
  <si>
    <t>We investigate how news values differ between online and print news articles. We hypothesize that print and online articles differ in terms of news values because of differences in the routines used to produce them. Based on a quantitative automated content analysis of N = 762,095 Dutch news items, we show that online news items are more likely to be follow-up items than print items, and that there are further differences regarding news values like references to persons, the power elite, negativity, and positivity. In order to conduct this large-scale analysis, we developed innovative methods to automatically code a wide range of news values. In particular, this article demonstrates how techniques such as sentiment analysis, named entity recognition, supervised machine learning, and automated queries of external databases can be combined and used to study journalistic content. Possible explanations for the difference found between online and offline news are discussed.</t>
  </si>
  <si>
    <t>[Burggraaff, Christiaan] Univ Amsterdam, Sci, Dept Commun Sci, Amsterdam, Netherlands; [Trilling, Damian] Univ Amsterdam, Polit Commun &amp; Journalism, Dept Commun Sci, Amsterdam, Netherlands</t>
  </si>
  <si>
    <t>University of Amsterdam; University of Amsterdam</t>
  </si>
  <si>
    <t>Trilling, D (corresponding author), Univ Amsterdam, Dept Commun Sci, Postbus 15791, NL-1001 NG Amsterdam, Netherlands.</t>
  </si>
  <si>
    <t>d.c.trilling@uva.nl</t>
  </si>
  <si>
    <t>Trilling, Damian/0000-0002-2586-0352</t>
  </si>
  <si>
    <t>SURF Cooperative</t>
  </si>
  <si>
    <t>This work was carried out on the Dutch national e-infrastructure with the support of SURF Cooperative. The authors would like to thank Anne Kroon and Joanna Strycharz for their invaluable contribution to the data collection.</t>
  </si>
  <si>
    <t>1464-8849</t>
  </si>
  <si>
    <t>1741-3001</t>
  </si>
  <si>
    <t>Journalism</t>
  </si>
  <si>
    <t>10.1177/1464884917716699</t>
  </si>
  <si>
    <t>KB1BI</t>
  </si>
  <si>
    <t>WOS:000506236000007</t>
  </si>
  <si>
    <t>Rich, TS</t>
  </si>
  <si>
    <t>Rich, Timothy S.</t>
  </si>
  <si>
    <t>Introducing the Great Successor: North Korean English language news coverage of Kim Jong Un 2010-2011</t>
  </si>
  <si>
    <t>COMMUNIST AND POST-COMMUNIST STUDIES</t>
  </si>
  <si>
    <t>North Korea; Kim Jong Un; KCNA; Automated content analysis</t>
  </si>
  <si>
    <t>How did North Korea initially frame coverage of the Great Successor Kim Jong Un for an international audience? This paper argues that North Korea's daily English language news reports, while commonly dismissed as purely propaganda, provides potential insights into such framing. Through automated content analysis of daily news reports from 2010 through 2011 coupled with regression analysis, this analysis both suggests an increased focus on Kim Jong Un's formal positions and less on his pedigree. (C) 2014 The Regents of the University of California. Published by Elsevier Ltd. All rights reserved.</t>
  </si>
  <si>
    <t>Western Kentucky Univ, Dept Polit Sci, Bowling Green, KY 42101 USA</t>
  </si>
  <si>
    <t>Western Kentucky University</t>
  </si>
  <si>
    <t>Rich, TS (corresponding author), Western Kentucky Univ, Dept Polit Sci, Bowling Green, KY 42101 USA.</t>
  </si>
  <si>
    <t>UNIV CALIFORNIA PRESS</t>
  </si>
  <si>
    <t>OAKLAND</t>
  </si>
  <si>
    <t>155 GRAND AVE, SUITE 400, OAKLAND, CA 94612-3758 USA</t>
  </si>
  <si>
    <t>0967-067X</t>
  </si>
  <si>
    <t>1873-6920</t>
  </si>
  <si>
    <t>COMMUNIS POST-COMMUN</t>
  </si>
  <si>
    <t>Communist Post-Communist Stud.</t>
  </si>
  <si>
    <t>10.1016/j.postcomstud.2014.04.001</t>
  </si>
  <si>
    <t>AK7GJ</t>
  </si>
  <si>
    <t>WOS:000338596300003</t>
  </si>
  <si>
    <t>van der Meer, TGLA; Verhoeven, P</t>
  </si>
  <si>
    <t>van der Meer, Toni G. L. A.; Verhoeven, Piet</t>
  </si>
  <si>
    <t>Public framing organizational crisis situations: Social media versus news media</t>
  </si>
  <si>
    <t>Crisis framing; Social media; Automated content analysis; Crisis communication; Twitter</t>
  </si>
  <si>
    <t>AUTOMATED-ANALYSIS; FRAMES</t>
  </si>
  <si>
    <t>This study examines framing of organizational crises by news media and the public. Due to the rapidly evolving and escalating character of crises, this study emphasizes the initial phase of a crisis, in which public social media manifestations (tweets) play a crucial role. Moreover, this study uses automated content analysis to obtain latent frames embedded in text. Through analyzing the Dutch Moerdijk crisis, this study reveals the dynamic characteristics of public crisis framing and the media framing potential to prevent crisis escalation. (C) 2013 Elsevier Inc. All rights reserved.</t>
  </si>
  <si>
    <t>[van der Meer, Toni G. L. A.; Verhoeven, Piet] Univ Amsterdam, Amsterdam Sch Commun Res, NL-1012 CX Amsterdam, Netherlands</t>
  </si>
  <si>
    <t>van der Meer, TGLA (corresponding author), Univ Amsterdam, Kloveniersburgwal 48, NL-1012 CX Amsterdam, Netherlands.</t>
  </si>
  <si>
    <t>tonivandermeer@hotmail.com</t>
  </si>
  <si>
    <t>360 PARK AVE SOUTH, NEW YORK, NY 10010-1710 USA</t>
  </si>
  <si>
    <t>10.1016/j.pubrev.2012.12.001</t>
  </si>
  <si>
    <t>162UZ</t>
  </si>
  <si>
    <t>WOS:000320292800013</t>
  </si>
  <si>
    <t>Tuan, A; Dalli, D; Gandolfo, A; Gravina, A</t>
  </si>
  <si>
    <t>Tuan, Annamaria; Dalli, Daniele; Gandolfo, Alessandro; Gravina, Anastasia</t>
  </si>
  <si>
    <t>Theories and methods in CSRC research: a systematic literature review</t>
  </si>
  <si>
    <t>CORPORATE COMMUNICATIONS</t>
  </si>
  <si>
    <t>Corporate social responsibility communication; CSR; Paradigms; Automated text analysis; LIWC</t>
  </si>
  <si>
    <t>CORPORATE SOCIAL-RESPONSIBILITY; MIXED METHODS RESEARCH; ORGANIZATIONAL LEGITIMACY; MANAGEMENT; BUSINESS; PERSPECTIVE; KNOWLEDGE; INSTITUTIONALIZATION; SUSTAINABILITY; METHODOLOGIES</t>
  </si>
  <si>
    <t>Purpose The authors have systematically reviewed 534 corporate social responsibility communication (CSRC) papers, updating the current debate about the ontological and epistemological paradigms that characterize the field, and providing evidence of the interactions between these paradigms and the related methodological choices. The purpose of this paper is to provide theoretical and methodological implications for future research in the CSRC research domain. Design/methodology/approach The authors used the Scopus database to search for titles, abstracts and related keywords with two queries sets relating to corporate social responsibility (e.g. corporate ethical, corporate environmental, social responsibility, corporate accountability) and CSRC (e.g. reporting, disclosure, dialogue, sensemaking). The authors identified 534 empirical papers (2000-2016), which the authors coded manually to identify the research methods and research designs (Creswell, 2013). The authors then developed an ad hoc dictionary whose keywords relate to the three primary CSRC approaches (instrumental, normative and constitutive). Using the software Linguistic Inquiry and Word Count, the authors undertook an automated content analysis in order to measure these approaches' relative popularity and compare the methods employed in empirical research. Findings The authors found that the instrumental approach, which belongs to the functionalist paradigm, dominates the CSRC literature with its relative weight being constant over time. The normative approach also belongs to the functionalist paradigm, but plays a minor yet enduring role. The constitutive approach belongs to the interpretive paradigm and grew slightly over time, but still remains largely beyond the instrumental approach. In the instrumental approach, many papers report on descriptive empirical analyses. In the constitutive approach, theory-method relationships are in line with the various paradigmatic traits, while the normative approach presents critical issues. Regarding methodology, according to the findings, the literature review underlines three major limitations that characterize the existing empirical evidence and provides avenues for future research. While multi-paradigmatic research is promoted in the CRSC literature (Crane and Glozer, 2016; Morsing, 2017; Schoeneborn and Trittin, 2013), the authors found no empirical evidence. Originality/value This is the first paper to systematically review empirical research in the CSRC field and is also the first to address the relationship between research paradigms, theoretical approaches, and methods. Further, the authors suggest a novel way to develop systematic reviews (i.e. via quantitative, automated content analysis), which can now also be applied in other literature streams and in other contexts.</t>
  </si>
  <si>
    <t>[Tuan, Annamaria; Dalli, Daniele; Gandolfo, Alessandro; Gravina, Anastasia] Univ Pisa, Dept Econ &amp; Management, Pisa, Italy</t>
  </si>
  <si>
    <t>University of Pisa</t>
  </si>
  <si>
    <t>Tuan, A (corresponding author), Univ Pisa, Dept Econ &amp; Management, Pisa, Italy.</t>
  </si>
  <si>
    <t>annamaria.tuan@unipi.it</t>
  </si>
  <si>
    <t>Tuan, Annamaria/ABD-4320-2020; Dalli, Daniele/B-8326-2009</t>
  </si>
  <si>
    <t>Gravina, Anastasia/0000-0003-0304-1302; Dalli, Daniele/0000-0002-7909-0963; Tuan, Annamaria/0000-0003-1471-3063; GANDOLFO, ALESSANDRO/0000-0002-9329-011X</t>
  </si>
  <si>
    <t>1356-3289</t>
  </si>
  <si>
    <t>1758-6046</t>
  </si>
  <si>
    <t>CORP COMMUN</t>
  </si>
  <si>
    <t>Corp. Commun.</t>
  </si>
  <si>
    <t>10.1108/CCIJ-11-2017-0112</t>
  </si>
  <si>
    <t>IC3JL</t>
  </si>
  <si>
    <t>WOS:000470856200002</t>
  </si>
  <si>
    <t>Alla, K; Oprescu, F; Hall, WD; Whiteford, HA; Head, BW; Meurk, CS</t>
  </si>
  <si>
    <t>Alla, Kristel; Oprescu, Florin; Hall, Wayne D.; Whiteford, Harvey A.; Head, Brian W.; Meurk, Carla S.</t>
  </si>
  <si>
    <t>Can automated content analysis be used to assess and improve the use of evidence in mental health policy? A systematic review</t>
  </si>
  <si>
    <t>SYSTEMATIC REVIEWS</t>
  </si>
  <si>
    <t>Automated content analysis; Evidence-informed policy; Research impact; Mental health; Wordscores</t>
  </si>
  <si>
    <t>POLITICAL TEXTS; POSITIONS; WORDSCORES</t>
  </si>
  <si>
    <t>Background: This review assesses the utility of applying an automated content analysis method to the field of mental health policy development. We considered the possibility of using the Wordscores algorithm to assess research and policy texts in ways that facilitate the uptake of research into mental health policy. Methods: The PRISMA framework and the McMaster appraisal tools were used to systematically review and report on the strengths and limitations of the Wordscores algorithm. Nine electronic databases were searched for peer-reviewed journal articles published between 2003 and 2016. Inclusion criteria were (1) articles had to be published in public health, political science, social science or health services disciplines; (2) articles had to be research articles or opinion pieces that used Wordscores; and (3) articles had to discuss both strengths and limitations of using Wordscores for content analysis. Results: The literature search returned 118 results. Twelve articles met the inclusion criteria. These articles explored a range of policy questions and appraised different aspects of the Wordscores method. Discussion: Following synthesis of the material, we identified the following as potential strengths of Wordscores: (1) the Wordscores algorithm can be used at all stages of policy development; (2) it is valid and reliable; (3) it can be used to determine the alignment of health policy drafts with research evidence; (4) it enables existing policies to be revised in the light of research; and (5) it can determine whether changes in policy over time were supported by the evidence. Potential limitations identified were (1) decreased accuracy with short documents, (2) words constitute the unit of analysis and (3) expertise is needed to choose 'reference texts'. Conclusions: Automated content analysis may be useful in assessing and improving the use of evidence in mental health policies. Wordscores is an automated content analysis option for comparing policy and research texts that could be used by both researchers and policymakers.</t>
  </si>
  <si>
    <t>[Alla, Kristel; Whiteford, Harvey A.; Meurk, Carla S.] Univ Queensland, Sch Publ Hlth, Fac Med, Herston, Qld 4006, Australia; [Alla, Kristel; Whiteford, Harvey A.; Meurk, Carla S.] Queensland Ctr Mental Hlth Res, Pk Ctr Mental Hlth, Archerfield, Qld 4108, Australia; [Oprescu, Florin] Univ Sunshine Coast, Sch Hlth &amp; Sport Sci, Maroochydore, Qld 4558, Australia; [Hall, Wayne D.] Univ Queensland, Ctr Youth Subst Abuse Res, Mental Hlth Ctr, CYSAR K Floor,Royal Brisbane &amp; Womens Hosp Campus, Herston, Qld 4029, Australia; [Whiteford, Harvey A.] Univ Queensland, Sch Polit Sci, St Lucia, Qld 4072, Australia</t>
  </si>
  <si>
    <t>University of Queensland; Queensland Centre for Mental Health Research; University of the Sunshine Coast; Royal Brisbane &amp; Women's Hospital; University of Queensland; University of Queensland</t>
  </si>
  <si>
    <t>Alla, K (corresponding author), Univ Queensland, Sch Publ Hlth, Fac Med, Herston, Qld 4006, Australia.;Alla, K (corresponding author), Queensland Ctr Mental Hlth Res, Pk Ctr Mental Hlth, Archerfield, Qld 4108, Australia.</t>
  </si>
  <si>
    <t>kristel.alla@uq.net.au</t>
  </si>
  <si>
    <t>Whiteford, Harvey A/A-4840-2009; Hall, Wayne D/A-3283-2008; Alla, Kristel/K-3305-2015; Oprescu, Florin/C-4908-2011; Head, Brian/B-9918-2016</t>
  </si>
  <si>
    <t>Whiteford, Harvey A/0000-0003-4667-6623; Hall, Wayne D/0000-0003-1984-0096; Alla, Kristel/0000-0002-0704-9080; Oprescu, Florin/0000-0003-1342-3566; Head, Brian/0000-0002-9915-0628</t>
  </si>
  <si>
    <t>National Health and Medical Research Council (NHMRC) Centre for Research Excellence in Mental Health Systems Improvement [APP1041131]; Australian Government Research Training Program Scholarship from the University of Queensland (UQ)</t>
  </si>
  <si>
    <t>National Health and Medical Research Council (NHMRC) Centre for Research Excellence in Mental Health Systems Improvement(National Health and Medical Research Council (NHMRC) of Australia); Australian Government Research Training Program Scholarship from the University of Queensland (UQ)</t>
  </si>
  <si>
    <t>The project was funded by the National Health and Medical Research Council (NHMRC) Centre for Research Excellence in Mental Health Systems Improvement (APP1041131). This research was supported by the Australian Government Research Training Program Scholarship from the University of Queensland (UQ) to Kristel Alla.</t>
  </si>
  <si>
    <t>BMC</t>
  </si>
  <si>
    <t>CAMPUS, 4 CRINAN ST, LONDON N1 9XW, ENGLAND</t>
  </si>
  <si>
    <t>2046-4053</t>
  </si>
  <si>
    <t>SYST REV-LONDON</t>
  </si>
  <si>
    <t>Syst. Rev.</t>
  </si>
  <si>
    <t>NOV 15</t>
  </si>
  <si>
    <t>10.1186/s13643-018-0853-z</t>
  </si>
  <si>
    <t>Medicine, General &amp; Internal</t>
  </si>
  <si>
    <t>General &amp; Internal Medicine</t>
  </si>
  <si>
    <t>HB3BH</t>
  </si>
  <si>
    <t>gold, Green Published</t>
  </si>
  <si>
    <t>WOS:000450921400003</t>
  </si>
  <si>
    <t>The Power of Information: An Empirical Analysis of Lobbying Success in the European Union</t>
  </si>
  <si>
    <t>POLITISCHE VIERTELJAHRESSCHRIFT</t>
  </si>
  <si>
    <t>European Union; Information; Interest groups; Lobbying; Quantitative text analysis</t>
  </si>
  <si>
    <t>SIGNALING MODEL; POLICY; CONSULTATIONS; ACCESS; EU</t>
  </si>
  <si>
    <t>Why are some interest groups able to successfully feed their preferences into the policy-making process in the European Union whereas others fail in their lobbying attempts? This study argues that lobbying success can largely be explained by the information that interest groups supply to the European Commission, the Council and the European Parliament. What is decisive is however not the provision of information by individual interest groups, but the information supply by entire lobbying coalitions composed of interest groups fighting for the same policy objective. Based on a quantitative text analysis of Commission consultations, the theoretical expectations are empirically tested based on a multilevel analysis of 2696 interest groups and 56 policy initiatives.</t>
  </si>
  <si>
    <t>Univ Oxford, Nuffield Coll, Dept Polit &amp; Int Relat, Oxford OX1 1NF, England</t>
  </si>
  <si>
    <t>University of Oxford</t>
  </si>
  <si>
    <t>Kluver, H (corresponding author), Univ Oxford, Nuffield Coll, Dept Polit &amp; Int Relat, New Rd, Oxford OX1 1NF, England.</t>
  </si>
  <si>
    <t>heike.kluever@politics.ox.ac.uk</t>
  </si>
  <si>
    <t>Yoon, DongJoon/E-9146-2014</t>
  </si>
  <si>
    <t>ONE NEW YORK PLAZA, SUITE 4600, NEW YORK, NY, UNITED STATES</t>
  </si>
  <si>
    <t>0032-3470</t>
  </si>
  <si>
    <t>1862-2860</t>
  </si>
  <si>
    <t>POLIT VIERTELJAHR</t>
  </si>
  <si>
    <t>Polit. Vierteljahresschr.</t>
  </si>
  <si>
    <t>013GK</t>
  </si>
  <si>
    <t>WOS:000309293700002</t>
  </si>
  <si>
    <t>Lee, SS; Shin, J; Won, J</t>
  </si>
  <si>
    <t>Lee, Susanna S.; Shin, Jieun; Won, Jungyun</t>
  </si>
  <si>
    <t>Transparency management of content creators on social media: motivation, tenure, and status</t>
  </si>
  <si>
    <t>JOURNAL OF MEDIA BUSINESS STUDIES</t>
  </si>
  <si>
    <t>YouTube community; transparency; user-generated content; beauty contents; influencers; automated text analysis</t>
  </si>
  <si>
    <t>SPONSORSHIP DISCLOSURE; CREDIBILITY; COMMUNITY; IMPACT; AUTHENTICITY; REPUTATION; ENGAGEMENT; RESPONSES</t>
  </si>
  <si>
    <t>Social media influencers have come under increasing pressure to engage in transparent communication. However, for content that is not explicitly an advertisement, their communication practice can vary widely, reflecting the creator's interests and attitudes towards transparency. This study examines this phenomenon focusing on beauty YouTubers, a distinct community connected by shared styles, routines, and language. We collected 652 beauty YouTube channels and examined the use of creators' disclosure-related keywords under the framework of transparency management. An automated text analysis revealed that over 60% of channels mentioned at least one transparency related keyword. We also found that professionally motivated YouTubers tended to engage in transparency management more than those who lacked such motivation. Moreover, YouTubers with a large number of subscribers were more likely to engage in transparency management than those with a small number of subscribers. This article contributes to a better understanding of content creators' communication patterns that manifest transparency, even when the content is not sponsored.</t>
  </si>
  <si>
    <t>[Lee, Susanna S.] Temple Univ, Klein Coll Media &amp; Commun, Dept Advertising &amp; Publ Relat, Philadelphia, PA 19122 USA; [Shin, Jieun] Univ Florida, Dept Media Prod Management Technol, Coll Journalism &amp; Commun, Gainesville, FL USA; [Won, Jungyun] William Paterson Univ New Jersey, Dept Commun, Wayne, NJ USA</t>
  </si>
  <si>
    <t>Pennsylvania Commonwealth System of Higher Education (PCSHE); Temple University; State University System of Florida; University of Florida</t>
  </si>
  <si>
    <t>Lee, SS (corresponding author), Temple Univ, Klein Coll Media &amp; Commun, Dept Advertising &amp; Publ Relat, Philadelphia, PA 19122 USA.</t>
  </si>
  <si>
    <t>susanna.lee@temple.edu</t>
  </si>
  <si>
    <t>1652-2354</t>
  </si>
  <si>
    <t>2376-2977</t>
  </si>
  <si>
    <t>J MEDIA BUS STUD</t>
  </si>
  <si>
    <t>J. Media Bus. Stud.</t>
  </si>
  <si>
    <t>10.1080/16522354.2022.2141531</t>
  </si>
  <si>
    <t>NOV 2022</t>
  </si>
  <si>
    <t>5W7EW</t>
  </si>
  <si>
    <t>WOS:000878074400001</t>
  </si>
  <si>
    <t>Breyer, M</t>
  </si>
  <si>
    <t>Breyer, Magdalena</t>
  </si>
  <si>
    <t>Populist positions in party competition: Do parties strategically vary their degree of populism in reaction to vote and office loss?</t>
  </si>
  <si>
    <t>Populism; party competition; mainstream parties; automated text analysis</t>
  </si>
  <si>
    <t>MAINSTREAM PARTIES; POLICY SHIFTS; WESTERN; GOVERNMENT; ZEITGEIST; CONTAGION; POLITICS; SUCCESS; STYLE</t>
  </si>
  <si>
    <t>This paper assesses how parties strategically vary their populist positions in party competition. The useful conceptualization of populism as a matter of degree has been established by previous studies. However, we know little about the conditions that drive parties to alter their degree of populism and, importantly, whether this varies between mainstream and populist parties. This paper analyzes the impact of vote and office loss on parties' populist position-taking. It draws upon German and Austrian parliamentary debate speeches from the 1990s until 2018. Populism is measured using a dictionary method, an automated text analysis approach. The results show that parties react to contextual incentives by altering their degree of populism. Mainstream and populist parties are more populist when in opposition. Electoral losses affect mainstream and populist parties less clearly. The contribution of this paper is to integrate research on populism with a theoretical framework on party competition.</t>
  </si>
  <si>
    <t>[Breyer, Magdalena] Univ Zurich, Dept Polit Sci, Affolternstr 56, CH-8050 Zurich, Switzerland</t>
  </si>
  <si>
    <t>University of Zurich</t>
  </si>
  <si>
    <t>Breyer, M (corresponding author), Univ Zurich, Dept Polit Sci, Affolternstr 56, CH-8050 Zurich, Switzerland.</t>
  </si>
  <si>
    <t>breyer@ipz.uzh.ch</t>
  </si>
  <si>
    <t>Breyer, Magdalena/GOV-5801-2022</t>
  </si>
  <si>
    <t>Breyer, Magdalena/0000-0002-4867-400X</t>
  </si>
  <si>
    <t>Swiss National Science Foundation (SNSF), through a project at the Department of Political Science, University of Zurich [185204]</t>
  </si>
  <si>
    <t>Swiss National Science Foundation (SNSF), through a project at the Department of Political Science, University of Zurich(Swiss National Science Foundation (SNSF))</t>
  </si>
  <si>
    <t>The author(s) disclosed receipt of the following financial support for the research, authorship, and/or publication of this article: This research was funded in part by the Swiss National Science Foundation (SNSF), through a project at the Department of Political Science, University of Zurich (Grant ID, 185204)</t>
  </si>
  <si>
    <t>10.1177/13540688221097082</t>
  </si>
  <si>
    <t>1L9XZ</t>
  </si>
  <si>
    <t>WOS:000799634600001</t>
  </si>
  <si>
    <t>van Laer, T; Escalas, JE; Ludwig, S; van den Hende, EA</t>
  </si>
  <si>
    <t>van Laer, Tom; Escalas, Jennifer Edson; Ludwig, Stephan; van den Hende, Ellis A.</t>
  </si>
  <si>
    <t>What Happens in Vegas Stays on TripAdvisor? A Theory and Technique to Understand Narrativity in Consumer Reviews</t>
  </si>
  <si>
    <t>automated text analysis; computational linguistics; consumer reviews; narrative persuasion; narrative transportation; storytelling</t>
  </si>
  <si>
    <t>LINGUISTIC STYLE MATCHES; WORD-OF-MOUTH; ONLINE REVIEWS; TEXT ANALYSIS; SOCIAL MEDIA; TRANSPORTATION; CONSUMPTION; STORIES; CONSEQUENCES; HELPFULNESS</t>
  </si>
  <si>
    <t>Many consumers base their purchase decisions on online consumer reviews. An overlooked feature of these texts is their narrativity: the extent to which they tell a story. The authors construct a new theory of narrativity to link the narrative content and discourse of consumer reviews to consumer behavior. They also develop from scratch a computerized technique that reliably determines the degree of narrativity of 190,461 verbatim, online consumer reviews and validate the automated text analysis with two controlled experiments. More transporting (i.e., engaging) and persuasive reviews have better-developed characters and events as well as more emotionally changing genres and dramatic event orders. This interdisciplinary, multimethod research should help future researchers (1) predict how narrativity affects consumers' narrative transportation and persuasion, (2) measure the narrativity of large digital corpora of textual data, and (3) understand how this important linguistic feature varies along a continuum.</t>
  </si>
  <si>
    <t>[van Laer, Tom] City Univ London, Cass Business Sch, Mkt, 106 Bunhill Row, London EC1Y 8TZ, England; [Escalas, Jennifer Edson] Vanderbilt Univ, Owen Grad Sch Management, Mkt, 401 21st Ave South, Nashville, TN 37203 USA; [Ludwig, Stephan] Univ Melbourne, Fac Business &amp; Econ, Mkt, Parkville, Vic 3010, Australia; [van den Hende, Ellis A.] Delft Univ Technol, Fac Ind Design Engn, Mkt, Landbergstr 15, NL-2628 CE Delft, Netherlands</t>
  </si>
  <si>
    <t>City University London; Vanderbilt University; University of Melbourne; Delft University of Technology</t>
  </si>
  <si>
    <t>van Laer, T (corresponding author), City Univ London, Cass Business Sch, Mkt, 106 Bunhill Row, London EC1Y 8TZ, England.</t>
  </si>
  <si>
    <t>tvanlaer@city.ac.uk; jennifer.escalas@owen.vanderbilt.edu; sludwig@unimelb.edu.au; e.a.vandenhende@tudelft.nl</t>
  </si>
  <si>
    <t>van Laer, Tom/AAC-2500-2019</t>
  </si>
  <si>
    <t>van Laer, Tom/0000-0003-4646-1569; Ludwig, Stephan/0000-0001-5894-6294</t>
  </si>
  <si>
    <t>Marketing Science Institute [4000118]</t>
  </si>
  <si>
    <t>Marketing Science Institute</t>
  </si>
  <si>
    <t>The Marketing Science Institute financially supported part of this work through research grant 4000118.</t>
  </si>
  <si>
    <t>10.1093/jcr/ucy067</t>
  </si>
  <si>
    <t>IS4QE</t>
  </si>
  <si>
    <t>WOS:000482137800004</t>
  </si>
  <si>
    <t>Ceron, A</t>
  </si>
  <si>
    <t>Ceron, Andrea</t>
  </si>
  <si>
    <t>Inter-factional conflicts and government formation: Do party leaders sort out ideological heterogeneity?</t>
  </si>
  <si>
    <t>government formation; intra-party politics; leadership; party factionalism; quantitative text analysis</t>
  </si>
  <si>
    <t>EUROPEAN PARLIAMENTARY DEMOCRACIES; CANDIDATE SELECTION; POLITICAL-PARTIES; COALITION GOVERNMENT; PORTFOLIO ALLOCATION; INTRAPARTY POLITICS; ORGANIZATION; SURVIVAL; MODELS; IMPACT</t>
  </si>
  <si>
    <t>This paper analyzes how factional conflict and intra-party organization affect a party's likelihood of being involved in a ruling coalition. We focus on Italian parties (between 1946 and 2013) estimating their internal heterogeneity through quantitative text analysis of policy documents presented by factions during party congresses. The impact of inter-factional conflict has been investigated in interaction with intra-party rules showing that when the party leader is autonomous and can rely on powerful whipping resources to impose discipline, the party will credibly sticks to the coalition agreement, thereby reducing the negative effect of factional heterogeneity in coalition bargaining.</t>
  </si>
  <si>
    <t>[Ceron, Andrea] Univ Milan, Polit Sci, Milan, Italy</t>
  </si>
  <si>
    <t>Ceron, A (corresponding author), Univ Milan, Dept Social &amp; Polit Sci, Via Pass 13, I-20122 Milan, Italy.</t>
  </si>
  <si>
    <t>andrea.ceron@unimi.it</t>
  </si>
  <si>
    <t>Ceron, Andrea/0000-0002-6686-5969</t>
  </si>
  <si>
    <t>10.1177/1354068814563974</t>
  </si>
  <si>
    <t>EA5WB</t>
  </si>
  <si>
    <t>WOS:000386694000011</t>
  </si>
  <si>
    <t>Maerz, SF</t>
  </si>
  <si>
    <t>Maerz, Seraphine F.</t>
  </si>
  <si>
    <t>Simulating pluralism: the language of democracy in hegemonic authoritarianism</t>
  </si>
  <si>
    <t>POLITICAL RESEARCH EXCHANGE</t>
  </si>
  <si>
    <t>Authoritarianism; simulating pluralism; text-as-data</t>
  </si>
  <si>
    <t>POLICY POSITIONS; REGIMES; LEGITIMATION; ELECTIONS; ORGANIZATION; DIFFUSION; WORDS; TEXT</t>
  </si>
  <si>
    <t>This article analyses the language authoritarian leaders use to legitimate their rule. It examines the official speeches of autocrats in hegemonic regimes and compares them to the rhetorical styles of leaders in closed or competitive regimes and democracies. While recent autocracy research has drawn most attention to the phenomenon of competitive authoritarianism, the survival strategies of hegemonic regimes are less explored. Thus, the study focuses on the simulation of pluralism as a key feature of hegemonic regimes. By installing non-competitive multiparty systems which merely pretend pluralism, these regimes maintain a strong grip on power. The study finds that the leaders of hegemonic regimes use a surprisingly democratic style of language to sustain this facade of pluralism. The dictionary-based quantitative text analysis of 2074 speeches of current leaders in 22 countries illustrates that compared to other autocracies, hegemonic regimes overemphasize the (non-existing) democratic procedures in their country to fake a participatory form of government and gain national and international legitimacy. The subsequent case studies of Uzbekistan, Saudi Arabia, and Russia further reveal the differences in context and motives for autocrats in hegemonic, closed, and competitive regimes to use autocratic or democratic styles of language.</t>
  </si>
  <si>
    <t>[Maerz, Seraphine F.] Bard Coll Berlin, Berlin, Germany</t>
  </si>
  <si>
    <t>Maerz, SF (corresponding author), Bard Coll Berlin, Berlin, Germany.</t>
  </si>
  <si>
    <t>s.maerz@berlin.bard.edu</t>
  </si>
  <si>
    <t>Maerz, Seraphine/0000-0002-7173-9617</t>
  </si>
  <si>
    <t>TAYLOR &amp; FRANCIS LTD</t>
  </si>
  <si>
    <t>2-4 PARK SQUARE, MILTON PARK, ABINGDON OR14 4RN, OXON, ENGLAND</t>
  </si>
  <si>
    <t>2474-736X</t>
  </si>
  <si>
    <t>POLIT RES EXCHANGE</t>
  </si>
  <si>
    <t>Polit. Res. Exch.</t>
  </si>
  <si>
    <t>10.1080/2474736X.2019.1605834</t>
  </si>
  <si>
    <t>VJ9UA</t>
  </si>
  <si>
    <t>WOS:000648615600001</t>
  </si>
  <si>
    <t>Truong, T; Ludwig, S; Mooi, E; Bove, L</t>
  </si>
  <si>
    <t>Truong, Thu (Jordan); Ludwig, Stephan; Mooi, Erik; Bove, Liliana</t>
  </si>
  <si>
    <t>The market value of rhetorical signals in technology licensing contracts</t>
  </si>
  <si>
    <t>INDUSTRIAL MARKETING MANAGEMENT</t>
  </si>
  <si>
    <t>Automated text analysis; Monitoring; Enforcement; Technology licensing; Contracts</t>
  </si>
  <si>
    <t>TRANSACTION COSTS; FIRM VALUE; TRUST; OPPORTUNISM; PERFORMANCE; GOVERNANCE; ENFORCEMENT; SPECIFICITY; ALLIANCES; FEATURES</t>
  </si>
  <si>
    <t>Automated text and content analysis in business-to-business (B2B) settings - such as technology licensing - can offer rich insights for both scholars and practitioners. Drawing on conceptualizations of rhetorical signals and the principles on cooperative communication, this study uses technology licensing contracts to investigate how contractual terms and formulations lead to investor reactions (i.e., licensee's market value). Using automated text analysis, we demonstrate how monitoring and enforcement emphasis can be usefully retrieved from contractual text. Substantially we show that greater monitoring (enforcement) emphasis increases (decreases) the licensees' market value. Greater concreteness reverses these effects of greater monitoring (enforcement) emphasis on the licensee's market value. Combined, the three-way effect of monitoring emphasis, enforcement emphasis, and concreteness generates the greatest increase in the licensee's market value. These insights provide guidance for licensees on how best to formulate their licensing contracts. We show how to conduct automated text analyses to advance research in the area.</t>
  </si>
  <si>
    <t>[Truong, Thu (Jordan); Mooi, Erik; Bove, Liliana] Univ Melbourne, Melbourne, Vic 3010, Australia; [Ludwig, Stephan] Monash Univ, Caulfield, Vic 3145, Australia</t>
  </si>
  <si>
    <t>University of Melbourne; Monash University</t>
  </si>
  <si>
    <t>Truong, T (corresponding author), Univ Melbourne, Melbourne, Vic 3010, Australia.;Ludwig, S (corresponding author), Monash Univ, Caulfield, Vic 3145, Australia.</t>
  </si>
  <si>
    <t>jordan.truong@unimelb.edu.au; stephan.ludwig@monash.edu; erik.mooi@unimelb.edu.au; lbove@unimelb.edu.au</t>
  </si>
  <si>
    <t>0019-8501</t>
  </si>
  <si>
    <t>1873-2062</t>
  </si>
  <si>
    <t>IND MARKET MANAG</t>
  </si>
  <si>
    <t>Ind. Mark. Manage.</t>
  </si>
  <si>
    <t>10.1016/j.indmarman.2022.07.005</t>
  </si>
  <si>
    <t>Business; Management</t>
  </si>
  <si>
    <t>3R1TW</t>
  </si>
  <si>
    <t>WOS:000838703300024</t>
  </si>
  <si>
    <t>Lam, J; Mulvey, MS; Robson, K</t>
  </si>
  <si>
    <t>Lam, Joey; Mulvey, Michael S.; Robson, Karen</t>
  </si>
  <si>
    <t>Looking through the Glassdoor: The stories that B2B salespeople tell</t>
  </si>
  <si>
    <t>Online job reviews; Latent cluster analysis; Sales; Automated text analysis; Storytelling; B2B salespeople; Corporate culture; Job satisfaction</t>
  </si>
  <si>
    <t>JOB-SATISFACTION; ORGANIZATIONAL CULTURE; SALESPERSON TURNOVER; PERFORMANCE; BEHAVIOR; CLIMATE</t>
  </si>
  <si>
    <t>A good understanding of B2B salespeople's employment experiences could better inform strategies to enhance their job satisfaction and reduce job turnover. This study analyzed more than 50 K salespersons' social media posts on the job review website Glassdoor.com to identify the types of stories B2B salespeople tell about their jobs and employers. Building on narrative theory, we used Linguistic Inquiry and Word Count (LIWC) - a dictionarybased content analysis tool - to score the W5 elements (who, what, when, where, and why) that constitute stories. Next, we analyzed differences in the patterns of language used and uncovered four clusters representing corporate cultures that we characterize as cultures of Work Rewards, Work-Life Balance, Workplace Malaise, and Toxic Interactions. Insights from this study can support the management of B2B salespeople and serve as a model for firms considering new automated text analysis approaches to studying employee engagement on social media.</t>
  </si>
  <si>
    <t>[Lam, Joey] Simon Fraser Univ, Beedie Sch Business, 500 Granville St, Vancouver, BC V6C 1W6, Canada; [Mulvey, Michael S.] Univ Ottawa, Telfer Sch Management, LIFE Res Inst, Mkt, 55 Laurier Ave E, Ottawa, ON K1N 6N5, Canada; [Robson, Karen] Univ Windsor, Odette Sch Business, Mkt, 401 Sunset Ave, Windsor, ON, Canada</t>
  </si>
  <si>
    <t>Simon Fraser University; University of Ottawa; University of Windsor</t>
  </si>
  <si>
    <t>Lam, J (corresponding author), Simon Fraser Univ, Beedie Sch Business, 500 Granville St, Vancouver, BC V6C 1W6, Canada.</t>
  </si>
  <si>
    <t>inlam@sfu.ca; mulvey@uottawa.ca; krobson@uwindsor.ca</t>
  </si>
  <si>
    <t>Mulvey, Michael S/B-6999-2008</t>
  </si>
  <si>
    <t>Mulvey, Michael S/0000-0003-0183-4173</t>
  </si>
  <si>
    <t>10.1016/j.indmarman.2022.07.004</t>
  </si>
  <si>
    <t>WOS:000838703300023</t>
  </si>
  <si>
    <t>Myneni, S; Fujimoto, K; Cobb, N; Cohen, T</t>
  </si>
  <si>
    <t>Myneni, Sahiti; Fujimoto, Kayo; Cobb, Nathan; Cohen, Trevor</t>
  </si>
  <si>
    <t>Content-Driven Analysis of an Online Community for Smoking Cessation: Integration of Qualitative Techniques, Automated Text Analysis, and Affiliation Networks</t>
  </si>
  <si>
    <t>AMERICAN JOURNAL OF PUBLIC HEALTH</t>
  </si>
  <si>
    <t>P-ASTERISK MODELS; BEHAVIOR-CHANGE; PEER INFLUENCE; SOCIAL MEDIA; EXPOSURE; SITES</t>
  </si>
  <si>
    <t>Objectives. We identified content-specific patterns of network diffusion underlying smoking cessation in the context of online platforms, with the aim of generating targeted intervention strategies. Methods. QuitNet is an online social network for smoking cessation. We analyzed 16 492 de-identified peer-to-peer messages from 1423 members, posted between March 1 and April 30, 2007. Our mixed-methods approach comprised qualitative coding, automated text analysis, and affiliation network analysis to identify, visualize, and analyze content-specific communication patterns underlying smoking behavior. Results. Themes we identified in QuitNet messages included relapse, QuitNet-specific traditions, and cravings. QuitNet members who were exposed to other abstinent members by exchanging content related to interpersonal themes (e.g., social support, traditions, progress) tended to abstain. Themes found in other types of content did not show significant correlation with abstinence. Conclusions. Modeling health-related affiliation networks through content-driven methods can enable the identification of specific content related to higher abstinence rates, which facilitates targeted health promotion.</t>
  </si>
  <si>
    <t>[Myneni, Sahiti; Cohen, Trevor] Univ Texas Hlth Sci Ctr Houston, Sch Biomed Informat, Houston, TX 77030 USA; [Fujimoto, Kayo] Univ Texas Houston, Sch Publ Hlth, Div Hlth Promot &amp; Behav Sci, Houston, TX USA; [Cobb, Nathan] Georgetown Univ, Med Ctr, Dept Med, Div Pulm &amp; Crit Care, Washington, DC 20007 USA; [Cobb, Nathan] MeYou Hlth LLC, Boston, MA USA</t>
  </si>
  <si>
    <t>University of Texas System; University of Texas Health Science Center Houston; University of Texas System; University of Texas Health Science Center Houston; University of Texas School Public Health; Georgetown University</t>
  </si>
  <si>
    <t>Myneni, S (corresponding author), 7000 Fannin St,Suite 165G, Houston, TX 77030 USA.</t>
  </si>
  <si>
    <t>Sahiti.Myneni@uth.tmc.edu</t>
  </si>
  <si>
    <t>Cobb, Nathan/0000-0003-4210-226X</t>
  </si>
  <si>
    <t>UTHealth Innovation for Cancer Prevention Research Pre-doctoral Fellowship, University of Texas School of Public Health-Cancer Prevention and Research Institute of Texas [RP101503]</t>
  </si>
  <si>
    <t>UTHealth Innovation for Cancer Prevention Research Pre-doctoral Fellowship, University of Texas School of Public Health-Cancer Prevention and Research Institute of Texas</t>
  </si>
  <si>
    <t>This study is supported in part by UTHealth Innovation for Cancer Prevention Research Pre-doctoral Fellowship, University of Texas School of Public Health-Cancer Prevention and Research Institute of Texas (grant RP101503).</t>
  </si>
  <si>
    <t>AMER PUBLIC HEALTH ASSOC INC</t>
  </si>
  <si>
    <t>800 I STREET, NW, WASHINGTON, DC 20001-3710 USA</t>
  </si>
  <si>
    <t>0090-0036</t>
  </si>
  <si>
    <t>1541-0048</t>
  </si>
  <si>
    <t>AM J PUBLIC HEALTH</t>
  </si>
  <si>
    <t>Am. J. Public Health</t>
  </si>
  <si>
    <t>10.2105/AJPH.2014.302464</t>
  </si>
  <si>
    <t>Public, Environmental &amp; Occupational Health</t>
  </si>
  <si>
    <t>CQ2XW</t>
  </si>
  <si>
    <t>WOS:000360466800038</t>
  </si>
  <si>
    <t>Using text to predict psychological and physical health: A comparison of human raters and computerized text analysis</t>
  </si>
  <si>
    <t>COMPUTERS IN HUMAN BEHAVIOR</t>
  </si>
  <si>
    <t>Chronic pain; Expressive writing; Text analysis; Sentiment analysis; Human coding</t>
  </si>
  <si>
    <t>PAIN CATASTROPHIZING SCALE; EMOTIONAL EXPRESSION; ILLNESS INTRUSIVENESS; CANCER; LIFE; SATISFACTION; VALIDATION; NARRATIVES; SEVERITY; VALIDITY</t>
  </si>
  <si>
    <t>Given the wide-spread use of social media, text analysis has emerged as a promising way to gather information about individuals. However, it is still Unclear which method of text analysis is best for determining different types of information. This study compared the utility of automated text analysis (LIWC) with human raters in predicting self-reported psychological and physical health. Expressive writing essays from chronic pain patients were used from a previous online intervention study. Results indicate that human ratings added predictive power above and beyond the LIWC on measures of depression. However, the LIWC was almost as proficient as human raters when predicting pain catastrophizing and illness intrusiveness. Neither the LIWC nor human ratings were good predictors of pain severity and life satisfaction. Overall the utility of automated text analysis over human raters depends on the individual characteristic being measured. (C) 2017 Elsevier Ltd. All rights reserved.</t>
  </si>
  <si>
    <t>[Ziemer, Kathryn Schaefer; Korkmaz, Gizem] Virginia Tech Univ, Social &amp; Decis Analyt Lab, Virginia Bioinformat Inst, 900N Glebe Rd, Arlington, VA 22203 USA</t>
  </si>
  <si>
    <t>Ziemer, KS (corresponding author), Virginia Tech Univ, Social &amp; Decis Analyt Lab, Virginia Bioinformat Inst, 900N Glebe Rd, Arlington, VA 22203 USA.</t>
  </si>
  <si>
    <t>schaeferkl@gmail.com; gkorkmaz@vbi.vt.edu</t>
  </si>
  <si>
    <t>0747-5632</t>
  </si>
  <si>
    <t>1873-7692</t>
  </si>
  <si>
    <t>COMPUT HUM BEHAV</t>
  </si>
  <si>
    <t>Comput. Hum. Behav.</t>
  </si>
  <si>
    <t>10.1016/j.chb.2017.06.038</t>
  </si>
  <si>
    <t>Psychology, Multidisciplinary; Psychology, Experimental</t>
  </si>
  <si>
    <t>FI8KL</t>
  </si>
  <si>
    <t>WOS:000412251400015</t>
  </si>
  <si>
    <t>Leelawat, N; Tang, J; Saengtabtim, K; Laosunthara, A</t>
  </si>
  <si>
    <t>Leelawat, Natt; Tang, Jing; Saengtabtim, Kumpol; Laosunthara, Ampan</t>
  </si>
  <si>
    <t>Trends of Tweets on the Coronavirus Disease-2019 (COVID-19) Pandemic</t>
  </si>
  <si>
    <t>JOURNAL OF DISASTER RESEARCH</t>
  </si>
  <si>
    <t>COVID-19; novel Coronavirus 2019; social networking services; quantitative text analysis; Twitter</t>
  </si>
  <si>
    <t>The Severe Acute Respiratory Syndrome Coronavirus 2 is a virus causing the COVID-19 pandemic around the world. The World Health Organization (WHO) raised it to the highest level of global alert. The English, Chinese, and Japanese language Twitter data related to this disease during the first period after the WHO started releasing the situation reports were collected and compared with the tweet trends. This study also used quantitative text analysis to extract and analyze the co-occurrence network of English tweets. The findings show that trends and public concerns in social media are related to the breaking news and global trends such as the confirmed cases, the reported death tolls, the quarantined cruise news, the informer, etc.</t>
  </si>
  <si>
    <t>[Leelawat, Natt; Saengtabtim, Kumpol] Chulalongkorn Univ, Dept Ind Engn, Fac Engn, Phayathai Rd, Bangkok 10330, Thailand; [Leelawat, Natt; Tang, Jing; Laosunthara, Ampan] Chulalongkorn Univ, Disaster &amp; Risk Management Informat Syst Res Grp, Bangkok, Thailand; [Tang, Jing] Chulalongkorn Univ, Fac Engn, Int Sch Engn, Bangkok, Thailand</t>
  </si>
  <si>
    <t>Chulalongkorn University; Chulalongkorn University; Chulalongkorn University</t>
  </si>
  <si>
    <t>Leelawat, N (corresponding author), Chulalongkorn Univ, Dept Ind Engn, Fac Engn, Phayathai Rd, Bangkok 10330, Thailand.;Leelawat, N (corresponding author), Chulalongkorn Univ, Disaster &amp; Risk Management Informat Syst Res Grp, Bangkok, Thailand.</t>
  </si>
  <si>
    <t>natt.l@chula.ac.th</t>
  </si>
  <si>
    <t>Leelawat, Natt/G-7602-2014</t>
  </si>
  <si>
    <t>Leelawat, Natt/0000-0001-5181-2584</t>
  </si>
  <si>
    <t>Chula Engineering's Promoting Research Grant (2020); Radchadapisek Sompoch Endowment Fund (2019), Chulalongkorn University [762003-CC]; EU Marie Curie project: GOLF [GOLF-777742]</t>
  </si>
  <si>
    <t>Chula Engineering's Promoting Research Grant (2020); Radchadapisek Sompoch Endowment Fund (2019), Chulalongkorn University; EU Marie Curie project: GOLF</t>
  </si>
  <si>
    <t>This research is supported by Chula Engineering's Promoting Research Grant (2020); Radchadapisek Sompoch Endowment Fund (2019), Chulalongkorn University (762003-CC); and the EU Marie Curie project: GOLF (reference no. GOLF-777742).</t>
  </si>
  <si>
    <t>FUJI TECHNOLOGY PRESS LTD</t>
  </si>
  <si>
    <t>TOKYO</t>
  </si>
  <si>
    <t>1-15-7, UCHIKANDA, CHIYODA-KU, UNIZO UCHIKANDA 1-CHOME BLDG 2F, TOKYO, 101-0047, JAPAN</t>
  </si>
  <si>
    <t>1881-2473</t>
  </si>
  <si>
    <t>1883-8030</t>
  </si>
  <si>
    <t>J DISASTER RES</t>
  </si>
  <si>
    <t>J. Disaster Res.</t>
  </si>
  <si>
    <t>10.20965/jdr.2020.p0530</t>
  </si>
  <si>
    <t>Geosciences, Multidisciplinary</t>
  </si>
  <si>
    <t>Geology</t>
  </si>
  <si>
    <t>LU6BR</t>
  </si>
  <si>
    <t>WOS:000537838900006</t>
  </si>
  <si>
    <t>Bunea, A; Ibenskas, R</t>
  </si>
  <si>
    <t>Bunea, Adriana; Ibenskas, Raimondas</t>
  </si>
  <si>
    <t>Quantitative text analysis and the study of EU lobbying and interest groups</t>
  </si>
  <si>
    <t>Content analysis; European Union lobbying; policy position estimates; preference attainment</t>
  </si>
  <si>
    <t>DETERMINANTS; ISSUES; MODEL</t>
  </si>
  <si>
    <t>Interest groups' policy position documents constitute an important data source for estimating their policy positions and lobbying success. We examine applications of quantitative text analysis to research these documents in the context of the European Commission's open consultations. We show a considerable degree of incongruity between this method's assumptions and the text characteristics of EU position documents. We examine how these incongruities affect the validity of position estimates and conduct an empirical analysis of documents submitted in one consultation on CO2 car emissions. We compare estimates derived on both quantitative and qualitative content analysis and find relatively limited correspondence between the two. These observed differences matter substantively: they result in different findings concerning levels of interest groups' lobbying success.</t>
  </si>
  <si>
    <t>[Bunea, Adriana] UCL, London WC1H 9QU, England; [Ibenskas, Raimondas] Univ Exeter, Exeter EX4 4QJ, Devon, England</t>
  </si>
  <si>
    <t>University of London; University College London; University of Exeter</t>
  </si>
  <si>
    <t>Bunea, A (corresponding author), UCL, Sch Publ Policy, Dept Polit Sci, Rubin Bldg,Tavistock Sq 31, London WC1H 9QU, England.</t>
  </si>
  <si>
    <t>a.bunea@ucl.ac.uk</t>
  </si>
  <si>
    <t>Marie Sklodowska-Curie Actions Programme [622661 EULobbying, 330446 PARTYINSTABILITY]</t>
  </si>
  <si>
    <t>Marie Sklodowska-Curie Actions Programme</t>
  </si>
  <si>
    <t>We gratefully acknowledge the financial support from the Marie Sklodowska-Curie Actions Programme through our individual Intra-European Fellowships (Grant no. 622661 EULobbying; Grant no. 330446 PARTYINSTABILITY).</t>
  </si>
  <si>
    <t>10.1177/1465116515577821</t>
  </si>
  <si>
    <t>WOS:000360108000007</t>
  </si>
  <si>
    <t>Mendes, MS</t>
  </si>
  <si>
    <t>Mendes, Mariana S.</t>
  </si>
  <si>
    <t>'Enough' of What? An Analysis of Chega's Populist Radical Right Agenda</t>
  </si>
  <si>
    <t>SOUTH EUROPEAN SOCIETY AND POLITICS</t>
  </si>
  <si>
    <t>Portugal; populism; nativism; authoritarianism; producerism; ideology; issue salience; quantitative text analysis</t>
  </si>
  <si>
    <t>In 2019, for the first time in Portugal, a populist radical right party (PRR) made it to parliament. Since then voting intentions for Chega (Enough) have grown with the party leader finishing third in the 2021 presidential race. This article provides an empirical-based account of the party's agenda and ideological profile. It asks to what extent Chega shares the core ideological characteristics of the PRR family, i.e. nativism, populism and authoritarianism. Relying on a battery of primary data (party documents, legislative proposals, official party posts on Facebook), the article combines qualitative and quantitative text analysis. It shows that Chega's agenda falls well into the radical right profile, not only in positional terms but also in terms of issue salience.</t>
  </si>
  <si>
    <t>[Mendes, Mariana S.] Tech Univ Dresden, Mercator Forum Migrat &amp; Democracy MIDEM, Dresden, Germany</t>
  </si>
  <si>
    <t>Mendes, MS (corresponding author), Tech Univ Dresden, Mercator Forum Migrat &amp; Democracy MIDEM, Dresden, Germany.</t>
  </si>
  <si>
    <t>mariana.mendes@tu-dresden.de</t>
  </si>
  <si>
    <t>S. Mendes, Mariana/0000-0003-3493-4381</t>
  </si>
  <si>
    <t>1360-8746</t>
  </si>
  <si>
    <t>1743-9612</t>
  </si>
  <si>
    <t>S EUR SOC POLIT</t>
  </si>
  <si>
    <t>S. Eur. Soc. Polit.</t>
  </si>
  <si>
    <t>10.1080/13608746.2022.2043073</t>
  </si>
  <si>
    <t>MAR 2022</t>
  </si>
  <si>
    <t>Political Science; Social Issues</t>
  </si>
  <si>
    <t>0M6RN</t>
  </si>
  <si>
    <t>WOS:000767658400001</t>
  </si>
  <si>
    <t>Atzpodien, DS</t>
  </si>
  <si>
    <t>Atzpodien, Dana Siobhan</t>
  </si>
  <si>
    <t>The SPD in a balancing act between government responsibility and conviction-Migration in parliamentary party competition</t>
  </si>
  <si>
    <t>ZEITSCHRIFT FUR VERGLEICHENDE POLITIKWISSENSCHAFT</t>
  </si>
  <si>
    <t>Bundestag; SPD; Refugee crisis; Party competition; Parliament; Quantitative text analysis</t>
  </si>
  <si>
    <t>IMMIGRATION ISSUE; ELECTION; SUCCESS; POLICY; OWNERSHIP; POSITIONS; POLITICS; TEXT</t>
  </si>
  <si>
    <t>This paper analyses refugee and migration policy speeches of the German Bundestag during the 18th legislative period and shows the dynamics of parliamentary party competition during the European refugee crisis using the quantitative text analysis tool Wordfish and a comprehensive qualitative validation. The dynamic field of refugee and migration policy puts parties and in particular the Social Democratic Party of Germany (SPD) under pressure against the background of the liberal dilemma as well as through changing thematic emphasis and the resulting logic of competition. The position of the SPD varied considerably in the otherwise stable parliamentary competition as the party found itself in a balancing act between its formal government responsibility and its ideological position.</t>
  </si>
  <si>
    <t>[Atzpodien, Dana Siobhan] Westfalische Wilhelms Univ Munster, Inst Polit Wissensch, Scharnhorststr 100, D-48151 Munster, Germany</t>
  </si>
  <si>
    <t>Atzpodien, DS (corresponding author), Westfalische Wilhelms Univ Munster, Inst Polit Wissensch, Scharnhorststr 100, D-48151 Munster, Germany.</t>
  </si>
  <si>
    <t>atzpodien@uni-muenster.de</t>
  </si>
  <si>
    <t>Atzpodien, Dana Siobhan/AAS-2849-2020</t>
  </si>
  <si>
    <t>Atzpodien, Dana Siobhan/0000-0001-8354-801X</t>
  </si>
  <si>
    <t>Projekt DEAL</t>
  </si>
  <si>
    <t>Open Access funding provided by Projekt DEAL.</t>
  </si>
  <si>
    <t>SPRINGER VIEWEG-SPRINGER FACHMEDIEN WIESBADEN GMBH</t>
  </si>
  <si>
    <t>WIESBADEN</t>
  </si>
  <si>
    <t>ABRAHAM-LINCOLN STASSE 46, WIESBADEN, 65189, GERMANY</t>
  </si>
  <si>
    <t>1865-2646</t>
  </si>
  <si>
    <t>1865-2654</t>
  </si>
  <si>
    <t>Z VGL POLITIKWISSENS</t>
  </si>
  <si>
    <t>Z. Vgl. Politikwissenschaft</t>
  </si>
  <si>
    <t>10.1007/s12286-020-00445-6</t>
  </si>
  <si>
    <t>MAY 2020</t>
  </si>
  <si>
    <t>ME0CJ</t>
  </si>
  <si>
    <t>WOS:000534195500002</t>
  </si>
  <si>
    <t>Vasalou, A; Gill, AJ; Mazanderani, F; Papoutsi, C; Joinson, A</t>
  </si>
  <si>
    <t>Vasalou, Asimina; Gill, Alastair J.; Mazanderani, Fadhila; Papoutsi, Chrysanthi; Joinson, Adam</t>
  </si>
  <si>
    <t>Privacy Dictionary: A New Resource for the Automated Content Analysis of Privacy</t>
  </si>
  <si>
    <t>JOURNAL OF THE AMERICAN SOCIETY FOR INFORMATION SCIENCE AND TECHNOLOGY</t>
  </si>
  <si>
    <t>ONLINE; WORDS</t>
  </si>
  <si>
    <t>This article presents the privacy dictionary, a new linguistic resource for automated content analysis on privacy-related texts. To overcome the definitional challenges inherent in privacy research, the dictionary was informed by an inclusive set of relevant theoretical perspectives. Using methods from corpus linguistics, we constructed and validated eight dictionary categories on empirical material from a wide range of privacy-sensitive contexts. It was shown that the dictionary categories are able to measure unique linguistic patterns within privacy discussions. At a time when privacy considerations are increasing and online resources provide ever-growing quantities of textual data, the privacy dictionary can play a significant role not only for research in the social sciences but also in technology design and policymaking.</t>
  </si>
  <si>
    <t>[Vasalou, Asimina] Univ Birmingham, Dept Comp Sci, Birmingham B15 2TT, W Midlands, England; [Gill, Alastair J.] Univ Surrey, Dept Sociol, Guildford GU2 7XH, Surrey, England; [Mazanderani, Fadhila; Papoutsi, Chrysanthi] Univ Oxford, Oxford Internet Inst, Oxford OX1 3JS, England; [Joinson, Adam] Univ Bath, Sch Management, Bath BA2 7AY, Avon, England</t>
  </si>
  <si>
    <t>University of Birmingham; University of Surrey; University of Oxford; University of Bath</t>
  </si>
  <si>
    <t>Vasalou, A (corresponding author), Univ Birmingham, Dept Comp Sci, Birmingham B15 2TT, W Midlands, England.</t>
  </si>
  <si>
    <t>a.vasalou@bham.ac.uk; a.gill@surrey.ac.uk; fadhila.mazanderani@oii.ox.ac.uk; chrysanthi.papoutsi@oii.ox.ac.uk; a.joinson@bath.ac.uk</t>
  </si>
  <si>
    <t>Papoutsi, Chrysanthi/0000-0003-1189-7100; Vasalou, Asimina/0000-0002-3176-7672</t>
  </si>
  <si>
    <t>EPSRC [EP/G002606/1]; European Commission [231200]; Engineering and Physical Sciences Research Council [EP/G002606/1] Funding Source: researchfish</t>
  </si>
  <si>
    <t>EPSRC(UK Research &amp; Innovation (UKRI)Engineering &amp; Physical Sciences Research Council (EPSRC)); European Commission(European CommissionEuropean Commission Joint Research Centre); Engineering and Physical Sciences Research Council(UK Research &amp; Innovation (UKRI)Engineering &amp; Physical Sciences Research Council (EPSRC))</t>
  </si>
  <si>
    <t>We thank Anne-Marie Oostveen and Sacha Brostoff, whose assistance was invaluable with the transcript analysis, and Francisco Iacobelli for his help with writing the blog-collection software. We gratefully acknowledge Will Lowe, Cristina Soriano, and the anonymous reviewers of our manuscript, whose comments improved our work. This research was funded by the EPSRC through the Privacy Value Networks Project (EP/G002606/1) and partially supported by the Future and Emerging Technologies Programme FP7-COSI-ICT of the European Commission through the QLectives Project (Grant 231200).</t>
  </si>
  <si>
    <t>1532-2882</t>
  </si>
  <si>
    <t>1532-2890</t>
  </si>
  <si>
    <t>J AM SOC INF SCI TEC</t>
  </si>
  <si>
    <t>J. Am. Soc. Inf. Sci. Technol.</t>
  </si>
  <si>
    <t>10.1002/asi.21610</t>
  </si>
  <si>
    <t>Computer Science, Information Systems; Information Science &amp; Library Science</t>
  </si>
  <si>
    <t>Computer Science; Information Science &amp; Library Science</t>
  </si>
  <si>
    <t>840PY</t>
  </si>
  <si>
    <t>WOS:000296453900002</t>
  </si>
  <si>
    <t>Eberl, JM; Tolochko, P; Jost, P; Heidenreich, T; Boomgaarden, HG</t>
  </si>
  <si>
    <t>Eberl, Jakob-Moritz; Tolochko, Petro; Jost, Pablo; Heidenreich, Tobias; Boomgaarden, Hajo G.</t>
  </si>
  <si>
    <t>What's in a post? How sentiment and issue salience affect users' emotional reactions on Facebook</t>
  </si>
  <si>
    <t>JOURNAL OF INFORMATION TECHNOLOGY &amp; POLITICS</t>
  </si>
  <si>
    <t>Emotions; Facebook; elections; automated content analysis</t>
  </si>
  <si>
    <t>NEWS MEDIA; INFORMATION; INTERACTIVITY; PARTICIPATION; COMMUNICATION; DISCUSSIONS; PERSUASION; ATTENTION; RESPONSES; ELECTION</t>
  </si>
  <si>
    <t>We investigate the effects of sentiment and issue salience on emotionally labeled responses to posts from political actors on Facebook (i.e., Reactions). We use an automated content analysis of Facebook posts and voter survey data in a multilevel negative binomial regression approach. Findings show that the sentiment of a post relates to the number of Love and Angry Reactions. Furthermore, if a post addresses an issue that constituents perceive as salient, this positively influences the number of Angry Reactions only. We also find that the effect of sentiment on Angry Reactions is highest when issue salience is low.</t>
  </si>
  <si>
    <t>[Eberl, Jakob-Moritz; Heidenreich, Tobias] Univ Vienna, Dept Commun, Rathausstr 19-9, A-1010 Vienna, Austria; [Eberl, Jakob-Moritz] Austrian Natl Elect Study AUTNES, Vienna, Austria; [Tolochko, Petro] Univ Vienna, Dept Polit Sci, Vienna, Austria; [Jost, Pablo] Johannes Gutenberg Univ Mainz, Dept Commun, Mainz, Germany; [Boomgaarden, Hajo G.] Univ Vienna, Vienna, Austria</t>
  </si>
  <si>
    <t>University of Vienna; University of Vienna; Johannes Gutenberg University of Mainz; University of Vienna</t>
  </si>
  <si>
    <t>Eberl, JM (corresponding author), Univ Vienna, Dept Commun, Rathausstr 19-9, A-1010 Vienna, Austria.</t>
  </si>
  <si>
    <t>jakob-moritz.eberl@univie.ac.at</t>
  </si>
  <si>
    <t>Eberl, Jakob-Moritz/K-4689-2019; Jost, Pablo/AAW-6563-2021; Jost, Pablo/AAE-7658-2020; Heidenreich, Tobias/HDO-5760-2022</t>
  </si>
  <si>
    <t>Eberl, Jakob-Moritz/0000-0002-5613-760X; Jost, Pablo/0000-0001-9267-1773; Heidenreich, Tobias/0000-0001-9070-0550; Boomgaarden, Hajo G./0000-0002-5260-1284; Tolochko, Petro/0000-0001-5971-8816</t>
  </si>
  <si>
    <t>1933-1681</t>
  </si>
  <si>
    <t>1933-169X</t>
  </si>
  <si>
    <t>J INF TECHNOL POLITI</t>
  </si>
  <si>
    <t>J. Inf. Technol. Politics</t>
  </si>
  <si>
    <t>10.1080/19331681.2019.1710318</t>
  </si>
  <si>
    <t>JAN 2020</t>
  </si>
  <si>
    <t>KD1DL</t>
  </si>
  <si>
    <t>WOS:000505210700001</t>
  </si>
  <si>
    <t>Kroon, AC; Trilling, D; van der Meer, TGLA; Jonkman, JGF</t>
  </si>
  <si>
    <t>Kroon, Anne C.; Trilling, Damian; van der Meer, Toni G. L. A.; Jonkman, Jeroen G. F.</t>
  </si>
  <si>
    <t>Clouded reality: News representations of culturally close and distant ethnic outgroups</t>
  </si>
  <si>
    <t>COMMUNICATIONS-EUROPEAN JOURNAL OF COMMUNICATION RESEARCH</t>
  </si>
  <si>
    <t>prejudice; cultural distance; word embeddings; automated content analysis</t>
  </si>
  <si>
    <t>AVERSIVE RACISM; ATTITUDES; PREJUDICE; IMMIGRANTS; THREAT; MULTICULTURALISM; IMPLICIT; MUSLIMS</t>
  </si>
  <si>
    <t>The current study explores how the cultural distance of ethnic outgroups relative to the ethnic ingroup is related to stereotypical news representations. It does so by drawing on a sample of more than three million Dutch newspaper articles and uses advanced methods of automated content analysis, namely word embeddings. The results show that distant ethnic outgroup members (i. e., Moroccans) are associated with negative characteristics and issues, while this is not the case for close ethnic outgroup members (i. e., Belgians). The current study demonstrates the usefulness of word embeddings as a tool to study subtle aspects of ethnic bias in mass-mediated content.</t>
  </si>
  <si>
    <t>[Kroon, Anne C.; Trilling, Damian; Jonkman, Jeroen G. F.] Univ Amsterdam, Amsterdam Sch Commun Res ASCoR, Amsterdam, Netherlands; [van der Meer, Toni G. L. A.] Univ Amsterdam, Amsterdam Sch Commun Res ASCoR, GLA, Amsterdam, Netherlands</t>
  </si>
  <si>
    <t>Kroon, AC (corresponding author), Univ Amsterdam, Amsterdam Sch Commun Res ASCoR, Amsterdam, Netherlands.</t>
  </si>
  <si>
    <t>A.C.Kroon@uva.nl; d.c.trilling@uva.nl; vanderMeer@uva.nl; J.G.F.Jonkman@uva.nl</t>
  </si>
  <si>
    <t>DE GRUYTER MOUTON</t>
  </si>
  <si>
    <t>GENTHINER STRASSE 13, 10785 BERLIN, GERMANY</t>
  </si>
  <si>
    <t>0341-2059</t>
  </si>
  <si>
    <t>1613-4087</t>
  </si>
  <si>
    <t>COMMUNICATIONS-GER</t>
  </si>
  <si>
    <t>Communications</t>
  </si>
  <si>
    <t>10.1515/commun-2019-2069</t>
  </si>
  <si>
    <t>PI9JV</t>
  </si>
  <si>
    <t>WOS:000601398900011</t>
  </si>
  <si>
    <t>Brown, T; Caruana, A; Mulvey, M; Pitt, L</t>
  </si>
  <si>
    <t>Brown, Terrence; Caruana, Albert; Mulvey, Michael; Pitt, Leyland</t>
  </si>
  <si>
    <t>Understanding the Emotions of Those With a Gambling Disorder: Insights From Automated Text Analysis</t>
  </si>
  <si>
    <t>JOURNAL OF GAMBLING ISSUES</t>
  </si>
  <si>
    <t>emotions; gambling disorder; automated text analysis</t>
  </si>
  <si>
    <t>UNIVERSALITY; PREVALENCE; EXPRESSION; ADDICTION; BEHAVIOR</t>
  </si>
  <si>
    <t>The diffusion and growth of the web and the social media applications that it has provided have seen people increasingly turn to social media to express their feelings, frustrations, and ambitions and to generally share life events. Like other internet users, those with a gambling disorder are also known to use specialized online forums to read the experiences articulated by others and to open up, share, and express themselves online. In this study, we examined how those with a gambling disorder talk about their emotions and express sentiment through their online comments. Sentiment Analysis in IBM Watson was used to capture expressed emotions (anger, disgust, fear, happiness, sadness, and surprise) and sentiments. These data were then used as input to a latent class cluster modelling procedure aimed at categorizing those with a gambling disorder into distinct groups. The findings show how qualitative online data can be transformed into quantitative insights in order to identify different categories of people with a gambling disorder. The technique offers a non-intrusive method of data collection that can provide useful insights into the emotions felt and expressed by those with a gambling disorder.</t>
  </si>
  <si>
    <t>[Brown, Terrence] Royal Inst Technol KTH, Unit Sustainabil Ind Dynam &amp; Entrepreneurship, Stockholm, Sweden; [Caruana, Albert] Univ Malta, Dept Corp Commun, Msida, Malta; [Mulvey, Michael] Univ Ottawa, Telfer Sch Management, Ottawa, ON, Canada; [Pitt, Leyland] Simon Fraser Univ, Beedle Sch Business, Vancouver, BC, Canada</t>
  </si>
  <si>
    <t>Royal Institute of Technology; University of Malta; University of Ottawa; Simon Fraser University</t>
  </si>
  <si>
    <t>Brown, T (corresponding author), Royal Inst Technol KTH, Unit Sustainabil Ind Dynam &amp; Entrepreneurship, Stockholm, Sweden.</t>
  </si>
  <si>
    <t>terrence@kth.se</t>
  </si>
  <si>
    <t>Mulvey, Michael S/B-6999-2008; CARUANA, ALBERT/AAB-4722-2022</t>
  </si>
  <si>
    <t>Mulvey, Michael S/0000-0003-0183-4173; CARUANA, ALBERT/0000-0002-5815-8172</t>
  </si>
  <si>
    <t>CENTRE ADDICTION &amp; MENTAL HEALTH-CAMH</t>
  </si>
  <si>
    <t>TORONTO</t>
  </si>
  <si>
    <t>33 RUSSELL ST, TORONTO, ON M5S 2S1, CANADA</t>
  </si>
  <si>
    <t>1910-7595</t>
  </si>
  <si>
    <t>J GAMBL ISSUES</t>
  </si>
  <si>
    <t>J. Gambl. Issues</t>
  </si>
  <si>
    <t>SPR</t>
  </si>
  <si>
    <t>10.4309/jgi.2021.47.5</t>
  </si>
  <si>
    <t>SM6WY</t>
  </si>
  <si>
    <t>WOS:000657744300005</t>
  </si>
  <si>
    <t>Wang, J; Liu-Lastres, BJ; Shi, Y; Li, TT</t>
  </si>
  <si>
    <t>Wang, Jie; Liu-Lastres, Bingjie; Shi, Yong; Li, Tingting</t>
  </si>
  <si>
    <t>Thirty Years of Research on Tourism Safety and Security: A Comparative Automated Content Analysis Approach</t>
  </si>
  <si>
    <t>JOURNAL OF CHINA TOURISM RESEARCH</t>
  </si>
  <si>
    <t>Tourism safety; security; China; comparative analysis; automated content analysis; Leximancer</t>
  </si>
  <si>
    <t>RISK PERCEPTIONS; PERCEIVED RISK; HOST CITY; CHINA; ARTICLES; LONDON; IMPACT</t>
  </si>
  <si>
    <t>Safety and security are important elements in tourism and have been studied over the past few decades. China plays an important role in the global tourism industry as the leading source market in the world. However, no studies thus far have comprehensively reviewed and compared tourism safety and security research published both within and outside China. To fill the void, this study reviewed 160 publications on tourism safety and security from English- and Chinese-language academic journals selected between 1990 and 2018. A comparative automated content analysis (ACA) approach was adopted in this study to analyze and compare the major themes and concepts that emerged in the sample. The findings revealed that the Chinese and Western literature assume distinctive foci regarding tourism safety and security. Specifically, the English-language literature is more comprehensive and considers both the supply and demand sides of the tourism industry. On the other hand, the Chinese literature thoroughly examines the importance of tourism safety and security within the tourism development process. This study provides a broad overview of the research activities on tourism safety and security from both an insider's and outsider's perspectives. Future research directions are suggested.</t>
  </si>
  <si>
    <t>[Wang, Jie; Li, Tingting] Univ Queensland, Sch Business, Brisbane, Qld 4072, Australia; [Liu-Lastres, Bingjie] Indiana Univ Purdue Univ, Sch Phys Educ &amp; Tourism Management, Indianapolis, IN 46202 USA; [Shi, Yong] Univ Zhengzhou, Dept Tourism &amp; Management, Zhengzhou, Henan, Peoples R China</t>
  </si>
  <si>
    <t>University of Queensland; Indiana University System; Indiana University-Purdue University Indianapolis; Zhengzhou University</t>
  </si>
  <si>
    <t>Wang, J (corresponding author), Univ Queensland, Sch Business, Brisbane, Qld 4072, Australia.</t>
  </si>
  <si>
    <t>j.wang16@uq.edu.au</t>
  </si>
  <si>
    <t>Liu-Lastres, Becky/AAN-6435-2020</t>
  </si>
  <si>
    <t>Liu-Lastres, Becky/0000-0002-7970-4865</t>
  </si>
  <si>
    <t>Humanities and Social Science Project of Education Ministry [14YJCZH128]</t>
  </si>
  <si>
    <t>Humanities and Social Science Project of Education Ministry</t>
  </si>
  <si>
    <t>This work was supported by the Humanities and Social Science Project of Education Ministry [14YJCZH128.</t>
  </si>
  <si>
    <t>1938-8160</t>
  </si>
  <si>
    <t>1938-8179</t>
  </si>
  <si>
    <t>J CHINA TOUR RES</t>
  </si>
  <si>
    <t>J. China Tour. Res.</t>
  </si>
  <si>
    <t>10.1080/19388160.2019.1575779</t>
  </si>
  <si>
    <t>IS6MJ</t>
  </si>
  <si>
    <t>WOS:000482265600004</t>
  </si>
  <si>
    <t>Ludwig, S; Van Laer, T; De Ruyter, K; Friedman, M</t>
  </si>
  <si>
    <t>Ludwig, Stephan; Van Laer, Tom; De Ruyter, Ko; Friedman, Mike</t>
  </si>
  <si>
    <t>Untangling a Web of Lies: Exploring Automated Detection of Deception in Computer-Mediated Communication</t>
  </si>
  <si>
    <t>JOURNAL OF MANAGEMENT INFORMATION SYSTEMS</t>
  </si>
  <si>
    <t>automated text analysis; channel partners; computer-mediated communication; deception detection; deception severity; linguistic cues; speech act theory</t>
  </si>
  <si>
    <t>INTERPERSONAL DECEPTION; PREDICTING DECEPTION; LANGUAGE; CLASSIFICATION; CREDIBILITY; TRUTHFUL; OPPORTUNISM; BEHAVIOR; REVIEWS; MODEL</t>
  </si>
  <si>
    <t>Safeguarding organizations against opportunism and severe deception in computer-mediated communication (CMC) presents a major challenge to chief information officers and information technology managers. New insights into linguistic cues of deception derive from the speech acts innate to CMC. Applying automated text analysis to archival e-mail exchanges in a CMC system as part of a reward program, we assess the ability of word use (micro level), message development (macro level), and intertextual exchange cues (meta level) to detect severe deception by business partners. We empirically assess the predictive ability of our framework using an ordinal multilevel regression model. Results indicate that deceivers minimize the use of referencing and self-deprecation but include more superfluous descriptions and flattery. Deceitful channel partners also over-structure their arguments and rapidly mimic the linguistic style of the account manager across dyadic e-mail exchanges. Thanks to its diagnostic value, the proposed framework can support firms' decision making and guide compliance monitoring system development.</t>
  </si>
  <si>
    <t>[Ludwig, Stephan] Surrey Business Sch, Dept Mkt &amp; Retail Management, Guildford, Surrey, England; [Van Laer, Tom; De Ruyter, Ko] Cass Business Sch, Mkt, London, England; [Friedman, Mike] Catholic Univ Louvain, Louvain Sch Management, Louvain La Neuve, Belgium</t>
  </si>
  <si>
    <t>City University London; Universite Catholique Louvain</t>
  </si>
  <si>
    <t>Ludwig, S (corresponding author), Surrey Business Sch, Dept Mkt &amp; Retail Management, Guildford, Surrey, England.</t>
  </si>
  <si>
    <t>s.ludwig@surrey.ac.uk; tvanlaer@city.ac.uk; Ko.de-Ruyter.1@city.ac.uk; mike.friedman@uclouvain-mons.be</t>
  </si>
  <si>
    <t>de Ruyter, Ko/AAA-9850-2021; van Laer, Tom/AAC-2500-2019</t>
  </si>
  <si>
    <t>0742-1222</t>
  </si>
  <si>
    <t>1557-928X</t>
  </si>
  <si>
    <t>J MANAGE INFORM SYST</t>
  </si>
  <si>
    <t>J. Manage. Inform. Syst.</t>
  </si>
  <si>
    <t>10.1080/07421222.2016.1205927</t>
  </si>
  <si>
    <t>Computer Science, Information Systems; Information Science &amp; Library Science; Management</t>
  </si>
  <si>
    <t>Computer Science; Information Science &amp; Library Science; Business &amp; Economics</t>
  </si>
  <si>
    <t>EB2WD</t>
  </si>
  <si>
    <t>hybrid, Green Accepted, Green Submitted</t>
  </si>
  <si>
    <t>WOS:000387222400008</t>
  </si>
  <si>
    <t>Schumann, ET; Schulz, KU</t>
  </si>
  <si>
    <t>Schumann, Eduardo Torres; Schulz, Klaus U.</t>
  </si>
  <si>
    <t>Stable methods for recognizing acronym-expansion pairs: from rule sets to hidden Markov models</t>
  </si>
  <si>
    <t>INTERNATIONAL JOURNAL ON DOCUMENT ANALYSIS AND RECOGNITION</t>
  </si>
  <si>
    <t>acronym recognition; biomedical texts; automated text analysis; terminological expressions; hidden Markov models</t>
  </si>
  <si>
    <t>KNOWLEDGE; DOMAIN; TEXT</t>
  </si>
  <si>
    <t>The replacement of textual units by synonymous canonical forms is an important prerequisite for many variants of automated text analysis. In scientific texts, one common normalization step is the consistent replacement of acronyms by their definitions. For many acronyms, the definition is found at a certain position of the text where the acronym is introduced and expanded to a synonymous sequence of full words. A recent approach to detecting acronym-expansion pairs by Park and Byrd [19] describes possible graphical correspondences between acronyms and expansions by means of fine-grained rules. Here we show how rule sets as used in [19] can be translated into hidden Markov models that abstract from details of the graphical correspondence and improve recall in a significant way. Stability in terms of precision is ensured by exploiting simple properties of the expansion with an optional reinforcement of linguistic knowledge. With this extension of the original formalism, the introduction of large rule sets can be avoided and a fixed model can be applied to a large variety of texts without retraining, with good values both for recall and precision.</t>
  </si>
  <si>
    <t>Univ Munich, CIS, D-80538 Munich, Germany</t>
  </si>
  <si>
    <t>University of Munich</t>
  </si>
  <si>
    <t>Schumann, ET (corresponding author), Univ Munich, CIS, Oettingenstr 67, D-80538 Munich, Germany.</t>
  </si>
  <si>
    <t>torres@cis.uni-muenchen.de; schulz@cis.uni-muenchen.de</t>
  </si>
  <si>
    <t>1433-2833</t>
  </si>
  <si>
    <t>1433-2825</t>
  </si>
  <si>
    <t>INT J DOC ANAL RECOG</t>
  </si>
  <si>
    <t>Int. J. Doc. Anal. Recognit.</t>
  </si>
  <si>
    <t>10.1007/s10032-005-0146-7</t>
  </si>
  <si>
    <t>Computer Science, Artificial Intelligence</t>
  </si>
  <si>
    <t>183QJ</t>
  </si>
  <si>
    <t>WOS:000247587000001</t>
  </si>
  <si>
    <t>Moller, AM; Kuhne, R; Baumgartner, SE; Peter, J</t>
  </si>
  <si>
    <t>Moller, A. Marthe; Kuhne, Rinaldo; Baumgartner, Susanne E.; Peter, Jochen</t>
  </si>
  <si>
    <t>Exploring User Responses to Entertainment and Political Videos: An Automated Content Analysis of YouTube</t>
  </si>
  <si>
    <t>social information; social influence; entertainment videos; political videos; automated content analysis; YouTube</t>
  </si>
  <si>
    <t>ONLINE; NEWS; INTERACTIVITY; PARTICIPATION; COMMUNICATION; PATTERNS; GENDER; NUMBER</t>
  </si>
  <si>
    <t>On YouTube, videos are always presented together with additional user-generated information about those videos. This social information is presented in the form of number of views, (dis)likes, or comments. However, we know little about the characteristics of social information about entertainment videos. To fill this gap, the present study examined the amount and valence of online entertainment videos' social information and compared this to the social information of online political videos. An automated content analysis of (dis)likes, views, and 39,602 comments presented alongside 463 videos showed that entertainment videos received more views and comments than political videos. Moreover, entertainment videos' comments were more neutral than political videos' comments. We also found that comments with a stronger positive or negative valence received more replies and likes, with the exceptions that the positive valence of political videos had no effect and that, for political videos, a stronger negative valence led to fewer likes. Finally, we found that as political videos received more comments, the positive valence of their comments became more consistent. Overall, these results show that the type of video influences the amount and valence of social information the video receives.</t>
  </si>
  <si>
    <t>[Moller, A. Marthe; Kuhne, Rinaldo; Baumgartner, Susanne E.; Peter, Jochen] Univ Amsterdam, Amsterdam Sch Commun Res, Nieuwe Achtergracht 166, NL-1018 WV Amsterdam, Netherlands</t>
  </si>
  <si>
    <t>Moller, AM (corresponding author), Univ Amsterdam, Amsterdam Sch Commun Res, Nieuwe Achtergracht 166, NL-1018 WV Amsterdam, Netherlands.</t>
  </si>
  <si>
    <t>a.m.moller@uva.nl; r.j.kuhne@uva.nl; s.e.baumgartner@uva.nl; j.peter@uva.nl</t>
  </si>
  <si>
    <t>Moller, Marthe/0000-0002-2106-1422</t>
  </si>
  <si>
    <t>1552-8286</t>
  </si>
  <si>
    <t>10.1177/0894439318779336</t>
  </si>
  <si>
    <t>II7CH</t>
  </si>
  <si>
    <t>Green Published, hybrid</t>
  </si>
  <si>
    <t>WOS:000475349400004</t>
  </si>
  <si>
    <t>The contextual nature of lobbying: Explaining lobbying success in the European Union</t>
  </si>
  <si>
    <t>European Union; influence and success; interest groups; lobbying; lobbying coalitions; quantitative text analysis; salience; Wordfish</t>
  </si>
  <si>
    <t>EU; POLICY; POWER</t>
  </si>
  <si>
    <t>Why are some interest groups able to lobby political decisions successfully whereas others are not? This article suggests that the issue context is an important source of variation because it can facilitate or hamper the ability of interest groups to lobby decision-makers successfully. In order to test the effect of issue characteristics, this article draws on a new, unprecedented data set of interest group lobbying in the European Union. Using quantitative text analysis to analyse Commission consultations, this article studies lobbying success across 2696 interest groups and 56 policy issues. The findings indicate that lobbying success indeed varies with the issue context, depending on the relative size of lobbying coalitions and the salience of policy issues, whereas individual group characteristics do not exhibit any systematic effect.</t>
  </si>
  <si>
    <t>Univ Oxford, Dept Polit &amp; Int Relat, Nuffield Coll, Oxford OX1 1NF, England</t>
  </si>
  <si>
    <t>Kluver, H (corresponding author), Univ Oxford, Dept Polit &amp; Int Relat, Nuffield Coll, New Rd, Oxford OX1 1NF, England.</t>
  </si>
  <si>
    <t>10.1177/1465116511413163</t>
  </si>
  <si>
    <t>864RC</t>
  </si>
  <si>
    <t>WOS:000298256600001</t>
  </si>
  <si>
    <t>Hirahara, S</t>
  </si>
  <si>
    <t>Hirahara, Suguru</t>
  </si>
  <si>
    <t>Evaluation of a Structure Providing Cultural Ecosystem Services in Forest Recreation: Quantitative Text Analysis of Essays by Participants</t>
  </si>
  <si>
    <t>FORESTS</t>
  </si>
  <si>
    <t>cultural ecosystem services; quantitative text analysis; text mining; KH Coder; natural resource management; semi-natural grassland; Fujiwara District; Minakami Town; Japan</t>
  </si>
  <si>
    <t>NATURAL-RESOURCES; FRAMEWORK; URBAN</t>
  </si>
  <si>
    <t>Cultural ecosystem services are nonmaterial benefits that individuals acquire from the ecosystem, such as recreation, aesthetic enjoyment, and tourism. The quantification of cultural services is considered difficult to accurately make compared to other forest ecosystem services. Although some studies evaluate cultural services from forest recreation, simple quantification  based on easy-to-obtain data is criticized for disregarding the local context and missing essential details. Therefore, this study evaluates a structure providing cultural services, and the local or detailed factors missed by simple quantification, while illustrating objective and statistical evidence with careful observations and a comprehension of local society. This study focuses on urban resident participation in natural resource management through recreational activities in Japanese mountain villages, using Fujiwara District, Minakami Town, Japan, as a case study, and by conducting a quantitative text analysis of 424 essays containing participants' experiences and impressions. Using the software KH Coder, the Jaccard index is used to calculate co-occurrence relationships between frequently used words, visualizing the results in a network diagram. Additionally, several codes are added to keywords that characterize this case, and correlations between each code are examined. From the analysis, we discovered that social factors, such as interaction with comrades and locals, considerably influence participants' positive emotions.</t>
  </si>
  <si>
    <t>[Hirahara, Suguru] Tokyo Univ Agr, Fac Bioind, 196 Yasaka, Abashiri, Hokkaido 0992493, Japan</t>
  </si>
  <si>
    <t>Tokyo University of Agriculture</t>
  </si>
  <si>
    <t>Hirahara, S (corresponding author), Tokyo Univ Agr, Fac Bioind, 196 Yasaka, Abashiri, Hokkaido 0992493, Japan.</t>
  </si>
  <si>
    <t>hirahara.sgr@gmail.com</t>
  </si>
  <si>
    <t>HIRAHARA, Suguru/AHE-0940-2022</t>
  </si>
  <si>
    <t>MDPI</t>
  </si>
  <si>
    <t>BASEL</t>
  </si>
  <si>
    <t>ST ALBAN-ANLAGE 66, CH-4052 BASEL, SWITZERLAND</t>
  </si>
  <si>
    <t>1999-4907</t>
  </si>
  <si>
    <t>Forests</t>
  </si>
  <si>
    <t>10.3390/f12111546</t>
  </si>
  <si>
    <t>XI6KI</t>
  </si>
  <si>
    <t>WOS:000726217500001</t>
  </si>
  <si>
    <t>Kluver, H; Mahoney, C</t>
  </si>
  <si>
    <t>Kluever, Heike; Mahoney, Christine</t>
  </si>
  <si>
    <t>Measuring interest group framing strategies in public policy debates</t>
  </si>
  <si>
    <t>JOURNAL OF PUBLIC POLICY</t>
  </si>
  <si>
    <t>European Union; framing; interest groups; quantitative text analysis</t>
  </si>
  <si>
    <t>EUROPEAN-UNION; ISSUES; TEXTS; POSITIONS; APPROVAL; POLITICS; ABORTION; MODEL</t>
  </si>
  <si>
    <t>Framing plays an important role in lobbying, as interest groups strategically highlight some aspects of policy proposals while ignoring others to shape policy debates in their favour. However, due to methodological difficulties, we have remarkably little systematic data about the framing strategies of interest groups. This article therefore proposes a new technique for measuring interest group framing that is based on a quantitative text analysis of interest group position papers and official policy documents. We test this novel methodological approach on the basis of two case studies in the areas of environmental and transport policy in the European Union. We are able to identify the frames employed by all interest groups mobilised in a debate and assess their effectiveness by studying to what extent decision-makers move closer to their policy positions over the course of the policy debate.</t>
  </si>
  <si>
    <t>[Kluever, Heike] Univ Bamberg, Dept Social Sci &amp; Econ, Bamberg, Germany; [Mahoney, Christine] Univ Virginia, Frank Batten Sch Leadership &amp; Publ Policy, Charlottesville, VA 22903 USA</t>
  </si>
  <si>
    <t>Otto Friedrich University Bamberg; University of Virginia</t>
  </si>
  <si>
    <t>Kluver, H (corresponding author), Univ Bamberg, Dept Social Sci &amp; Econ, Bamberg, Germany.</t>
  </si>
  <si>
    <t>heike.kluever@uni-bamberg.de; C.Mahoney@virginia.edu</t>
  </si>
  <si>
    <t>National Science Foundation [1102978]</t>
  </si>
  <si>
    <t>National Science Foundation(National Science Foundation (NSF))</t>
  </si>
  <si>
    <t>The authors thank Frank R. Baumgartner, Cheryl Schonhardt-Bailey, Peter John and the three anonymous reviewers for their valuable comments and suggestions. They thank Marc Opper for impeccable research assistance. The authors also thank the National Science Foundation for generous research funding (Grant number 1102978).</t>
  </si>
  <si>
    <t>0143-814X</t>
  </si>
  <si>
    <t>1469-7815</t>
  </si>
  <si>
    <t>J PUBLIC POLICY</t>
  </si>
  <si>
    <t>J. Public Policy</t>
  </si>
  <si>
    <t>10.1017/S0143814X14000294</t>
  </si>
  <si>
    <t>CL4LV</t>
  </si>
  <si>
    <t>WOS:000356925300003</t>
  </si>
  <si>
    <t>Ledolter, J</t>
  </si>
  <si>
    <t>Ledolter, Johannes</t>
  </si>
  <si>
    <t>Text as Data: Text Mining and Sentiment Analysis</t>
  </si>
  <si>
    <t>DATA MINING AND BUSINESS ANALYTICS WITH R</t>
  </si>
  <si>
    <t>Univ Iowa, Dept Management Sci, Tippie Coll Business, Iowa City, IA 52242 USA</t>
  </si>
  <si>
    <t>University of Iowa</t>
  </si>
  <si>
    <t>Ledolter, J (corresponding author), Univ Iowa, Dept Management Sci, Tippie Coll Business, Iowa City, IA 52242 USA.</t>
  </si>
  <si>
    <t>BLACKWELL SCIENCE PUBL</t>
  </si>
  <si>
    <t>OSNEY MEAD, OXFORD OX2 0EL, ENGLAND</t>
  </si>
  <si>
    <t>978-1-118-44714-7</t>
  </si>
  <si>
    <t>10.1002/9781118596289</t>
  </si>
  <si>
    <t>Computer Science, Theory &amp; Methods; Statistics &amp; Probability</t>
  </si>
  <si>
    <t>Computer Science; Mathematics</t>
  </si>
  <si>
    <t>BGZ26</t>
  </si>
  <si>
    <t>WOS:000324680200020</t>
  </si>
  <si>
    <t>Paquet, C; Cogan, CM; Davis, JL</t>
  </si>
  <si>
    <t>Paquet, Caitlin; Cogan, Chelsea M.; Davis, Joanne L.</t>
  </si>
  <si>
    <t>A Quantitative Text Analysis Approach to Describing Posttrauma Nightmares in a Treatment-Seeking Population</t>
  </si>
  <si>
    <t>DREAMING</t>
  </si>
  <si>
    <t>posttrauma nightmares; dream reports; Linguistic Inquiry and Word Count; quantitative text analysis</t>
  </si>
  <si>
    <t>TRAUMA; FREQUENCY; DREAMS; PSYCHOPATHOLOGY; VALIDATION</t>
  </si>
  <si>
    <t>The interpretation of dreams has been a topic of interest for many centuries, dating back to 350 BC (Aristoteles, 2001). Specific considerations of the meaning of nightmares have not been as richly developed as they have been for dreams. One way dream researchers have analyzed dreams is through examining the use of language in dream reports. However, this method is in its infant stages regarding its approach to understanding nightmares. Psychological constructs can be measured using a form of quantitative text analysis called Linguistic Inquiry and Word Count (Pennebaker, Boyd, Jordan, &amp; Blackburn, 2015). This study aims to contribute to the understanding of nightmare content, specifically how nightmare content differs from that of dreams in areas of emotion, social, and perceptual processing. Transcripts of posttrauma nightmare (PTNM) reports were collected from individuals participating in a cognitive-behavioral therapy for nightmares, the exposure, relaxation, and rescripting therapy (Davis, 2008). Language use within PTNMs was compared with established norms of language use in dreams (Bulkeley &amp; Graves, 2018). Results indicated that PTNMs differed from dreams significantly. PTNMs demonstrated increased use of negative emotion words, hearing and feeling words, and risk words. PTNMs showed decreased use of words related to friends and leisure, decreased analytical thinking, and clout. There were no differences in positive emotion words, family, death, visual and motion words. These results support the theory that PTNMs are different than dreams in important ways. The information gleaned from these PTNM reports may be used to inform treatment of trauma-related disorders.</t>
  </si>
  <si>
    <t>[Paquet, Caitlin; Cogan, Chelsea M.; Davis, Joanne L.] Univ Tulsa, Dept Psychol, 800 South Tucker Dr, Tulsa, OK 74104 USA</t>
  </si>
  <si>
    <t>University of Tulsa</t>
  </si>
  <si>
    <t>Paquet, C (corresponding author), Univ Tulsa, Dept Psychol, 800 South Tucker Dr, Tulsa, OK 74104 USA.</t>
  </si>
  <si>
    <t>cbp6442@utulsa.edu</t>
  </si>
  <si>
    <t>Office of Research and Sponsored Programs, University of Tulsa; Oklahoma Center for the Advancement of Science and Technology, Oklahoma</t>
  </si>
  <si>
    <t>This study was funded by the Office of Research and Sponsored Programs, University of Tulsa, and Oklahoma Center for the Advancement of Science and Technology, Oklahoma.</t>
  </si>
  <si>
    <t>EDUCATIONAL PUBLISHING FOUNDATION-AMERICAN PSYCHOLOGICAL ASSOC</t>
  </si>
  <si>
    <t>750 FIRST ST, NE, WASHINGTON, DC 20002-4242 USA</t>
  </si>
  <si>
    <t>1053-0797</t>
  </si>
  <si>
    <t>1573-3351</t>
  </si>
  <si>
    <t>Dreaming</t>
  </si>
  <si>
    <t>10.1037/drm0000128</t>
  </si>
  <si>
    <t>PS3EU</t>
  </si>
  <si>
    <t>WOS:000607809700005</t>
  </si>
  <si>
    <t>McGetrick, JA; Bubela, T; Hik, DS</t>
  </si>
  <si>
    <t>McGetrick, Jennifer Ann; Bubela, Tania; Hik, David S.</t>
  </si>
  <si>
    <t>Automated content analysis as a tool for research and practice: a case illustration from the Prairie Creek and Nico environmental assessments in the Northwest Territories, Canada</t>
  </si>
  <si>
    <t>IMPACT ASSESSMENT AND PROJECT APPRAISAL</t>
  </si>
  <si>
    <t>Automated content analysis; circumpolar region; environmental assessment; natural resource development; public hearings; public participation</t>
  </si>
  <si>
    <t>NATURAL-RESOURCE MANAGEMENT; INVERSE DOCUMENT FREQUENCY; IMPACT ASSESSMENT; POLITICAL TEXTS; DECISION-MAKING; PARTICIPATION; COMANAGEMENT; COMMUNITIES; KNOWLEDGE</t>
  </si>
  <si>
    <t>Public engagement is essential to the procedural and substantive sustainability of environmental assessment. Public hearings present the lowest barrier to entry for public participation, but these forums face competing political pressures for conducting appropriate public engagement within an expeditious process. Repositories of public hearing testimony provide a source of primary data for examining these public engagement issues during environmental assessments. However, the time and resources required may be prohibitive for conducting the kind of in-depth qualitative analyses that are commonly used. Automated content analysis (ACA) techniques can provide a rapid, replicable, inductive, and systematic way to examine public hearing transcripts, consisting of the critical development and application of computer programming scripts that synthesize evidence from extensive document sets. This case illustration demonstrates the potential utility of ACA, based on the examination of two public hearings, Prairie Creek (EA0809-002; 2008-2011) and Nico (EA0809-004; 2009-2013) conducted in the Mackenzie Valley, Northwest Territories, Canada. Our interpretation of the findings provides an evaluation of ACA methods and situates its potential to inform environmental assessment research and practice across jurisdictions.</t>
  </si>
  <si>
    <t>[McGetrick, Jennifer Ann; Bubela, Tania] Univ Alberta, Sch Publ Hlth, Edmonton, AB, Canada; [Hik, David S.] Univ Alberta, Dept Biol Sci, Edmonton, AB, Canada</t>
  </si>
  <si>
    <t>University of Alberta; University of Alberta</t>
  </si>
  <si>
    <t>McGetrick, JA (corresponding author), Univ Alberta, Sch Publ Hlth, Edmonton, AB, Canada.</t>
  </si>
  <si>
    <t>mcgetric@ualberta.ca</t>
  </si>
  <si>
    <t>Hik, David S/B-3462-2009; Bubela, Tania/F-4860-2014</t>
  </si>
  <si>
    <t>Hik, David S/0000-0002-8994-9305; Bubela, Tania/0000-0002-0807-2899</t>
  </si>
  <si>
    <t>Networks of Centres of Excellence of Canada; Polar Knowledge Canada Northern Scientific Training Program [360150]; Canadian Circumpolar Institute Circumpolar/Boreal Alberta Research Program [N011000001]</t>
  </si>
  <si>
    <t>Networks of Centres of Excellence of Canada; Polar Knowledge Canada Northern Scientific Training Program; Canadian Circumpolar Institute Circumpolar/Boreal Alberta Research Program</t>
  </si>
  <si>
    <t>This work was supported by the Networks of Centres of Excellence of Canada [ArcticNet 'Integrating and Translating ArcticNet Science for Sustainable Communities and National and Global Policy and Decision-Making']; the Polar Knowledge Canada Northern Scientific Training Program [grant number 360150]; and the Canadian Circumpolar Institute Circumpolar/Boreal Alberta Research Program [grant number N011000001].</t>
  </si>
  <si>
    <t>1461-5517</t>
  </si>
  <si>
    <t>1471-5465</t>
  </si>
  <si>
    <t>IMPACT ASSESS PROJ A</t>
  </si>
  <si>
    <t>Impact Assess. Proj. Apprais.</t>
  </si>
  <si>
    <t>10.1080/14615517.2016.1239496</t>
  </si>
  <si>
    <t>Environmental Studies</t>
  </si>
  <si>
    <t>ES4HV</t>
  </si>
  <si>
    <t>WOS:000399494800004</t>
  </si>
  <si>
    <t>Torge, S; Hahn, W; Jakel, R</t>
  </si>
  <si>
    <t>Elmohajir, M; AlAchhab, M; Elmohajir, BE; Ane, BK; Jellouli, I</t>
  </si>
  <si>
    <t>Torge, Sunna; Hahn, Waldemar; Jaekel, Rene</t>
  </si>
  <si>
    <t>Transfer Learning for Domain-Specific Named Entity Recognition in German</t>
  </si>
  <si>
    <t>2020 6TH IEEE CONGRESS ON INFORMATION SCIENCE AND TECHNOLOGY (IEEE CIST'20)</t>
  </si>
  <si>
    <t>Colloquium in Information Science and Technology</t>
  </si>
  <si>
    <t>6th IEEE International Congress on Information Science and Technology (IEEE CiSt)</t>
  </si>
  <si>
    <t>JUN 05-12, 2021</t>
  </si>
  <si>
    <t>Innov.org, Agadir, MOROCCO</t>
  </si>
  <si>
    <t>IEEE,IEEE Morocco Sect,IEEE Morocco Comp Commun Joint Chapter,IEEE African Council,IEEE Reg 8</t>
  </si>
  <si>
    <t>Innov.org</t>
  </si>
  <si>
    <t>Transfer Learning; Named Entity Recognition; German; domain-specific; BiLSTM-CRF</t>
  </si>
  <si>
    <t>Automated text analysis as named entity recognition (NER) heavily relies on large amounts of high-quality training data. Transfer learning approaches aim to overcome the problem of lacking domain-specific training data. In this paper, we investigate different transfer learning approaches to recognize unknown domain-specific entities, including the influence on varying training data size. The experiments are based on the revised German SmartData Corpus, and a baseline model, trained on this corpus.</t>
  </si>
  <si>
    <t>[Torge, Sunna; Hahn, Waldemar; Jaekel, Rene] Tech Univ Dresden, Ctr Informat Serv &amp; High Performance Comp ZIH, D-01062 Dresden, Germany</t>
  </si>
  <si>
    <t>Torge, S (corresponding author), Tech Univ Dresden, Ctr Informat Serv &amp; High Performance Comp ZIH, D-01062 Dresden, Germany.</t>
  </si>
  <si>
    <t>sunna.torge@tu-dresden.de; waldemar.hahn@tu-dresden.de; rene.jaekel@tu-dresden.de</t>
  </si>
  <si>
    <t>German Federal Ministry of Education and Research (BMBF) [01IS14014A-D]; GWK</t>
  </si>
  <si>
    <t>German Federal Ministry of Education and Research (BMBF)(Federal Ministry of Education &amp; Research (BMBF)); GWK</t>
  </si>
  <si>
    <t>This work was supported by the German Federal Ministry of Education and Research (BMBF, 01IS14014A-D) by funding the competence center for Big Data ScaDS Dresden/Leipzig. The authors gratefully acknowledge the GWK support for funding this project by providing computing time through the Center for Information Services and HPC (ZIH) at TU Dresden on the HRSK-II.</t>
  </si>
  <si>
    <t>2327-185X</t>
  </si>
  <si>
    <t>978-1-7281-6646-9</t>
  </si>
  <si>
    <t>COLLOQ INF SCI TECH</t>
  </si>
  <si>
    <t>10.1109/CIST49399.2021.9357262</t>
  </si>
  <si>
    <t>Computer Science, Artificial Intelligence; Computer Science, Information Systems; Information Science &amp; Library Science</t>
  </si>
  <si>
    <t>BR5TS</t>
  </si>
  <si>
    <t>WOS:000657322100055</t>
  </si>
  <si>
    <t>Alkier, R; Milojica, V; Roblek, V</t>
  </si>
  <si>
    <t>Simic, ML; Crnkovic, B</t>
  </si>
  <si>
    <t>Alkier, Romina; Milojica, Vedran; Roblek, Vasja</t>
  </si>
  <si>
    <t>THE IMPACT OF COVID-19 CRISIS ON TOURISM AND STRATEGY FOR ITS RECOVERY</t>
  </si>
  <si>
    <t>10TH INTERNATIONAL SCIENTIFIC SYMPOSIUM REGION ENTREPRENEURSHIP DEVELOPMENT (RED 2021)</t>
  </si>
  <si>
    <t>Medunarodni Znanstveni Simpozij Gospodarstvo Istocne Hrvatske-Jucer Danas Sutra</t>
  </si>
  <si>
    <t>10th International Scientific Symposium on Region, Entrepreneurship, Development (RED)</t>
  </si>
  <si>
    <t>JUN, 2021</t>
  </si>
  <si>
    <t>Osijek, CROATIA</t>
  </si>
  <si>
    <t>J J Strossmayer Univ Osijek</t>
  </si>
  <si>
    <t>Covid 19; Tourism; Economic recovery; Development strategies; Automated content analysis</t>
  </si>
  <si>
    <t>LEXIMANCER</t>
  </si>
  <si>
    <t>The pandemic COVID 19 has actually brought tourist flows to a standstill in 2020 and caused a loss of 460 billion dollars worldwide. More than 75 million people are projected to lose their jobs globally, and according to the UNWTO, the cycle of recovering tourism to pre-crown levels is expected to take about five years. Tourism will certainly no longer be the same as we were before COVID-19. The tourism industry's fundamental question is - what will tourism be like after the pandemic, and how to adapt to it? Using a Comparative Automated Content Analysis (ACA) approach, the article compares recent scientific work and determines the pandemic's socio-economic consequences in tourism countries and the planned strategies for tourism recovery in the coming years.</t>
  </si>
  <si>
    <t>[Alkier, Romina; Milojica, Vedran] Fac Tourism &amp; Hospitality Management Opatija, Ika, Croatia; [Roblek, Vasja] Fac Org Studies Novo Mesto, Novo Mesto, Slovenia</t>
  </si>
  <si>
    <t>University of Rijeka</t>
  </si>
  <si>
    <t>Alkier, R (corresponding author), Fac Tourism &amp; Hospitality Management Opatija, Ika, Croatia.</t>
  </si>
  <si>
    <t>rominaa@fthm.hr; vedran.milojica@gmail.com; vasja.roblek@gmx.com</t>
  </si>
  <si>
    <t>JOSIP JURAJ STROSSMAYER UNIV OSIJEK</t>
  </si>
  <si>
    <t>OSIJEK</t>
  </si>
  <si>
    <t>UNIV APPLIED SCIENCES, FAC ECONOMIC OSIJEK, HOCHSCHULE PFORZHEIM, TRG SV, TROJSTVA 3, OSIJEK, 31000, CROATIA</t>
  </si>
  <si>
    <t>1848-9559</t>
  </si>
  <si>
    <t>MEDUNAR ZNAN SIMP GO</t>
  </si>
  <si>
    <t>Business; Economics</t>
  </si>
  <si>
    <t>BS5FB</t>
  </si>
  <si>
    <t>WOS:000728594100040</t>
  </si>
  <si>
    <t>Settanni, M; Marengo, D</t>
  </si>
  <si>
    <t>Settanni, Michele; Marengo, Davide</t>
  </si>
  <si>
    <t>Sharing feelings online: studying emotional well-being via automated text analysis of Facebook posts</t>
  </si>
  <si>
    <t>emotional well-being; psychological measurement; psychological assessment; social networking sites; cyberpsychology; psychoinformatics</t>
  </si>
  <si>
    <t>COMPUTERIZED CONTENT-ANALYSIS; SOCIAL NETWORKING; COLLEGE-STUDENTS; SUBCLINICAL DEPRESSION; LAY ASSESSMENT; ANXIETY; NARCISSISM; STRESS; MEDIA; DISCLOSURES</t>
  </si>
  <si>
    <t>Digital traces of activity on social network sites represent a vast source of ecological data with potential connections with individual behavioral and psychological characteristics. The present study investigates the relationship between user-generated textual content shared on Facebook and emotional well-being. Self-report measures of depression, anxiety, and stress were collected from 201 adult Facebook users from North Italy. Emotion-related textual indicators, including emoticon use, were extracted form users' Facebook posts via automated text analysis. Correlation analyses revealed that individuals with higher levels of depression, anxiety expressed negative emotions on Facebook more frequently. In addition, use of emoticons expressing positive emotions correlated negatively with stress level. When comparing age groups, younger users reported higher frequency of both emotion-related words and emoticon use in their posts. Also, the relationship between online emotional expression and self-report emotional well-being was generally stronger in the younger group. Overall, findings support the feasibility and validity of studying individual emotional well-being by means of examination of Facebook profiles. Implications for online screening purposes and future research directions are discussed.</t>
  </si>
  <si>
    <t>[Settanni, Michele] Univ Turin, Dept Psychol, I-10124 Turin, Italy; [Marengo, Davide] Univ Aosta Valley, Dept Social Sci &amp; Humanities, Aosta, Italy</t>
  </si>
  <si>
    <t>University of Turin; Universita Della Valle D'aosta</t>
  </si>
  <si>
    <t>Settanni, M (corresponding author), Univ Turin, Dept Psychol, Via Verdi 10, I-10124 Turin, Italy.</t>
  </si>
  <si>
    <t>michele.settanni@unito.it</t>
  </si>
  <si>
    <t>Marengo, Davide/AAE-5400-2021</t>
  </si>
  <si>
    <t>Marengo, Davide/0000-0002-7107-0810; Settanni, Michele/0000-0001-9115-4555</t>
  </si>
  <si>
    <t>JUL 23</t>
  </si>
  <si>
    <t>10.3389/fpsyg.2015.01045</t>
  </si>
  <si>
    <t>CO0YB</t>
  </si>
  <si>
    <t>WOS:000358878800001</t>
  </si>
  <si>
    <t>Gunther, E; Scharkow, M</t>
  </si>
  <si>
    <t>Guenther, Elisabeth; Scharkow, Michael</t>
  </si>
  <si>
    <t>RECYCLED MEDIA An automated evaluation of news outlets in the twenty-first century</t>
  </si>
  <si>
    <t>automated content analysis; global communication; online journalism; online sophistication; path dependence</t>
  </si>
  <si>
    <t>Whilst new forms of presentation and user participation make a way new journalism possible, researchers around the world critically claim that news websites do not live up to their potential. To offer an explanation for the slow adaption of hyperlinks, multimedia, and interactive options, we examine if there is a path dependence between news websites' online sophistication and their structural background. Based on a large-scale automated content analysis, we analyzed 65,000 news articles from nine countries. The results reveal that institutional factors (media system, nation, media type) are more relevant for predicting websites' online sophistication than content-related factors. This suggests that, apart from a few remarkable exceptions, there is a path dependence on a news website's media background.</t>
  </si>
  <si>
    <t>[Guenther, Elisabeth] Univ Munster, Dept Commun, Munster, Germany; [Scharkow, Michael] Univ Hohenheim, Dept Commun, Stuttgart, Germany</t>
  </si>
  <si>
    <t>University of Munster; University Hohenheim</t>
  </si>
  <si>
    <t>elisabeth.guenther@uni-muenster.de; michael.scharkow@uni-hohenheim.de</t>
  </si>
  <si>
    <t>10.1080/21670811.2013.850207</t>
  </si>
  <si>
    <t>V18TD</t>
  </si>
  <si>
    <t>WOS:000214772800005</t>
  </si>
  <si>
    <t>Kiatkawsin, K; Sutherland, I; Kim, JY</t>
  </si>
  <si>
    <t>Kiatkawsin, Kiattipoom; Sutherland, Ian; Kim, Jin-Young</t>
  </si>
  <si>
    <t>A Comparative Automated Text Analysis of Airbnb Reviews in Hong Kong and Singapore Using Latent Dirichlet Allocation</t>
  </si>
  <si>
    <t>SUSTAINABILITY</t>
  </si>
  <si>
    <t>automated text analysis; latent Dirichlet allocation (LDA); Airbnb; online reviews; Hong Kong; Singapore</t>
  </si>
  <si>
    <t>TOURIST SATISFACTION; EXPERIENCE; LOYALTY; HOTELS; ACCOMMODATION; SUPERHOST</t>
  </si>
  <si>
    <t>Airbnb has emerged as a platform where unique accommodation options can be found. Due to the uniqueness of each accommodation unit and host combination, each listing offers a one-of-a-kind experience. As consumers increasingly rely on text reviews of other customers, managers are also increasingly gaining insight from customer reviews. Thus, this present study aimed to extract those insights from reviews using latent Dirichlet allocation, an unsupervised type of topic modeling that extracts latent discussion topics from text data. Findings of Hong Kong's 185,695 and Singapore's 93,571 Airbnb reviews, two long-term rival destinations, were compared. Hong Kong produced 12 total topics that can be categorized into four distinct groups whereas Singapore's optimal number of topics was only five. Topics produced from both destinations covered the same range of attributes, but Hong Kong's 12 topics provide a greater degree of precision to formulate managerial recommendations. While many topics are similar to established hotel attributes, topics related to the host and listing management are unique to the Airbnb experience. The findings also revealed keywords used when evaluating the experience that provide more insight beyond typical numeric ratings.</t>
  </si>
  <si>
    <t>[Kiatkawsin, Kiattipoom; Sutherland, Ian] Sejong Univ, Dept Hospitality &amp; Tourism Management, Tourism Ind Data Analyt Lab TIDAL, Seoul 05006, South Korea; [Kim, Jin-Young] Dong Seoul Univ, Dept Hotel &amp; Tourism Management, Gyeonggi Do 13117, South Korea</t>
  </si>
  <si>
    <t>Sejong University</t>
  </si>
  <si>
    <t>Kim, JY (corresponding author), Dong Seoul Univ, Dept Hotel &amp; Tourism Management, Gyeonggi Do 13117, South Korea.</t>
  </si>
  <si>
    <t>kiatkawsin@gmail.com; ianosutherland@gmail.com; fiu9882@naver.com</t>
  </si>
  <si>
    <t>Kiatkawsin, Kiattipoom/L-1296-2016; Sutherland, Ian/AAU-7274-2020; Almeida-García, Fernando/AAE-4659-2019</t>
  </si>
  <si>
    <t>Kiatkawsin, Kiattipoom/0000-0001-9536-3231; Sutherland, Ian/0000-0002-0481-5827; Almeida-García, Fernando/0000-0001-6560-8752</t>
  </si>
  <si>
    <t>2071-1050</t>
  </si>
  <si>
    <t>SUSTAINABILITY-BASEL</t>
  </si>
  <si>
    <t>Sustainability</t>
  </si>
  <si>
    <t>10.3390/su12166673</t>
  </si>
  <si>
    <t>Green &amp; Sustainable Science &amp; Technology; Environmental Sciences; Environmental Studies</t>
  </si>
  <si>
    <t>Science &amp; Technology - Other Topics; Environmental Sciences &amp; Ecology</t>
  </si>
  <si>
    <t>OC0YU</t>
  </si>
  <si>
    <t>WOS:000578890600001</t>
  </si>
  <si>
    <t>Eisele, O; Tolochko, P; Boomgaarden, HG</t>
  </si>
  <si>
    <t>Eisele, Olga; Tolochko, Petro; Boomgaarden, Hajo G.</t>
  </si>
  <si>
    <t>How do executives communicate about crises? A framework for comparative analysis</t>
  </si>
  <si>
    <t>EUROPEAN JOURNAL OF POLITICAL RESEARCH</t>
  </si>
  <si>
    <t>automated content analysis; crisis communication; European Union; legitimation</t>
  </si>
  <si>
    <t>EUROPEAN-UNION; MEDIA; EU; POLITICIZATION; COMPLEXITY; MODEL</t>
  </si>
  <si>
    <t>A plethora of accumulating crises, and the public frustration with how they were tackled, have provided fertile ground for growing public scepticism towards the European Union (EU). The way in which political leaders manage these crises may well decide the future of the EU. Research has addressed these developments comprehensively. However, it has not, to date, provided an adequate analytical lens to confront the crisis theme explicitly and therefore needs analytical advancement. We contribute to the debate by developing a framework for comparative analysis and evaluation of public political crisis communication, identifying four aspects along which public political crisis communication can be analysed: (1) how accessible it is, (2) how well it can contribute to allaying fears, (3) to what extent it accommodates public concerns, and (4) how politically aligned crisis managers are in their communication. We analyse a dataset of 10 years of speeches and press releases of the governments of Austria, Germany, Ireland and the United Kingdom in addition to the EU's executive institutions (EU Commission and Councils). Drawing on different approaches to automated text analysis, we score texts on the four identified dimensions and draw dimensions together in a holistic similarity index. Results demonstrate the cohesion of crisis-relevant communication in contrast to non-relevant communication. They also show that accommodation, is consistently emphasised more in crisis than in non-crisis communication; however, political crisis managers have practiced a politics of fear rather than allaying concerns, potentially fuelling political frustration and disenchantment. In addition, the EU's crisis communication is not found to be different from communication about non-crisis topics, opening up avenues for future research concerned with legitimation processes at different political levels. Overall, the results do partly resonate with the insights provided by the existing literature but also shine a new, holistic light on how political executives have managed crises in the past decade.</t>
  </si>
  <si>
    <t>[Eisele, Olga; Tolochko, Petro; Boomgaarden, Hajo G.] Univ Vienna, Dept Commun, Kolingasse 14-16, AT-1090 Vienna, Austria</t>
  </si>
  <si>
    <t>University of Vienna</t>
  </si>
  <si>
    <t>Eisele, O (corresponding author), Univ Vienna, Dept Commun, Kolingasse 14-16, AT-1090 Vienna, Austria.</t>
  </si>
  <si>
    <t>Olga.eisele@univie.ac.at</t>
  </si>
  <si>
    <t>Eisele, Olga/0000-0002-6604-3498; Boomgaarden, Hajo G./0000-0002-5260-1284</t>
  </si>
  <si>
    <t>Austrian Science Fund (Hertha-Firnberg Program) [T 989-G27]</t>
  </si>
  <si>
    <t>Austrian Science Fund (Hertha-Firnberg Program)</t>
  </si>
  <si>
    <t>The authors would like to thank Loes Aaldering, Verena K. Brandle, Hyunjin Song and Veronika Wenninger for their support and feedback on earlier versions of this article. In addition, we would also like to thank Isabelle Engeli and the three anonymous reviewers of the European Journal for Political Research for their constructive comments. We furthermore acknowledge the funding by the Austrian Science Fund (Hertha-Firnberg Program, Grant No. T 989-G27) for Olga Eisele.</t>
  </si>
  <si>
    <t>0304-4130</t>
  </si>
  <si>
    <t>1475-6765</t>
  </si>
  <si>
    <t>EUR J POLIT RES</t>
  </si>
  <si>
    <t>Eur. J. Polit. Res.</t>
  </si>
  <si>
    <t>10.1111/1475-6765.12504</t>
  </si>
  <si>
    <t>5E6JQ</t>
  </si>
  <si>
    <t>WOS:000734961900001</t>
  </si>
  <si>
    <t>Senninger, R; Blom-Hansen, J</t>
  </si>
  <si>
    <t>Senninger, Roman; Blom-Hansen, Jens</t>
  </si>
  <si>
    <t>Meet the critics: Analyzing the EU Commission's Regulatory Scrutiny Board through quantitative text analysis</t>
  </si>
  <si>
    <t>REGULATION &amp; GOVERNANCE</t>
  </si>
  <si>
    <t>European Commission; European Union; impact assessment; policy preparation; regulatory scrutiny</t>
  </si>
  <si>
    <t>IMPACT ASSESSMENT; EUROPEAN-COMMISSION; UNION; US</t>
  </si>
  <si>
    <t>As part of the better regulation agenda, the European Commission created a semi-independent institution, the Regulatory Scrutiny Board, to monitor the preparation of policy proposals. The position of this Board is potentially wide-ranging. A proposal that is not given the green light by it cannot proceed in the Commission's internal decisionmaking process. But so far, the Board has only received scant scholarly attention. We provide a comprehensive analysis of the impact of the Regulatory Scrutiny Board on the Commission's policy preparation. Using machine learning techniques and quantitative text analysis, we study 673 Board opinions and compare almost 100 draft and final policy proposals. Our findings show that the Board is an active watchdog that is taken seriously by the Commission's departments. A full understanding of policy preparation in the EU therefore requires more scholarly attention to the Regulatory Scrutiny Board.</t>
  </si>
  <si>
    <t>[Senninger, Roman; Blom-Hansen, Jens] Aarhus Univ, Dept Polit Sci, Bartholins Alle 7, DK-8000 Aarhus C, Denmark</t>
  </si>
  <si>
    <t>Aarhus University</t>
  </si>
  <si>
    <t>Senninger, R (corresponding author), Aarhus Univ, Dept Polit Sci, Bartholins Alle 7, DK-8000 Aarhus C, Denmark.</t>
  </si>
  <si>
    <t>rsenninger@ps.au.dk</t>
  </si>
  <si>
    <t>Senninger, Roman/0000-0003-2254-145X</t>
  </si>
  <si>
    <t>Independent Research Fund Denmark [6109-00018B]</t>
  </si>
  <si>
    <t>Independent Research Fund Denmark</t>
  </si>
  <si>
    <t>Support for this research was provided by the Independent Research Fund Denmark (grant 6109-00018B).</t>
  </si>
  <si>
    <t>1748-5983</t>
  </si>
  <si>
    <t>1748-5991</t>
  </si>
  <si>
    <t>REGUL GOV</t>
  </si>
  <si>
    <t>Regul. Gov.</t>
  </si>
  <si>
    <t>10.1111/rego.12312</t>
  </si>
  <si>
    <t>APR 2020</t>
  </si>
  <si>
    <t>Law; Political Science; Public Administration</t>
  </si>
  <si>
    <t>WS3US</t>
  </si>
  <si>
    <t>WOS:000528779600001</t>
  </si>
  <si>
    <t>Wiedemann, G</t>
  </si>
  <si>
    <t>Wiedemann, Gregor</t>
  </si>
  <si>
    <t>Opening up to Big Data: Computer-Assisted Analysis of Textual Data in Social Sciences</t>
  </si>
  <si>
    <t>HISTORICAL SOCIAL RESEARCH-HISTORISCHE SOZIALFORSCHUNG</t>
  </si>
  <si>
    <t>English; German</t>
  </si>
  <si>
    <t>Qualitative data analysis; quantitative text analysis; text mining; computer-assisted text analysis; CAQDAS; mixed methods; corpus linguistics; lexicometrics; digital humanities; eHumanities; discourse analysis</t>
  </si>
  <si>
    <t>DISCOURSE ANALYSIS</t>
  </si>
  <si>
    <t>Computergestiitzte Analyse qualitativer Daten: Wie sich die qualitative Sozialforschung fur Massentextanalysen offnet. Two developments in computational text analysis may change the way qualitative data analysis in social sciences is performed: 1. the availability of digital text worth to investigate is growing rapidly, and 2. the improvement of algorithmic information extraction approaches, also called text mining, allows for further bridging the gap between qualitative and quantitative text analysis. The key factor hereby is the inclusion of context into computational linguistic models which extends conventional computational content analysis towards the extraction of meaning. To clarify methodological differences of various computer-assisted text analysis approaches the article suggests a typology from the perspective of a qualitative researcher. This typology shows compatibilities between manual qualitative data analysis methods and computational, rather quantitative approaches for large scale mixed method text analysis designs.</t>
  </si>
  <si>
    <t>Univ Leipzig, Dept Comp Sci, NLP Grp, D-04109 Leipzig, Germany</t>
  </si>
  <si>
    <t>Leipzig University</t>
  </si>
  <si>
    <t>Wiedemann, G (corresponding author), Univ Leipzig, Dept Comp Sci, NLP Grp, Augustuspl 10, D-04109 Leipzig, Germany.</t>
  </si>
  <si>
    <t>gregor.wiedemann@uni-leipzig.de</t>
  </si>
  <si>
    <t>GESIS LEIBNIZ INST SOCIAL SCIENCES</t>
  </si>
  <si>
    <t>COLOGNE</t>
  </si>
  <si>
    <t>UNTER SACHSENHAUSEN 6-8, COLOGNE, D-50667, GERMANY</t>
  </si>
  <si>
    <t>0172-6404</t>
  </si>
  <si>
    <t>HIST SOC RES</t>
  </si>
  <si>
    <t>Hist. Soc. Res.</t>
  </si>
  <si>
    <t>History; History Of Social Sciences; Industrial Relations &amp; Labor; Social Sciences, Interdisciplinary</t>
  </si>
  <si>
    <t>History; Social Sciences - Other Topics; Business &amp; Economics</t>
  </si>
  <si>
    <t>286NG</t>
  </si>
  <si>
    <t>WOS:000329475400006</t>
  </si>
  <si>
    <t>Bayerlein, L; Kaplaner, C; Knill, C; Steinebach, Y</t>
  </si>
  <si>
    <t>Bayerlein, Louisa; Kaplaner, Constantin; Knill, Christoph; Steinebach, Yves</t>
  </si>
  <si>
    <t>Singing Together or Apart? Comparing Policy Agenda Dynamics within International Organizations</t>
  </si>
  <si>
    <t>JOURNAL OF COMPARATIVE POLICY ANALYSIS</t>
  </si>
  <si>
    <t>international organizations; international public administrations; agenda congruence; quantitative text analysis; principal agent</t>
  </si>
  <si>
    <t>BUREAUCRATIC AUTONOMY</t>
  </si>
  <si>
    <t>Are there substantial differences between the issues an IO's decision-making body agrees upon and the issues the organization's administrative body is dealing with in practice? Or are member states and the administration singing (to) the same tune? To tackle these questions, this article explores agenda congruence in three single-purpose organizations using methods of quantitative text analysis. The explorative empirical analysis shows that both change dynamics and agenda congruence exhibit substantial variation across the organizations. The findings suggest that agenda congruence decreases with the degree of authority delegated to the administration and the extent to which the administration tries to identify relevant policy issues from within the administration. Given that the results are well in line with what dominant theoretical accounts would predict, both concept and measurement are considered promising additions to the study of IOs and international public administrations.</t>
  </si>
  <si>
    <t>[Bayerlein, Louisa] Ludwig Maximilians Univ Munchen, Geschwister Scholl Inst Polit Sci, Oettingenstr 67, D-80538 Munich, Germany; [Kaplaner, Constantin; Knill, Christoph; Steinebach, Yves] European Univ Inst, Dept Polit &amp; Social Sci, Fiesole, Italy</t>
  </si>
  <si>
    <t>University of Munich; European University Institute</t>
  </si>
  <si>
    <t>Steinebach, Y (corresponding author), Ludwig Maximilians Univ Munchen, Geschwister Scholl Inst Polit Sci, Oettingenstr 67, D-80538 Munich, Germany.</t>
  </si>
  <si>
    <t>yves.steinebach@gsi.uni-muenchen.de</t>
  </si>
  <si>
    <t>Kaplaner, Constantin/AAH-4284-2021</t>
  </si>
  <si>
    <t>Kaplaner, Constantin/0000-0001-8830-6394; Bayerlein, Louisa/0000-0003-0133-6326</t>
  </si>
  <si>
    <t>Deutsche Forschungsgemeinschaft (DFG) [198360606]</t>
  </si>
  <si>
    <t>Deutsche Forschungsgemeinschaft (DFG)(German Research Foundation (DFG))</t>
  </si>
  <si>
    <t>This work was supported by the Deutsche Forschungsgemeinschaft (DFG) [198360606].</t>
  </si>
  <si>
    <t>1387-6988</t>
  </si>
  <si>
    <t>1572-5448</t>
  </si>
  <si>
    <t>J COMP POLICY ANAL</t>
  </si>
  <si>
    <t>J. Comp. Policy Anal.</t>
  </si>
  <si>
    <t>10.1080/13876988.2020.1813031</t>
  </si>
  <si>
    <t>SEP 2020</t>
  </si>
  <si>
    <t>Public Administration</t>
  </si>
  <si>
    <t>1L3FE</t>
  </si>
  <si>
    <t>WOS:000567584400001</t>
  </si>
  <si>
    <t>Elshandidy, T; Shrives, PJ; Bamber, M; Abraham, S</t>
  </si>
  <si>
    <t>Elshandidy, Tamer; Shrives, Philip J.; Bamber, Matt; Abraham, Santhosh</t>
  </si>
  <si>
    <t>Risk reporting: A review of the literature and implications for future research</t>
  </si>
  <si>
    <t>JOURNAL OF ACCOUNTING LITERATURE</t>
  </si>
  <si>
    <t>Risk-reporting incentives and informativeness; Mandatory and voluntary risk reporting; Manual and automated content analysis</t>
  </si>
  <si>
    <t>CORPORATE GOVERNANCE; MANAGEMENT DISCLOSURES; INFORMATION-CONTENT; TEXTUAL ANALYSIS; INCENTIVES; VOLUNTARY; COMPANIES; TIMELINESS; ANALYSTS; BENEFITS</t>
  </si>
  <si>
    <t>This paper provides a wide-ranging and up-to-date (1997-2016) review of the archival empirical risk-reporting literature. The reviewed papers are classified into two principal themes: the incentives for and/or informativeness of risk reporting. Our review demonstrates areas of significant divergence in the literature specifically: mandatory versus voluntary risk reporting, manual versus automated content analysis, within-country versus cross-country variations in risk reporting, and risk reporting in financial versus non-financial firms. Our paper identifies a number of issues which require further research. In particular we draw attention to two: first, a lack of clarity and consistency around the conceptualization of risk; and second, the potential costs and benefits of standard-setters' involvement.</t>
  </si>
  <si>
    <t>[Elshandidy, Tamer] Univ Bradford, Bradford Univ, Sch Management, Emm Lane, Bradford BD9 4JL, W Yorkshire, England; [Shrives, Philip J.] Northumbria Univ, Newcastle Upon Tyne, Tyne &amp; Wear, England; [Bamber, Matt] Univ Toronto, Toronto, ON, Canada; [Abraham, Santhosh] Excelsior Coll, Albany, NY USA</t>
  </si>
  <si>
    <t>University of Bradford; Northumbria University; University of Toronto</t>
  </si>
  <si>
    <t>Elshandidy, T (corresponding author), Univ Bradford, Bradford Univ, Sch Management, Emm Lane, Bradford BD9 4JL, W Yorkshire, England.</t>
  </si>
  <si>
    <t>T.Elshandidy@bradford.ac.uk; Philip.Shrives@northumbria.ac.uk; matt.bamber@rotman.utoronto.ca; SAbraham1@excelsior.edu</t>
  </si>
  <si>
    <t>Abraham, Santhosh/S-2278-2019; Elshandidy, Tamer/U-3159-2019</t>
  </si>
  <si>
    <t>0737-4607</t>
  </si>
  <si>
    <t>J ACCOUNT LIT</t>
  </si>
  <si>
    <t>J. Account. Lit.</t>
  </si>
  <si>
    <t>10.1016/j.acclit.2017.12.001</t>
  </si>
  <si>
    <t>Business, Finance</t>
  </si>
  <si>
    <t>GB3SA</t>
  </si>
  <si>
    <t>WOS:000428976800004</t>
  </si>
  <si>
    <t>Eisele, O; Escalante-Block, E; Kluknavska, A; Boomgaarden, HG</t>
  </si>
  <si>
    <t>Eisele, Olga; Escalante-Block, Elena; Kluknavska, Alena; Boomgaarden, Hajo G.</t>
  </si>
  <si>
    <t>The politicising spark? Exploring the impact of #MeToo on the gender equality discourse in Australian print media</t>
  </si>
  <si>
    <t>Automated content analysis; Australia; claims analysis; politicization; #MeToo; gender equality</t>
  </si>
  <si>
    <t>NEWS; COMMUNICATION; COVERAGE; CULTURE; SEXISM</t>
  </si>
  <si>
    <t>#MeToo has raised public awareness on issues of sexual harassment and misconduct at an unprecedented scale, nurturing hopes for sustainable change also in terms of gender equality. We use the concept of politicization to assess the potential for change which #MeToo might have induced in the broader print media discourse on gender equality issues. We analyse Australia as an arguably difficult case due to its conservative political and media system, thus offering political activism rather dire prospects of public resonance. We assess a total of two years of media coverage in the eight largest newspapers (October 2016 - September 2018), combining automated content analysis with manual claims analysis. Our results speak to the societal debate on gender equality as well as the potential of online social movements to change mainstream discourses and social realities.</t>
  </si>
  <si>
    <t>[Eisele, Olga; Boomgaarden, Hajo G.] Univ Vienna, Dept Commun, Vienna, Austria; [Escalante-Block, Elena] Sci Po Paris, Ctr Etud Europeennes CEE, Paris, France; [Kluknavska, Alena] Masaryk Univ, Fac Econ &amp; Adm, Dept Publ Econ, Brno, Czech Republic</t>
  </si>
  <si>
    <t>University of Vienna; Masaryk University Brno</t>
  </si>
  <si>
    <t>Eisele, O (corresponding author), Univ Vienna, Dept Commun, Vienna, Austria.</t>
  </si>
  <si>
    <t>olga.eisele@univie.ac.at</t>
  </si>
  <si>
    <t>Kluknavská, Alena/N-2632-2019</t>
  </si>
  <si>
    <t>Kluknavská, Alena/0000-0002-3679-3335; Eisele, Olga/0000-0002-6604-3498; Escalante-Block, Elena/0000-0003-2584-2346; Boomgaarden, Hajo G./0000-0002-5260-1284</t>
  </si>
  <si>
    <t>Austrian Science Fund (FWF) [T-989 G27]; European Commission [722581]; Czech Science Foundation [GJ19-14575Y]</t>
  </si>
  <si>
    <t>Austrian Science Fund (FWF)(Austrian Science Fund (FWF)); European Commission(European CommissionEuropean Commission Joint Research Centre); Czech Science Foundation(Grant Agency of the Czech Republic)</t>
  </si>
  <si>
    <t>The work on this article by Olga Eisele was supported by the Austrian Science Fund (FWF) (Project 'Tango on a Tightrope: An Investigation of Media-Politics Dynamics in 10 Years of EU Crisis', grant number T-989 G27). Elena Escalante-Block received funding under the European Commission's Horizon 2020 Framework (Marie-Sklodowska-Curie Actions: 'PLATO Innovative Training Network', grant number 722581). The work on this article by Alena Kluknavska was supported by the Czech Science Foundation (Project 'Contestation of Truth: Public Discourses on Migration in Central Europe in the Post-truth Era', grant number GJ19-14575Y).</t>
  </si>
  <si>
    <t>10.1080/10361146.2022.2045900</t>
  </si>
  <si>
    <t>ZN3EO</t>
  </si>
  <si>
    <t>WOS:000764922000001</t>
  </si>
  <si>
    <t>Dun, L; Soroka, S; Wlezien, C</t>
  </si>
  <si>
    <t>Dun, Lindsay; Soroka, Stuart; Wlezien, Christopher</t>
  </si>
  <si>
    <t>Dictionaries, Supervised Learning, and Media Coverage of Public Policy</t>
  </si>
  <si>
    <t>automated content analysis; machine learning; content-analytic dictionaries; policy feedback; public responsiveness</t>
  </si>
  <si>
    <t>DYNAMICS; THERMOSTAT; OPINION; MODELS; TEXT</t>
  </si>
  <si>
    <t>There are many different approaches to automated content analysis. This paper focuses on dictionaries and supervised learning; in addition to comparing the effectiveness of the two, we argue for the advantages of using them in combination. We do so in a research area in which we have an independent objective referent: government spending. With an eye toward capturing the accuracy of media coverage on public policy, we apply both hierarchical dictionary counts and supervised learning to measure mass media coverage of change in US defense spending. Both approaches appear to do well at capturing a media policy signal in the area, which provides an important test of convergent validity. While the results highlight the value of both dictionary and machine learning methods used independently, they also illustrate ways in which the two can be used in combination.</t>
  </si>
  <si>
    <t>[Dun, Lindsay; Wlezien, Christopher] Univ Texas Austin, Dept Govt, Austin, TX 78712 USA; [Soroka, Stuart] Univ Michigan, Dept Commun &amp; Media, Ann Arbor, MI 48109 USA</t>
  </si>
  <si>
    <t>University of Texas System; University of Texas Austin; University of Michigan System; University of Michigan</t>
  </si>
  <si>
    <t>Wlezien, C (corresponding author), Univ Texas Austin, Dept Govt, Austin, TX 78712 USA.</t>
  </si>
  <si>
    <t>Wlezien@austin.utexas.edu</t>
  </si>
  <si>
    <t>Soroka, Stuart/N-6501-2019</t>
  </si>
  <si>
    <t>Wlezien, Christopher/0000-0002-0719-697X; Dun, Lindsay/0000-0002-2982-5386; Soroka, Stuart/0000-0001-7524-0859</t>
  </si>
  <si>
    <t>MAR 15</t>
  </si>
  <si>
    <t>1-2</t>
  </si>
  <si>
    <t>10.1080/10584609.2020.1763529</t>
  </si>
  <si>
    <t>RH1FS</t>
  </si>
  <si>
    <t>WOS:000635972900006</t>
  </si>
  <si>
    <t>Roblek, V; Drpic, D; Mesko, M; Milojica, V</t>
  </si>
  <si>
    <t>Roblek, Vasja; Drpic, Danijel; Mesko, Maja; Milojica, Vedran</t>
  </si>
  <si>
    <t>Evolution of Sustainable Tourism Concepts</t>
  </si>
  <si>
    <t>sustainable hospitality; sustainable tourism; holistic sustainability; ESG (Environmental, Social and Governance); Social and Governance); automated content analysis</t>
  </si>
  <si>
    <t>RURAL TOURISM; CULTURAL-HERITAGE; POVERTY REDUCTION; ECO-TOURISM; ECOTOURISM; STAKEHOLDERS; MANAGEMENT; INNOVATION; BEHAVIOR; ISSUES</t>
  </si>
  <si>
    <t>This paper aims to present the evolution and change in content in tourism, over time, as well as the emergence of different sustainable tourism concepts (ST). For this purpose, a comparative Automated Content Analysis (ACA) is herein applied to scientific articles published between 1990, when the first article in this field was published in the Web of Science, and the end of 2020. The results show some overlaps between the concepts that have emerged over the periods. According to the analysis results, it can be concluded that the theme focuses on business model changes, adoption of organizational processes related to the provision of mitigation measures, implementation of cleaner and smarter technologies, the importance of cultural heritage for sustainable tourism product concepts, rural development, green investment, sustainable standards and sustainable reporting.</t>
  </si>
  <si>
    <t>[Roblek, Vasja] Fac Org Studies Novo Mesto, Novo Mesto 8000, Slovenia; [Drpic, Danijel] Polytech Rijeka, Sustainable Agritourism, Rijeka 51000, Croatia; [Mesko, Maja] Univ Maribor, Fac Org Sci, Kranj 4000, Slovenia; [Mesko, Maja] Univ Primorska, Fac Management, Koper 6000, Slovenia; [Milojica, Vedran] PAR Univ Coll Rijeka, Rijeka 51000, Croatia; [Milojica, Vedran] Univ Rijeka, Fac Tourism &amp; Hospitality Management, Rijeka 51000, Croatia</t>
  </si>
  <si>
    <t>Polytechnic Rijeka; University of Maribor; University of Primorska; University of Rijeka</t>
  </si>
  <si>
    <t>Roblek, V (corresponding author), Fac Org Studies Novo Mesto, Novo Mesto 8000, Slovenia.</t>
  </si>
  <si>
    <t>vasja.roblek@gmx.com; ddrpic@veleri.hr; maja.mesko@um.si; vedran.milojica@gmail.com</t>
  </si>
  <si>
    <t>10.3390/su132212829</t>
  </si>
  <si>
    <t>XE4XI</t>
  </si>
  <si>
    <t>WOS:000723392000001</t>
  </si>
  <si>
    <t>Shetty, SJ; Ramesh, V</t>
  </si>
  <si>
    <t>Shetty, Sarthak J.; Ramesh, Vijay</t>
  </si>
  <si>
    <t>pyResearchInsights-An open-source Python package for scientific text analysis</t>
  </si>
  <si>
    <t>ECOLOGY AND EVOLUTION</t>
  </si>
  <si>
    <t>automated content analysis; exploratory analysis; natural language processing</t>
  </si>
  <si>
    <t>RESEARCH THEMES; ECOLOGY</t>
  </si>
  <si>
    <t>With an increasing number of scientific articles published each year, there is a need to synthesize and obtain insights across ever-growing volumes of literature. Here, we present pyResearchInsights, a novel open-source automated content analysis package that can be used to analyze scientific abstracts within a natural language processing framework. The package collects abstracts from scientific repositories, identifies topics of research discussed in these abstracts, and presents interactive concept maps to visualize these research topics. To showcase the utilities of this package, we present two examples, specific to the field of ecology and conservation biology. First, we demonstrate the end-to-end functionality of the package by presenting topics of research discussed in 1,131 abstracts pertaining to birds of the Tropical Andes. Our results suggest that a large proportion of avian research in this biodiversity hotspot pertains to species distributions, climate change, and plant ecology. Second, we retrieved and analyzed 22,561 abstracts across eight journals in the field of conservation biology to identify twelve global topics of conservation research. Our analysis shows that conservation policy and landscape ecology are focal topics of research. We further examined how these conservation-associated research topics varied across five biodiversity hotspots. Lastly, we compared the utilities of this package with existing tools that carry out automated content analysis, and we show that our open-source package has wider functionality and provides end-to-end utilities that seldom exist across other tools.</t>
  </si>
  <si>
    <t>[Shetty, Sarthak J.] Indian Inst Sci, Ctr Ecol Sci, Bengaluru, India; [Ramesh, Vijay] Columbia Univ, Dept Ecol Evolut &amp; Environm Biol, 1200 Amsterdam Ave, New York, NY 10027 USA</t>
  </si>
  <si>
    <t>Indian Institute of Science (IISC) - Bangalore; Columbia University</t>
  </si>
  <si>
    <t>Ramesh, V (corresponding author), Columbia Univ, Dept Ecol Evolut &amp; Environm Biol, 1200 Amsterdam Ave, New York, NY 10027 USA.</t>
  </si>
  <si>
    <t>vr2352@columbia.edu</t>
  </si>
  <si>
    <t>Department of Ecology, Evolution and Environmental Biology, Columbia University; DST-FIST; DBT-IISc Partnership Programme</t>
  </si>
  <si>
    <t>Department of Ecology, Evolution and Environmental Biology, Columbia University; DST-FIST(Department of Science &amp; Technology (India)); DBT-IISc Partnership Programme(Newton-Al-Farabi Partnership Programme)</t>
  </si>
  <si>
    <t>We would like to thank Prof. Ruth DeFries and the Department of Ecology, Evolution and Environmental Biology, Columbia University, for funding this study. We would like to thank Dr. Barbara Han, who was kind enough to share the data and results from a previous study. This data helped us compare the results from our open-source package with an existing pay-walled tool. We would like to thank Dr. Vishwesha Guttal for providing access to computational facilities funded by DST-FIST and DBT-IISc Partnership Programme. Dr. Guttal also provided critical feedback on this manuscript. We acknowledge feedback from Dr. Anand Osuri, whose invaluable suggestions and feedback helped frame the study. We would like to sincerely thank an anonymous reviewer and Dr. Eliza Grames for providing a detailed review of our tool. By incorporating their suggestions, we are hopeful that our tool will be useful to a wide audience. Lastly, we acknowledge the feedback provided by the associate editor and Dr. Jennifer Firn, the editor-in-chief of Ecology and Evolution.</t>
  </si>
  <si>
    <t>2045-7758</t>
  </si>
  <si>
    <t>ECOL EVOL</t>
  </si>
  <si>
    <t>Ecol. Evol.</t>
  </si>
  <si>
    <t>10.1002/ece3.8098</t>
  </si>
  <si>
    <t>SEP 2021</t>
  </si>
  <si>
    <t>Environmental Sciences &amp; Ecology; Evolutionary Biology</t>
  </si>
  <si>
    <t>WI7FQ</t>
  </si>
  <si>
    <t>WOS:000696507200001</t>
  </si>
  <si>
    <t>Dille, B; Young, MD</t>
  </si>
  <si>
    <t>The conceptual complexity of Presidents Carter and Clinton: An automated content analysis of temporal stability and source bias</t>
  </si>
  <si>
    <t>POLITICAL PSYCHOLOGY</t>
  </si>
  <si>
    <t>Jimmy Carter; Bill Clinton; conceptual complexity; automated content analysis</t>
  </si>
  <si>
    <t>INTEGRATIVE COMPLEXITY</t>
  </si>
  <si>
    <t>Previous work on the measurement of leaders' foreign policy orientations by Margaret G. Hermann argues that spontaneous utterances should provide more useful indications of stable personality characteristics than prepared statements. This paper reconsiders this question for Presidents Jimmy Carter and Bill Clinton through an automated coding system. A large number of spontaneous utterances and prepared statements by these presidents were compared in an effort to determine the stability of their conceptual complexity across source types and over time. The findings support the ability of Hermann's conceptual complexity measurement to capture robust differences between individuals; however, scores derived from spontaneous comments varied significantly from those derived from prepared remarks. In addition, the trait appears to be stable for some subjects (Carter) but not for others (Clinton).</t>
  </si>
  <si>
    <t>Arizona State Univ, Dept Polit Sci, Tempe, AZ 85287 USA; Social Sci Automat Inc, Hilliard, OH 43026 USA</t>
  </si>
  <si>
    <t>Dille, B (corresponding author), Arizona State Univ, Dept Polit Sci, Tempe, AZ 85287 USA.</t>
  </si>
  <si>
    <t>BLACKWELL PUBLISHERS</t>
  </si>
  <si>
    <t>MALDEN</t>
  </si>
  <si>
    <t>350 MAIN STREET, STE 6, MALDEN, MA 02148 USA</t>
  </si>
  <si>
    <t>0162-895X</t>
  </si>
  <si>
    <t>POLIT PSYCHOL</t>
  </si>
  <si>
    <t>Polit. Psychol.</t>
  </si>
  <si>
    <t>10.1111/0162-895X.00206</t>
  </si>
  <si>
    <t>Political Science; Psychology, Social</t>
  </si>
  <si>
    <t>347ZP</t>
  </si>
  <si>
    <t>WOS:000088959400009</t>
  </si>
  <si>
    <t>Khachaturian, LV</t>
  </si>
  <si>
    <t>Khachaturian, L. V.</t>
  </si>
  <si>
    <t>Text as DATA: Manuscripts in the Digital Space Fourth Round Table Discussion</t>
  </si>
  <si>
    <t>RUSSKAIA LITERATURA</t>
  </si>
  <si>
    <t>Russian</t>
  </si>
  <si>
    <t>News Item</t>
  </si>
  <si>
    <t>Russian Acad Sciences, State Acad Univ Humanities (GAUGN)</t>
  </si>
  <si>
    <t>Moscow</t>
  </si>
  <si>
    <t>Leninsky prospekt 14, Moscow, RUSSIA</t>
  </si>
  <si>
    <t>0131-6095</t>
  </si>
  <si>
    <t>RUSS LITERATURA</t>
  </si>
  <si>
    <t>Rus. Lit.</t>
  </si>
  <si>
    <t>10.31860/0131-6095-2020-1-228-230</t>
  </si>
  <si>
    <t>Literature, Slavic</t>
  </si>
  <si>
    <t>Literature</t>
  </si>
  <si>
    <t>MO1CD</t>
  </si>
  <si>
    <t>WOS:000551272200019</t>
  </si>
  <si>
    <t>Husain, T</t>
  </si>
  <si>
    <t>Husain, Tehreem</t>
  </si>
  <si>
    <t>Doing Digital History: A Beginner's Guide to Working with Text as Data</t>
  </si>
  <si>
    <t>Book Review; Early Access</t>
  </si>
  <si>
    <t>[Husain, Tehreem] UCL, London, England</t>
  </si>
  <si>
    <t>Husain, T (corresponding author), UCL, London, England.</t>
  </si>
  <si>
    <t>0018-2648</t>
  </si>
  <si>
    <t>1468-229X</t>
  </si>
  <si>
    <t>HISTORY-UK</t>
  </si>
  <si>
    <t>History</t>
  </si>
  <si>
    <t>10.1111/1468-229X.13297</t>
  </si>
  <si>
    <t>1K3SE</t>
  </si>
  <si>
    <t>WOS:000798524100001</t>
  </si>
  <si>
    <t>Li, S</t>
  </si>
  <si>
    <t>Li, Shasha</t>
  </si>
  <si>
    <t>Text as Data: A New Framework for Machine Learning and the Social Sciences</t>
  </si>
  <si>
    <t>[Li, Shasha] Tongji Univ, Shanghai, Peoples R China; [Li, Shasha] Univ Freiburg, Freiburg, Germany</t>
  </si>
  <si>
    <t>Tongji University; University of Freiburg</t>
  </si>
  <si>
    <t>Li, S (corresponding author), Tongji Univ, Shanghai, Peoples R China.;Li, S (corresponding author), Univ Freiburg, Freiburg, Germany.</t>
  </si>
  <si>
    <t>Li, Shasha/0000-0001-8794-1548</t>
  </si>
  <si>
    <t>National Office for Philosophy and Social Sciences [20CYY011]; Shanghai Office of Philosophy and Social Sciences [2019EYY008]; Science and Technology Commission of Shanghai Municipality [2019PJC103]</t>
  </si>
  <si>
    <t>National Office for Philosophy and Social Sciences; Shanghai Office of Philosophy and Social Sciences; Science and Technology Commission of Shanghai Municipality(Science &amp; Technology Commission of Shanghai Municipality (STCSM))</t>
  </si>
  <si>
    <t>This work was supported by the National Office for Philosophy and Social Sciences[grant number 20CYY011], Shanghai Office of Philosophy and Social Sciences [grant number 2019EYY008], and Science and Technology Commission of Shanghai Municipality [grant number 2019PJC103].</t>
  </si>
  <si>
    <t>10.1177/14614448221101550</t>
  </si>
  <si>
    <t>3N7LJ</t>
  </si>
  <si>
    <t>WOS:000811609100001</t>
  </si>
  <si>
    <t>Zhao, QY; Wang, SY</t>
  </si>
  <si>
    <t>Zhao, Qiuying; Wang, Shunyu</t>
  </si>
  <si>
    <t>DIGITAL SCHOLARSHIP IN THE HUMANITIES</t>
  </si>
  <si>
    <t>[Zhao, Qiuying; Wang, Shunyu] Xian Int Studies Univ, Xian, Peoples R China</t>
  </si>
  <si>
    <t>Xi'an International Studies University</t>
  </si>
  <si>
    <t>Zhao, QY (corresponding author), Xian Int Studies Univ, Xian, Peoples R China.</t>
  </si>
  <si>
    <t>2055-7671</t>
  </si>
  <si>
    <t>2055-768X</t>
  </si>
  <si>
    <t>DIGIT SCHOLARSH HUM</t>
  </si>
  <si>
    <t>Digit. Scholarsh. Humanit.</t>
  </si>
  <si>
    <t>10.1093/llc/fqac068</t>
  </si>
  <si>
    <t>OCT 2022</t>
  </si>
  <si>
    <t>Humanities, Multidisciplinary; Linguistics</t>
  </si>
  <si>
    <t>5J9DF</t>
  </si>
  <si>
    <t>WOS:000869335500001</t>
  </si>
  <si>
    <t>Khachaturian, L., V</t>
  </si>
  <si>
    <t>Text as DATA: Manuscripts in the Digital Space Second International Conference of Young Scholars</t>
  </si>
  <si>
    <t>10.31860/0131-6095-2022-1-297-299</t>
  </si>
  <si>
    <t>ZK6MG</t>
  </si>
  <si>
    <t>WOS:000763101100030</t>
  </si>
  <si>
    <t>Guilherme, IR; Serapiao, ABD; Rabelo, C; Mendes, JRP</t>
  </si>
  <si>
    <t>Gelbukh, A; ReyesGarcia, CA</t>
  </si>
  <si>
    <t>Guilherme, Ivan Rizzo; de Souza Serapiao, Adriane Beatriz; Rabelo, Clarice; Pelaquim Mendes, Jose Ricardo</t>
  </si>
  <si>
    <t>An ontology based for drilling report classification</t>
  </si>
  <si>
    <t>MICAI 2006: ADVANCES IN ARTIFICIAL INTELLIGENCE, PROCEEDINGS</t>
  </si>
  <si>
    <t>Lecture Notes in Artificial Intelligence</t>
  </si>
  <si>
    <t>5th Mexican International Conference on Artificial Intelligence (MICAI 2006)</t>
  </si>
  <si>
    <t>NOV 13-17, 2006</t>
  </si>
  <si>
    <t>Technol Inst Apizaco, Apizaco, MEXICO</t>
  </si>
  <si>
    <t>SMIA,DGEST,INAOE,ITAM</t>
  </si>
  <si>
    <t>Technol Inst Apizaco</t>
  </si>
  <si>
    <t>This paper presents an application of an ontology based system for automated text analysis using a sample of a drilling report to demonstrate how the methodology works. The methodology used here consists basically of organizing the knowledge related to the drilling process by elaborating the ontology of some typical problems. The whole process was carried out with the assistance of a drilling expert, and by also using software to collect the knowledge from the texts. Finally, a sample of drilling reports was used to test the system, evaluating its performance on automated text classification.</t>
  </si>
  <si>
    <t>[Guilherme, Ivan Rizzo; de Souza Serapiao, Adriane Beatriz] Sao Paulo State Univ, IGCE, DEMAC, Av 24A 1511, BR-13506700 Rio Claro, Brazil; [Rabelo, Clarice; Pelaquim Mendes, Jose Ricardo] Univ Estadual Campinas, FEM, DEP, Campinas, SP, Brazil</t>
  </si>
  <si>
    <t>Universidade Estadual Paulista; Universidade Estadual de Campinas</t>
  </si>
  <si>
    <t>Guilherme, IR (corresponding author), Sao Paulo State Univ, IGCE, DEMAC, Av 24A 1511, BR-13506700 Rio Claro, Brazil.</t>
  </si>
  <si>
    <t>ivan@rc.unesp.br; adriane@rc.unesp.br; clarice@dep.fem.unicamp.br; jricardo@dep.fem.unicamp.br</t>
  </si>
  <si>
    <t>Guilherme, Ivan/I-4397-2012; Serapiao, Adriane/D-7683-2013</t>
  </si>
  <si>
    <t>Serapiao, Adriane/0000-0001-9728-7092</t>
  </si>
  <si>
    <t>CNPq [CT-Petro/MCT/CNPq 504863/2004-5, CT-Petro/MCT/CNPq 504528/2004-1]</t>
  </si>
  <si>
    <t>CNPq(Conselho Nacional de Desenvolvimento Cientifico e Tecnologico (CNPQ))</t>
  </si>
  <si>
    <t>This work was partially supported by CNPq (research projects CT-Petro/MCT/CNPq 504863/2004-5 and CT-Petro/MCT/CNPq 504528/2004-1).</t>
  </si>
  <si>
    <t>SPRINGER-VERLAG BERLIN</t>
  </si>
  <si>
    <t>HEIDELBERGER PLATZ 3, D-14197 BERLIN, GERMANY</t>
  </si>
  <si>
    <t>0302-9743</t>
  </si>
  <si>
    <t>1611-3349</t>
  </si>
  <si>
    <t>978-3-540-49026-5</t>
  </si>
  <si>
    <t>LECT NOTES ARTIF INT</t>
  </si>
  <si>
    <t>BFU02</t>
  </si>
  <si>
    <t>WOS:000244587700099</t>
  </si>
  <si>
    <t>Cann, DM; Goelzhauser, G; Johnson, K</t>
  </si>
  <si>
    <t>Cann, Damon M.; Goelzhauser, Greg; Johnson, Kaylee</t>
  </si>
  <si>
    <t>Analyzing Text Complexity in Political Science Research</t>
  </si>
  <si>
    <t>PS-POLITICAL SCIENCE &amp; POLITICS</t>
  </si>
  <si>
    <t>READABILITY; JOURNALS</t>
  </si>
  <si>
    <t>This article analyzes the text complexity of political science research. Using automated text analysis, we examine the text complexity of a sample of articles from three leading generalist journals and four leading subfield journals. We also examine changes in text complexity across time by analyzing a sample of articles from the discipline's flagship journal during a 100-year span. Although it is not surprising that a typical political science article is difficult to read, it is accessible to intelligent lay readers. We found little difference in text complexity across time or subfield.</t>
  </si>
  <si>
    <t>[Cann, Damon M.; Goelzhauser, Greg; Johnson, Kaylee] Utah State Univ, Dept Polit Sci, Logan, UT 84322 USA</t>
  </si>
  <si>
    <t>Utah System of Higher Education; Utah State University</t>
  </si>
  <si>
    <t>Cann, DM (corresponding author), Utah State Univ, Dept Polit Sci, Logan, UT 84322 USA.</t>
  </si>
  <si>
    <t>damon.cann@usu.edu; greg.goelzhauser@usu.edu; kayleebjohnson93@aggiemail.usu.edu</t>
  </si>
  <si>
    <t>Hodgson, Kaylee/0000-0001-5436-7025</t>
  </si>
  <si>
    <t>1049-0965</t>
  </si>
  <si>
    <t>1537-5935</t>
  </si>
  <si>
    <t>PS-POLIT SCI POLIT</t>
  </si>
  <si>
    <t>PS-Polit. Sci. Polit.</t>
  </si>
  <si>
    <t>10.1017/S1049096514000808</t>
  </si>
  <si>
    <t>AJ8QD</t>
  </si>
  <si>
    <t>WOS:000337970400012</t>
  </si>
  <si>
    <t>Fischer, R; Karl, JA; Luczak-Roesch, M; Fetvadjiev, VH; Grener, A</t>
  </si>
  <si>
    <t>Fischer, Ronald; Karl, Johannes Alfons; Luczak-Roesch, Markus; Fetvadjiev, Velichko H.; Grener, Adam</t>
  </si>
  <si>
    <t>Tracing Personality Structure in Narratives: A Computational Bottom-Up Approach to Unpack Writers, Characters, and Personality in Historical Context</t>
  </si>
  <si>
    <t>EUROPEAN JOURNAL OF PERSONALITY</t>
  </si>
  <si>
    <t>personality; five-factor model; idiographic analysis; automated text analysis; transcendental information cascades</t>
  </si>
  <si>
    <t>COMPLEXITY; LANGUAGES; TRAITS; NUMBER; IMPACT; BIG-5; SELF</t>
  </si>
  <si>
    <t>We present a new method for personality assessment at a distance to uncover personality structure in historical texts. We focus on how two 19th century authors understood and described human personality; we apply a new bottom-up computational approach to extract personality dimensions used by Jane Austen and Charles Dickens to describe fictional characters in 21 novels. We matched personality descriptions using three person-description dictionaries marker scales as reference points for interpretation. Factor structures did not show strong convergence with the contemporary Big Five model. Jane Austen described characters in terms of social and emotional richness with greater nuances but using a less extensive vocabulary. Charles Dickens, in contrast, used a rich and diverse personality vocabulary, but those descriptions centred around more restricted dimensions of power and dominance. Although we could identify conceptually similar factors across the two authors, analyses of the overlapping vocabulary between the two authors suggested only moderate convergence. We discuss the utility and potential of automated text analysis and the lexical hypothesis to (i) provide insights into implicit personality models in historical texts and (ii) bridge the divide between idiographic and nomothetic perspectives. (c) 2020 European Association of Personality Psychology</t>
  </si>
  <si>
    <t>[Fischer, Ronald; Karl, Johannes Alfons] Victoria Univ Wellington, Sch Psychol, Wellington 6012, New Zealand; [Fischer, Ronald] Inst DOr Pesquisa &amp; Ensino, Rio De Janeiro, Brazil; [Luczak-Roesch, Markus] Victoria Univ Wellington, Sch Informat Management, Wellington, New Zealand; [Luczak-Roesch, Markus] Te Punaha Matatini Ctr Res Excellence CoRE Comple, Wellington, New Zealand; [Fetvadjiev, Velichko H.] Univ Amsterdam, Dept Social Psychol, Amsterdam, Netherlands; [Fetvadjiev, Velichko H.] Univ Limerick, Dept Psychol, Limerick, Ireland; [Grener, Adam] Victoria Univ Wellington, Fac Humanities &amp; Social Sci, Wellington, New Zealand</t>
  </si>
  <si>
    <t>Victoria University Wellington; Victoria University Wellington; University of Amsterdam; University of Limerick; Victoria University Wellington</t>
  </si>
  <si>
    <t>Fischer, R (corresponding author), Victoria Univ Wellington, Sch Psychol, Wellington 6012, New Zealand.</t>
  </si>
  <si>
    <t>ronald.fischer@vuw.ac.nz</t>
  </si>
  <si>
    <t>Karl, Johannes Alfons/K-9654-2019; Fischer, Ronald/G-6447-2017; Fetvadjiev, Velichko/M-7570-2016</t>
  </si>
  <si>
    <t>Karl, Johannes Alfons/0000-0001-5166-0728; Fischer, Ronald/0000-0002-3055-3955; Fetvadjiev, Velichko/0000-0002-5475-5121</t>
  </si>
  <si>
    <t>0890-2070</t>
  </si>
  <si>
    <t>1099-0984</t>
  </si>
  <si>
    <t>EUR J PERSONALITY</t>
  </si>
  <si>
    <t>Eur. J. Personal.</t>
  </si>
  <si>
    <t>10.1002/per.2270</t>
  </si>
  <si>
    <t>JUN 2020</t>
  </si>
  <si>
    <t>OL4VF</t>
  </si>
  <si>
    <t>WOS:000537746200001</t>
  </si>
  <si>
    <t>Kluver, H; Sagarzazu, I</t>
  </si>
  <si>
    <t>Kluever, Heike; Sagarzazu, Inaki</t>
  </si>
  <si>
    <t>Setting the Agenda or Responding to Voters? Political Parties, Voters and Issue Attention</t>
  </si>
  <si>
    <t>WEST EUROPEAN POLITICS</t>
  </si>
  <si>
    <t>issue attention; political parties press; releases; quantitative text analysis; representation</t>
  </si>
  <si>
    <t>POLICY SHIFTS; OWNERSHIP; CONVERGENCE; COMPETITION; CONSEQUENCES; STRATEGIES; DYNAMICS; SALIENCE; MODEL</t>
  </si>
  <si>
    <t>Why do political parties prioritise some policy issues over others? While the issue ownership theory suggests that parties emphasise policy issues on which they have an advantage in order to increase the salience of these issues among voters, the riding the wave theory argues instead that parties respond to voters by highlighting policy issues that are salient in the minds of citizens. This study sheds new light on the selective issue emphasis of political parties by analysing issue attention throughout the entire electoral cycle. On the basis of a quantitative text analysis of more than 40,000 press releases published by German parties from 2000 until 2010, this article provides empirical support for the riding the wave theory. It shows that political parties take their cues from voters by responding to the issue priorities of their electorate. The results have important implications for political representation and the role that parties play in democracies.</t>
  </si>
  <si>
    <t>[Kluever, Heike] Univ Hamburg, Comparat Polit, Hamburg, Germany; [Sagarzazu, Inaki] Univ Glasgow, Comparat Polit, Glasgow G12 8QQ, Lanark, Scotland</t>
  </si>
  <si>
    <t>University of Hamburg; University of Glasgow</t>
  </si>
  <si>
    <t>Kluver, H (corresponding author), Univ Hamburg, Comparat Polit, Hamburg, Germany.</t>
  </si>
  <si>
    <t>heike.kluever@uni-hamburg.de; inaki.sagarzazu@glasgow.ac.uk</t>
  </si>
  <si>
    <t>0140-2382</t>
  </si>
  <si>
    <t>1743-9655</t>
  </si>
  <si>
    <t>WEST EUR POLIT</t>
  </si>
  <si>
    <t>West Eur. Polit.</t>
  </si>
  <si>
    <t>MAR 3</t>
  </si>
  <si>
    <t>10.1080/01402382.2015.1101295</t>
  </si>
  <si>
    <t>CZ4GI</t>
  </si>
  <si>
    <t>Green Accepted, hybrid, Green Submitted</t>
  </si>
  <si>
    <t>WOS:000367061100009</t>
  </si>
  <si>
    <t>Lobbying as a collective enterprise: winners and losers of policy formulation in the European Union</t>
  </si>
  <si>
    <t>European Commission; influence; interest groups; lobbying; lobbying success; quantitative text analysis</t>
  </si>
  <si>
    <t>SIGNALING MODEL; POWERFUL; INSTITUTIONS; PREFERENCES; FRAMEWORK; POLITICS; SUCCESS; ACCESS; LUCKY</t>
  </si>
  <si>
    <t>Why does lobbying success in the European Union (EU) vary across interest groups? Even though this question is central to the study of EU policy-making, only few have dealt with it. The small number of existing studies is moreover characterized by a multitude of hypotheses and contradictory findings. This article aims to overcome these shortcomings by presenting a theoretical exchange model that identifies information supply, citizen support and economic power of entire lobbying camps as the major determinants of lobbying success. The hypotheses are empirically evaluated based on a large new dataset. By combining a quantitative text analysis of interest group submissions to Commission consultations with an online survey among interest groups, the theoretical expectations are tested across a large number of policy issues and interest groups while controlling for individual interest group and issue characteristics. The empirical analysis confirms the theoretical expectations indicating that lobbying is a collective enterprise.</t>
  </si>
  <si>
    <t>Univ Konstanz, Dept Polit &amp; Publ Adm, D-78457 Constance, Germany</t>
  </si>
  <si>
    <t>Kluver, H (corresponding author), Univ Konstanz, Dept Polit &amp; Publ Adm, Univ Str 10,POB 87, D-78457 Constance, Germany.</t>
  </si>
  <si>
    <t>heike.kluever@uni-konstanz.de</t>
  </si>
  <si>
    <t>10.1080/13501763.2012.699661</t>
  </si>
  <si>
    <t>043JD</t>
  </si>
  <si>
    <t>WOS:000311538200004</t>
  </si>
  <si>
    <t>Traber, D; Schoonvelde, M; Schumacher, G</t>
  </si>
  <si>
    <t>Traber, Denise; Schoonvelde, Martijn; Schumacher, Gijs</t>
  </si>
  <si>
    <t>Errors have been made, others will be blamed: Issue engagement and blame shifting in prime minister speeches during the economic crisis in Europe</t>
  </si>
  <si>
    <t>economic crisis; party competition; prime minister speeches; quantitative text analysis</t>
  </si>
  <si>
    <t>AVOIDANCE; PARTIES; STRATEGIES; OWNERSHIP; RESPONSES; SALIENCE; NEWS; ORGANIZATION; COMPETITION; GOVERNMENT</t>
  </si>
  <si>
    <t>This article investigates prime ministers' communication strategies during the most recent economic crisis in Europe. It argues that when electoral risk is high but governments' policy options are severely limited, prime ministers will use specific communication strategies to mitigate electoral risks. Two such communication strategies are analysed - issue engagement and blame shifting - by applying state-of-the-art quantitative text analysis methods on 5,553 speeches of prime ministers in nine European Union member states. Evidence is found for both strategies. Prime ministers talk about the economy more in response to both high (domestic) unemployment and low (domestic) gross domestic product growth. Furthermore, it is found that the (domestic) unemployment rate is the most consistent predictor of blame shifting: as the domestic unemployment rate goes up, this is followed by an increase in blame shifting towards banks, Greece and the Troika of the European Commission, the European Central Bank and the International Monetary Fund.</t>
  </si>
  <si>
    <t>[Traber, Denise] Univ Lucerne, Dept Polit Sci, Frohburgstr 3, Luzern, Switzerland; [Schoonvelde, Martijn] Univ Coll Dublin, Dept Polit &amp; Int Relat SPIRe, Dublin, Ireland; [Schumacher, Gijs] Univ Amsterdam, Dept Polit Sci, Amsterdam, Netherlands</t>
  </si>
  <si>
    <t>University of Lucerne; University College Dublin; University of Amsterdam</t>
  </si>
  <si>
    <t>Traber, D (corresponding author), Univ Lucerne, Dept Polit Sci, Frohburgstr 3, Luzern, Switzerland.</t>
  </si>
  <si>
    <t>denise.traber@unilu.ch</t>
  </si>
  <si>
    <t>Schumacher, Gijs/0000-0002-6503-4514; Schoonvelde, Martijn/0000-0003-4370-2654</t>
  </si>
  <si>
    <t>European Union's Horizon 2020 research and innovation programme [649281]; Swiss National Science Foundation [100018_153140/1]</t>
  </si>
  <si>
    <t>European Union's Horizon 2020 research and innovation programme; Swiss National Science Foundation(Swiss National Science Foundation (SNSF)European Commission)</t>
  </si>
  <si>
    <t>This project has received funding from the European Union's Horizon 2020 research and innovation programme (Grant No. 649281, EUENGAGE); and from the Swiss National Science Foundation (Grant No. 100018_153140/1). Earlier versions of this article have been presented at the annual meetings of EPSA in 2016 and MPSA in 2017, at the Amsterdam Text AnalysisWorkshop in 2016, and at departmental seminars at the University of Zurich and University of Arkansas, Little Rock. We thank Slava Mikhaylov, Jan Kleinnijenhuis, Fabrizio Gilardi, Mariken van der Velden, Basak Yavcan and three anonymous reviewers for very helpful comments.</t>
  </si>
  <si>
    <t>10.1111/1475-6765.12340</t>
  </si>
  <si>
    <t>KD6TE</t>
  </si>
  <si>
    <t>Green Published, Green Submitted</t>
  </si>
  <si>
    <t>WOS:000507996700003</t>
  </si>
  <si>
    <t>Hofhuis, J; Schafraad, P; Trilling, D; Luca, N; van Manen, B</t>
  </si>
  <si>
    <t>Hofhuis, Joep; Schafraad, Pytrik; Trilling, Damian; Luca, Nastasia; van Manen, Bastiaan</t>
  </si>
  <si>
    <t>Automated Content Analysis of Cultural Diversity Perspectives in Annual Reports (DivPAR): Development, Validation, and Future Research Agenda</t>
  </si>
  <si>
    <t>CULTURAL DIVERSITY &amp; ETHNIC MINORITY PSYCHOLOGY</t>
  </si>
  <si>
    <t>cultural diversity; diversity perspectives; organizational communication; annual reports; automated content analysis</t>
  </si>
  <si>
    <t>CORPORATE SOCIAL-RESPONSIBILITY; WORK GROUP DIVERSITY; PERFORMANCE; MANAGEMENT; CLIMATE; ORGANIZATIONS; PROGRAMS; GENDER; MATTER; POLICY</t>
  </si>
  <si>
    <t>Objective: In this article, we present a digital tool (Diversity Perspectives in Annual Reports [DivPAR]) for automated content analysis of annual reports, designed to identify the presence of three cultural diversity perspectives-the Moral, Market, and Innovation perspectives-based on earlier work by Ely and Thomas (2001). Method: In Study 1, we describe the development and validation of the instrument, through an iterative procedure in which manual annotation of independent subsamples (n = 24, 25) by human coders was compared to the computer coding in subsequent rounds, until sufficient agreement was reached. In Study 2, we illustrate the type of data that the script generates, by analyzing the prevalence of the three perspectives in annual reports of 55 Dutch organizations over a period of 2 decades (1999-2018; n = 937). Results: Our findings confirm that DivPAR is sufficiently reliable for use in future research. In Study 2, we show that among Dutch organizations, the moral perspective is most prevalent, but the market and innovation perspectives are increasing in popularity. Conclusion: DivPAR can be used to analyze the prevalence and longitudinal development of diversity perspectives in organizational communication. It enables scholars to draw comparisons across different sectors, regions, or countries, to study how diversity perspectives correlate with societal developments, and to uncover the (lack of) relationships between diversity communication and diversity outcomes. Directions for future research are discussed at the end of the article.</t>
  </si>
  <si>
    <t>[Hofhuis, Joep; Luca, Nastasia; van Manen, Bastiaan] Erasmus Univ, Erasmus Res Ctr Media Commun &amp; Culture ERMeCC, POB 1738, NL-3000 DR Rotterdam, Netherlands; [Schafraad, Pytrik; Trilling, Damian] Univ Amsterdam, Amsterdam Sch Commun Res ASCoR, Amsterdam, Netherlands</t>
  </si>
  <si>
    <t>Erasmus University Rotterdam; University of Amsterdam</t>
  </si>
  <si>
    <t>Hofhuis, J (corresponding author), Erasmus Univ, Erasmus Res Ctr Media Commun &amp; Culture ERMeCC, POB 1738, NL-3000 DR Rotterdam, Netherlands.</t>
  </si>
  <si>
    <t>j.hofhuis@eshcc.eur.nl</t>
  </si>
  <si>
    <t>Hofhuis, Joep/H-4265-2016</t>
  </si>
  <si>
    <t>Hofhuis, Joep/0000-0001-7531-8644; Schafraad, Pytrik/0000-0003-4584-0284; Trilling, Damian/0000-0002-2586-0352</t>
  </si>
  <si>
    <t>1099-9809</t>
  </si>
  <si>
    <t>1939-0106</t>
  </si>
  <si>
    <t>CULT DIVERS ETHN MIN</t>
  </si>
  <si>
    <t>Cult. Divers. Ethn. Minor. Psychol.</t>
  </si>
  <si>
    <t>10.1037/cdp0000413</t>
  </si>
  <si>
    <t>JUL 2021</t>
  </si>
  <si>
    <t>Ethnic Studies; Psychology, Social</t>
  </si>
  <si>
    <t>Ethnic Studies; Psychology</t>
  </si>
  <si>
    <t>XS8RP</t>
  </si>
  <si>
    <t>Green Submitted, Green Published</t>
  </si>
  <si>
    <t>WOS:000733169100001</t>
  </si>
  <si>
    <t>Kamijo, T</t>
  </si>
  <si>
    <t>Kamijo, Tetsuya</t>
  </si>
  <si>
    <t>How to enhance EIA systems in developing countries: a quantitative literature review</t>
  </si>
  <si>
    <t>ENVIRONMENT DEVELOPMENT AND SUSTAINABILITY</t>
  </si>
  <si>
    <t>Environmental impact assessment; Developing countries; Literature review; Quantitative text analysis; Environmental impact statement</t>
  </si>
  <si>
    <t>ENVIRONMENTAL-IMPACT ASSESSMENT; PUBLIC-PARTICIPATION; STATEMENTS; QUALITY; PERFORMANCE; PROJECTS; ASSESSMENTS; OIL; ALTERNATIVES; THAILAND</t>
  </si>
  <si>
    <t>Developing countries introduced environmental impact assessment (EIA) systems in the 1970s and 1980s, but their weak implementation has been a major problem. This study suggests solutions for the enhancement of EIA systems in developing countries using a quantitative literature review. It clarifies the time-series changes of constraints and develops recommendations on EIA systems by applying quantitative text analysis to 128 documents published between 1983 and 2020. Before and after 2003, the ratio of the constraints embodied in law and administration significantly decreased, and that of environmental impact statements (EISs) significantly increased, while the ratio of recommendations for monitoring significantly increased. Based on these findings, the study proposes that countries should strive for better quality EIS and develop an EIS database to enhance EIA systems, because EIS quality determines the effectiveness of an EIA system and the database supports improvement of that quality. It is suggested that improving EIS quality will lead to the enhancement of EIA systems in developing countries.</t>
  </si>
  <si>
    <t>[Kamijo, Tetsuya] Japan Int Cooperat Agcy, JICA Ogata Sadako Res Inst Peace &amp; Dev, Shinjuku Ku, 10-5,Ichigaya Honmuracho, Tokyo, Japan</t>
  </si>
  <si>
    <t>Kamijo, T (corresponding author), Japan Int Cooperat Agcy, JICA Ogata Sadako Res Inst Peace &amp; Dev, Shinjuku Ku, 10-5,Ichigaya Honmuracho, Tokyo, Japan.</t>
  </si>
  <si>
    <t>Kamijo.Tetsuya@jica.go.jp</t>
  </si>
  <si>
    <t>JICA Ogata Sadako Research Institute for Peace and Development</t>
  </si>
  <si>
    <t>This study was funded by the JICA Ogata Sadako Research Institute for Peace and Development.</t>
  </si>
  <si>
    <t>1387-585X</t>
  </si>
  <si>
    <t>1573-2975</t>
  </si>
  <si>
    <t>ENVIRON DEV SUSTAIN</t>
  </si>
  <si>
    <t>Environ. Dev. Sustain.</t>
  </si>
  <si>
    <t>10.1007/s10668-021-02029-0</t>
  </si>
  <si>
    <t>Green &amp; Sustainable Science &amp; Technology; Environmental Sciences</t>
  </si>
  <si>
    <t>5Z2OL</t>
  </si>
  <si>
    <t>WOS:000742814500003</t>
  </si>
  <si>
    <t>Selin, J; Nyrhinen, R</t>
  </si>
  <si>
    <t>Selin, Jani; Nyrhinen, Riku</t>
  </si>
  <si>
    <t>Gambling policy positions of Finnish newspapers between 2004 and 2020: An automated content analysis</t>
  </si>
  <si>
    <t>NORDIC STUDIES ON ALCOHOL AND DRUGS</t>
  </si>
  <si>
    <t>automated content analysis; gambling; newspapers; policy; Wordfish</t>
  </si>
  <si>
    <t>AGENDA-SETTING POWER; POLITICAL POSITIONS; NEWS MEDIA; TEXT</t>
  </si>
  <si>
    <t>Aims: The media can influence gambling policy formation and public opinion. Previous research has established that the tension between political or public interest in gambling revenue and gambling harm is fundamental for understanding gambling policy. There are two opposing gambling policy positions: (1) gambling revenue or the economic benefits of gambling, and (2) the harmful impacts of gambling. This study is the first study to estimate these gambling policy positions of newspapers on a common scale. The objective is to estimate how the gambling policy positions of major Finnish daily newspapers evolved between 2004 and 2020. This knowledge deepens our understanding about the changes in the relative balance between harm and revenue in gambling policy. Methods and data: The data consisted of newspaper editorials (N = 58) on gambling policy from five major Finnish daily newspapers between 2004 and 2020. The data were analysed with the automated content analysis algorithm Wordfish. Results: The results show that there has been a clear shift in the gambling policy positions of the major Finnish newspapers towards increased acknowledgement of the importance of prevention and reduction of gambling harm. Conclusions: Due to the interplay between the media, politics, and the public, it is likely that the importance of prevention and reduction of gambling harm will be recognised and addressed to a larger extent when gambling policy is formulated in Finland in the future. More generally, if the gambling policy positions of media and other stakeholders change, this can facilitate a promotion of harm prevention policies.</t>
  </si>
  <si>
    <t>[Selin, Jani; Nyrhinen, Riku] Finnish Inst Hlth &amp; Welf, POB 30, FI-00271 Helsinki, Finland</t>
  </si>
  <si>
    <t>Selin, J (corresponding author), Finnish Inst Hlth &amp; Welf, POB 30, FI-00271 Helsinki, Finland.</t>
  </si>
  <si>
    <t>jani.selin@thl.fi</t>
  </si>
  <si>
    <t>Selin, Jani/0000-0003-1828-3603</t>
  </si>
  <si>
    <t>Ministry of Social Affairs and Health, Helsinki, Finland</t>
  </si>
  <si>
    <t>The authors disclosed receipt of the following financial support for the research, authorship, and/or publication of this article: The Ministry of Social Affairs and Health, Helsinki, Finland, funded the study (appropriation under section 52 of the Lotteries Act).</t>
  </si>
  <si>
    <t>1455-0725</t>
  </si>
  <si>
    <t>1458-6126</t>
  </si>
  <si>
    <t>NORD STUD ALCOHOL DR</t>
  </si>
  <si>
    <t>Nord. Stud. Alcohol Drugs</t>
  </si>
  <si>
    <t>10.1177/14550725221083438</t>
  </si>
  <si>
    <t>3S9EQ</t>
  </si>
  <si>
    <t>WOS:000839890900001</t>
  </si>
  <si>
    <t>Frid-Nielsen, SS</t>
  </si>
  <si>
    <t>Frid-Nielsen, Snorre Sylvester</t>
  </si>
  <si>
    <t>Human rights or security? Positions on asylum in European Parliament speeches</t>
  </si>
  <si>
    <t>Asylum; automated content analysis; European Parliament; European Union enlargement; legislative speeches</t>
  </si>
  <si>
    <t>POLICY VENUE; MIGRATION; POLITICS; DECISION; TEXT; LAW</t>
  </si>
  <si>
    <t>This study examines speeches in the European Parliament relating to asylum. Conceptually, it tests hypotheses concerning the relation between national parties and Members of European Parliament. The computer-based content analysis method Wordfish is used to examine 876 speeches from 2004 to 2014, scaling Members of European Parliament along a unidimensional policy space. Debates on asylum predominantly concern positions for or against European Union security measures. Surprisingly, national party preferences for European Union integration were not the dominant factor. The strongest predictors of Members of European Parliament's positions are their national parties' general right-left' preferences, and duration of European Union membership. Generally, Members of European Parliament from Central and Eastern Europe and the European People's Party take up pro-security stances. Wordfish was effective and valid, confirming the relevance of automated content analysis for studying the European Union.</t>
  </si>
  <si>
    <t>[Frid-Nielsen, Snorre Sylvester] Roskilde Univ, Dept Social Sci &amp; Business, Univ Vej 1, DK-4000 Roskilde, Denmark</t>
  </si>
  <si>
    <t>Roskilde University</t>
  </si>
  <si>
    <t>Frid-Nielsen, SS (corresponding author), Roskilde Univ, Dept Social Sci &amp; Business, Univ Vej 1, DK-4000 Roskilde, Denmark.</t>
  </si>
  <si>
    <t>ssfn@ruc.dk</t>
  </si>
  <si>
    <t>Frid-Nielsen, Snorre/0000-0002-9060-1824</t>
  </si>
  <si>
    <t>10.1177/1465116518755954</t>
  </si>
  <si>
    <t>GF6FY</t>
  </si>
  <si>
    <t>WOS:000432063700007</t>
  </si>
  <si>
    <t>Kakavand, AE; Trilling, D</t>
  </si>
  <si>
    <t>Kakavand, Azade Esther; Trilling, Damian</t>
  </si>
  <si>
    <t>The Criminal is Always the Foreigner?! A Case Study of Minority Signification in German Crime Reporting</t>
  </si>
  <si>
    <t>minority signification; key events; automated content analysis</t>
  </si>
  <si>
    <t>AFRICAN-AMERICANS; NEWS COVERAGE; NEWSPAPERS; IMMIGRANTS; ATTITUDES; REFUGEES; MEDIA</t>
  </si>
  <si>
    <t>Prejudices against minorities are amplified by distorted media coverage that highlights these groups disproportionally in crime coverage. But while the specifications of alleged criminals' affiliations to minority groups-so-called minority signification-has been studied after key events and between outlets, no research has yet investigated changes over a longer time, including different key events and outlets. Using a partly automated content analysis, our research fills this gap with a case study of minority signification in Germany from 2014 to 2019. We show that first, culturally more distant nationalities are slightly overrepresented while European nationalities are underrepresented in crime news compared with German crime statistics. Second, some spikes in the data could be linked to key events but others remain unexplained. Third, the political-right newspaper mentions minority affiliations most, the tabloid second, and the political-left outlet mentions them least. Surprisingly, this pattern changes over the years.</t>
  </si>
  <si>
    <t>[Kakavand, Azade Esther] Univ Vienna, Vienna, Austria; [Trilling, Damian] Univ Amsterdam, Amsterdam, Netherlands</t>
  </si>
  <si>
    <t>University of Vienna; University of Amsterdam</t>
  </si>
  <si>
    <t>Kakavand, AE (corresponding author), Univ Vienna, Vienna, Austria.</t>
  </si>
  <si>
    <t>azade.kakavand@univie.ac.at; d.c.trilling@uva.nl</t>
  </si>
  <si>
    <t>0X3CS</t>
  </si>
  <si>
    <t>WOS:000789589100072</t>
  </si>
  <si>
    <t>Pilny, A; McAninch, K; Slone, A; Moore, K</t>
  </si>
  <si>
    <t>Pilny, Andrew; McAninch, Kelly; Slone, Amanda; Moore, Kelsey</t>
  </si>
  <si>
    <t>Using Supervised Machine Learning in Automated Content Analysis: An Example Using Relational Uncertainty</t>
  </si>
  <si>
    <t>COMMUNICATION METHODS AND MEASURES</t>
  </si>
  <si>
    <t>RELATIONSHIP QUALITY; DEPRESSIVE SYMPTOMS; COMMUNICATION; TURBULENCE; SELECTION; PITFALLS; FRAME; TEXT</t>
  </si>
  <si>
    <t>The goal of this research is to make progress towards using supervised machine leaming for automated content analysis dealing with complex interpretations of text. For Step 1, two humans coded a sub-sample of online forum posts for relational uncertainty. For Step 2, we evaluated reliability, in which we trained three different classifiers to learn from those subjective human interpretations. Reliability was established when two different metrics of inter-coder reliability could not distinguish whether a human or a machine coded the text on a separate hold-out set. Finally, in Step 3 we assessed validity. To accomplish this, we administered a survey in which participants described their own relational uncertainty/certainty via text and completed a questionnaire. After classifying the text, the machine's classifications of the participants' text positively correlated with the subjects' own self-reported relational uncertainty and relational satisfaction. We discuss our results in line with areas of computational communication science, content analysis, and interpersonal communication.</t>
  </si>
  <si>
    <t>[Pilny, Andrew; McAninch, Kelly; Slone, Amanda; Moore, Kelsey] Univ Kentucky, Dept Commun, Lexington, KY USA</t>
  </si>
  <si>
    <t>University of Kentucky</t>
  </si>
  <si>
    <t>Pilny, A (corresponding author), 269 Blazer Dining, Lexington, KY 40506 USA.</t>
  </si>
  <si>
    <t>andy.pilny@uky.edu</t>
  </si>
  <si>
    <t>Pilny, Andrew/AEN-1657-2022</t>
  </si>
  <si>
    <t>Pilny, Andrew/0000-0001-6603-5490</t>
  </si>
  <si>
    <t>This work was supported by the University of Kentucky [Research and Creative Activities Program].</t>
  </si>
  <si>
    <t>1931-2458</t>
  </si>
  <si>
    <t>1931-2466</t>
  </si>
  <si>
    <t>COMMUN METHODS MEAS</t>
  </si>
  <si>
    <t>Commun. Methods Meas.</t>
  </si>
  <si>
    <t>OCT 2</t>
  </si>
  <si>
    <t>10.1080/19312458.2019.1650166</t>
  </si>
  <si>
    <t>AUG 2019</t>
  </si>
  <si>
    <t>KA0GE</t>
  </si>
  <si>
    <t>WOS:000480276200001</t>
  </si>
  <si>
    <t>Wedeking, J</t>
  </si>
  <si>
    <t>Sterett, SM; Walker, LD</t>
  </si>
  <si>
    <t>Wedeking, Justin</t>
  </si>
  <si>
    <t>Text as data in law and courts: data coding, language clarity, and data sharing</t>
  </si>
  <si>
    <t>RESEARCH HANDBOOK ON LAW AND COURTS</t>
  </si>
  <si>
    <t>Research Handbooks in Law and Politics</t>
  </si>
  <si>
    <t>SUPREME-COURT; INFORMATION; BIAS</t>
  </si>
  <si>
    <t>[Wedeking, Justin] Univ Kentucky, Polit Sci, Lexington, KY 40506 USA</t>
  </si>
  <si>
    <t>Wedeking, J (corresponding author), Univ Kentucky, Polit Sci, Lexington, KY 40506 USA.</t>
  </si>
  <si>
    <t>EDWARD ELGAR PUBLISHING LTD</t>
  </si>
  <si>
    <t>CHELTENHAM</t>
  </si>
  <si>
    <t>THE LYPIATTS, 15 LANSDOWN RD, CHELTENHAM GL50 2JA, GLOS, ENGLAND</t>
  </si>
  <si>
    <t>978-1-78811-320-5; 978-1-78811-319-9</t>
  </si>
  <si>
    <t>RES HANDB LAW POLIT</t>
  </si>
  <si>
    <t>10.4337/9781788113205</t>
  </si>
  <si>
    <t>Law; Political Science</t>
  </si>
  <si>
    <t>BR6YO</t>
  </si>
  <si>
    <t>WOS:000664717300032</t>
  </si>
  <si>
    <t>Vogler, D; Schafer, MS</t>
  </si>
  <si>
    <t>Vogler, Daniel; Schaefer, Mike S.</t>
  </si>
  <si>
    <t>Growing Influence of University PR on Science News Coverage? A Longitudinal Automated Content Analysis of University Media Releases and Newspaper Coverage in Switzerland, 2003-2017</t>
  </si>
  <si>
    <t>science journalism; public relations; media relations; higher education; automated content analysis; science communication</t>
  </si>
  <si>
    <t>PUBLIC-RELATIONS; MASS-MEDIA; JOURNALISM; COMMUNICATION; SCIENTISTS; AGENDA</t>
  </si>
  <si>
    <t>Universities have expanded their public relation (PR) departments in recent years. At the same time, news media have had to cope with reduced resources. This has led scholars to assume a growing influence of university PR on a weakened journalism. However, research on this phenomenon is scarce, and longitudinal research is missing entirely. The study at hand looks at the influence of university PR on science journalism in Switzerland by measuring the effects of media releases on media coverage. It uses large-scale, automated text comparisons combined with manual content analyses. The results show that an increasing amount of media coverage is based on media releases, and that the tone of this portion of media coverage is significantly more positive toward the university. Overall, our findings suggest an increasing influence of university PR on (science) journalism.</t>
  </si>
  <si>
    <t>[Vogler, Daniel; Schaefer, Mike S.] Univ Zurich, Zurich, Switzerland</t>
  </si>
  <si>
    <t>Vogler, D (corresponding author), Univ Zurich, Zurich, Switzerland.</t>
  </si>
  <si>
    <t>daniel.vogler@foeg.uzh.ch; m.schaefer@ikmz.uzh.ch</t>
  </si>
  <si>
    <t>Vogler, Daniel/0000-0002-0211-7574</t>
  </si>
  <si>
    <t>QF1KP</t>
  </si>
  <si>
    <t>WOS:000616658300046</t>
  </si>
  <si>
    <t>Zoizner, A; Sheafer, T; Walgrave, S</t>
  </si>
  <si>
    <t>Zoizner, Alon; Sheafer, Tamir; Walgrave, Stefaan</t>
  </si>
  <si>
    <t>How Politicians' Attitudes and Goals Moderate Political Agenda Setting by the Media</t>
  </si>
  <si>
    <t>political agenda setting; media; political elites; MPs; representation; automated content analysis</t>
  </si>
  <si>
    <t>MASS-MEDIA; INFORMATION; NEWS; PARLIAMENT; POWER</t>
  </si>
  <si>
    <t>The media's role in shaping the priorities of politicians, known as political agenda setting, is usually examined at the institutional level. However, individual politicians' goals and attitudes are also expected to shape their level of responsiveness to the media. This study is the first to explore how individual politicians' goals and motivations moderate their real-life level of responsiveness to the media. We examine this by using a unique sample of 197 incumbent politicians in three countries (Belgium, Canada, and Israel) and an automated content analysis of parliamentary speeches (N = 45,574) and news articles (N = 412,112). We find that politicians who view themselves as a conduit of the public (delegates) are more responsive to the media than those acting on their own judgment (trustees). Politicians involved in many issues (generalists) are also more responsive than specialists. Finally, no association is found between politicians' negativity bias and their media responsiveness.</t>
  </si>
  <si>
    <t>[Zoizner, Alon] Hebrew Univ Jerusalem, Dept Polit Sci, IL-91905 Jerusalem, Israel; [Sheafer, Tamir] Hebrew Univ Jerusalem, Polit Commun, Jerusalem, Israel; [Sheafer, Tamir] Hebrew Univ Jerusalem, Fac Social Sci, Jerusalem, Israel; [Walgrave, Stefaan] Univ Antwerp, Polit Sci, Antwerp, Belgium</t>
  </si>
  <si>
    <t>Hebrew University of Jerusalem; Hebrew University of Jerusalem; Hebrew University of Jerusalem; University of Antwerp</t>
  </si>
  <si>
    <t>Zoizner, A (corresponding author), Hebrew Univ Jerusalem, Dept Polit Sci, IL-91905 Jerusalem, Israel.</t>
  </si>
  <si>
    <t>alon.zoizner@mail.huji.ac.il</t>
  </si>
  <si>
    <t>European Research Council [295735]; Research Fund of the University of Antwerp [26827]; Halbert Centre for Canadian Studies at the Hebrew University of Jerusalem; Israel Association for Canadian Studies</t>
  </si>
  <si>
    <t>European Research Council(European Research Council (ERC)European Commission); Research Fund of the University of Antwerp; Halbert Centre for Canadian Studies at the Hebrew University of Jerusalem; Israel Association for Canadian Studies</t>
  </si>
  <si>
    <t>The author(s) disclosed receipt of the following financial support for the research, authorship and/or publication of this article: This work was supported by the European Research Council (Advanced Grant 'INFOPOL', No. 295735) and the Research Fund of the University of Antwerp (Grant No. 26827). Stefaan Walgrave (University of Antwerp) is the principal investigator of the INFOPOL project, which has additional teams in Israel (led by Tamir Sheafer) and Canada (led by Stuart Soroka and Peter Loewen). Funding for this project was also provided by the Halbert Centre for Canadian Studies at the Hebrew University of Jerusalem and the Israel Association for Canadian Studies.</t>
  </si>
  <si>
    <t>10.1177/1940161217723149</t>
  </si>
  <si>
    <t>FQ2LY</t>
  </si>
  <si>
    <t>WOS:000418189200002</t>
  </si>
  <si>
    <t>Walter, S; Lorcher, I; Bruggemann, M</t>
  </si>
  <si>
    <t>Walter, Stefanie; Loercher, Ines; Brueggemann, Michael</t>
  </si>
  <si>
    <t>Scientific networks on Twitter: Analyzing scientists' interactions in the climate change debate</t>
  </si>
  <si>
    <t>PUBLIC UNDERSTANDING OF SCIENCE</t>
  </si>
  <si>
    <t>automated content analysis; climate change; network analysis; science communication; social media; Twitter</t>
  </si>
  <si>
    <t>SCIENCE COMMUNICATION; SOCIAL MEDIA; NEWS; MEDIALIZATION; SENTIMENT; COVERAGE; SOCIETY</t>
  </si>
  <si>
    <t>Scientific issues requiring urgent societal actions-such as climate change-have increased the need for communication and interaction between scientists and other societal actors. Social media platforms facilitate such exchanges. This study investigates who scientists interact with on Twitter, and whether their communication differs when engaging with actors beyond the scientific community. We focus on the climate change debate on Twitter and combine network analysis with automated content analysis. The results show that scientists interact most intensively with their peers, but also communication beyond the scientific community is important. The findings suggest that scientists adjust their communication style to their audience: They use more neutral language when communicating with other scientists, and more words expressing negative emotions when communicating with journalists, civil society, and politicians. Likewise, they stress certainty more when communicating with politicians, indicating that scientists use language strategically when communicating beyond the scientific community.</t>
  </si>
  <si>
    <t>[Walter, Stefanie] Univ Bremen, Ctr Media Commun &amp; Informat Res ZeMKI, Bremen, Germany; [Loercher, Ines; Brueggemann, Michael] Univ Hamburg, Inst Journalism &amp; Commun Studies, Chair Commun Studies Climate &amp; Sci Commun, Hamburg, Germany</t>
  </si>
  <si>
    <t>University of Bremen; University of Hamburg</t>
  </si>
  <si>
    <t>Walter, S (corresponding author), Univ Bremen, D-28359 Bremen, Germany.</t>
  </si>
  <si>
    <t>0963-6625</t>
  </si>
  <si>
    <t>1361-6609</t>
  </si>
  <si>
    <t>PUBLIC UNDERST SCI</t>
  </si>
  <si>
    <t>Public Underst. Sci.</t>
  </si>
  <si>
    <t>10.1177/0963662519844131</t>
  </si>
  <si>
    <t>Communication; History &amp; Philosophy Of Science</t>
  </si>
  <si>
    <t>Communication; History &amp; Philosophy of Science</t>
  </si>
  <si>
    <t>IR5KI</t>
  </si>
  <si>
    <t>WOS:000481471000006</t>
  </si>
  <si>
    <t>Markowitz, DM</t>
  </si>
  <si>
    <t>Markowitz, David M.</t>
  </si>
  <si>
    <t>Academy Awards Speeches Reflect Social Status, Cinematic Roles, and Winning Expectations</t>
  </si>
  <si>
    <t>JOURNAL OF LANGUAGE AND SOCIAL PSYCHOLOGY</t>
  </si>
  <si>
    <t>social status; language; Academy Awards speeches; replication; automated text analysis</t>
  </si>
  <si>
    <t>LANGUAGE USE; DYNAMICS; WORDS</t>
  </si>
  <si>
    <t>An analysis of Academy Awards acceptance speeches revealed that social status is indicated through pronouns. Speeches from high status movie directors contained fewer self-references than relatively low status actors. Directors also communicated analytically compared with actors, who told stories and communicated narratively. A post hoc analysis revealed that unexpected award winners communicated more positively than those who were expected to win. The analyses emphasize the importance of replications in the social sciences and extending social and psychological phenomena to new settings.</t>
  </si>
  <si>
    <t>[Markowitz, David M.] Stanford Univ, Dept Commun, Stanford, CA 94305 USA</t>
  </si>
  <si>
    <t>Markowitz, DM (corresponding author), Stanford Univ, McClatchy Hall,Bldg 120, Stanford, CA 94305 USA.</t>
  </si>
  <si>
    <t>markowitz@stanford.edu</t>
  </si>
  <si>
    <t>Markowitz, David/L-5563-2019</t>
  </si>
  <si>
    <t>Markowitz, David/0000-0002-7159-7014</t>
  </si>
  <si>
    <t>0261-927X</t>
  </si>
  <si>
    <t>1552-6526</t>
  </si>
  <si>
    <t>J LANG SOC PSYCHOL</t>
  </si>
  <si>
    <t>J. Lang. Soc. Psychol.</t>
  </si>
  <si>
    <t>10.1177/0261927X17751012</t>
  </si>
  <si>
    <t>Communication; Linguistics; Psychology, Social</t>
  </si>
  <si>
    <t>Communication; Linguistics; Psychology</t>
  </si>
  <si>
    <t>GF6PG</t>
  </si>
  <si>
    <t>WOS:000432089000007</t>
  </si>
  <si>
    <t>Words to Submit by: Language Patterns Indicate Conference Acceptance for the International Communication Association</t>
  </si>
  <si>
    <t>language; automated text analysis; International Communication Association; replication</t>
  </si>
  <si>
    <t>UNCERTAINTY; CERTAINTY; TRENDS</t>
  </si>
  <si>
    <t>Language patterns of complexity and confidence often indicate positive persuasion outcomes across settings. For example, such word types correlate with funding support from grant agencies and online crowds. This paper tested the preregistered hypothesis that language patterns of complexity and confidence also relate to a conference submission's acceptance. Replicating and extending prior work, submissions from the International Communication Association (N = 9,559) with more complex content and more causality tend to be accepted. Implications of these data are discussed.</t>
  </si>
  <si>
    <t>[Markowitz, David M.] Univ Oregon, Sch Journalism &amp; Commun, Allen Hall, Eugene, OR 97403 USA</t>
  </si>
  <si>
    <t>University of Oregon</t>
  </si>
  <si>
    <t>Markowitz, DM (corresponding author), Univ Oregon, Sch Journalism &amp; Commun, Allen Hall, Eugene, OR 97403 USA.</t>
  </si>
  <si>
    <t>dmark@uoregon.edu</t>
  </si>
  <si>
    <t>0261927X20988765</t>
  </si>
  <si>
    <t>10.1177/0261927X20988765</t>
  </si>
  <si>
    <t>JAN 2021</t>
  </si>
  <si>
    <t>SA6JY</t>
  </si>
  <si>
    <t>WOS:000611042100001</t>
  </si>
  <si>
    <t>Stenvoll, D; Svensson, P</t>
  </si>
  <si>
    <t>Stenvoll, Dag; Svensson, Peter</t>
  </si>
  <si>
    <t>Contestable contexts: the transparent anchoring of contextualization in text-as-data</t>
  </si>
  <si>
    <t>QUALITATIVE RESEARCH</t>
  </si>
  <si>
    <t>context; discourse analysis; justification; text; transparency</t>
  </si>
  <si>
    <t>CONVERSATION ANALYSIS; INTERPRETATIVE REPERTOIRES; POSTSTRUCTURALISM; DISCOURSE</t>
  </si>
  <si>
    <t>The article is about the criteria used to decide the relevance of particular contexts to the framework for qualitative text analysis. By conceptualizing context as something that needs to be justified, rather than identified, we argue in favour of transparency when it comes to the link between text-as-data and interpretations of text-as-data. By drawing on examples from a speech made to the European Parliament, we examine a number of practical tools for anchoring context to text, these spanning from the literal, through cues, to absence. By means of the ideal of transparency we hope to move the focus of the critique of analysis from correct/incorrect methodology to credible/untenable interpretations.</t>
  </si>
  <si>
    <t>[Stenvoll, Dag] Uni Rokkan Ctr, Bergen, Norway; [Svensson, Peter] Lund Univ, Dept Business Adm, S-22100 Lund, Sweden</t>
  </si>
  <si>
    <t>Lund University</t>
  </si>
  <si>
    <t>Stenvoll, D (corresponding author), UNI Res, Stein Rokkan Ctr Social Studies, Nygardsgaten 5, N-5015 Bergen, Norway.</t>
  </si>
  <si>
    <t>dag.stenvoll@uni.no</t>
  </si>
  <si>
    <t>1468-7941</t>
  </si>
  <si>
    <t>1741-3109</t>
  </si>
  <si>
    <t>QUAL RES</t>
  </si>
  <si>
    <t>Qual. Res.</t>
  </si>
  <si>
    <t>10.1177/1468794111413242</t>
  </si>
  <si>
    <t>Social Sciences, Interdisciplinary; Sociology</t>
  </si>
  <si>
    <t>Social Sciences - Other Topics; Sociology</t>
  </si>
  <si>
    <t>836IG</t>
  </si>
  <si>
    <t>WOS:000296104400006</t>
  </si>
  <si>
    <t>Holden, EJ; Liu, W; Horrocks, T; Wang, R; Wedge, D; Duuring, P; Beardsmore, T</t>
  </si>
  <si>
    <t>Holden, Eun-Jung; Liu, Wei; Horrocks, Tom; Wang, Rui; Wedge, Daniel; Duuring, Paul; Beardsmore, Trevor</t>
  </si>
  <si>
    <t>GeoDocA - Fast analysis of geological content in mineral exploration reports: A text mining approach</t>
  </si>
  <si>
    <t>ORE GEOLOGY REVIEWS</t>
  </si>
  <si>
    <t>Automated document analysis; Geological text mining; Mineral exploration reports</t>
  </si>
  <si>
    <t>Records of past exploration in open-file mineral exploration reports are an important source of information for mineral explorers. These reports document existing geological knowledge that may be relevant to modelling ore forming processes in a particular area of interest. This paper presents the development of GeoDocA, a geological document analysis system, that applies automated text analysis techniques with the specific aim of assisting geologists in browsing of and searching for documents based on relevant geological contents within a large repository of documents. GeoDocA analysed 25,419 exploration reports and using a customised set of keywords pertaining to broad categories such as mineral occurrences, rock types, alteration types, and geological time. An interactive user interface was developed to facilitate visual analysis of exploration reports. For individual reports, it provides a summary of their content in graph form, a gallery of extracted figures and tables, and a list of similar reports based on shared geological keywords. In addition, it assists document search efforts through auto-generated keyword suggestions which are based on associations of keywords learnt by the system from all reports in the repository. While the text mining methods reported here is the foundation for further development to incorporate semantic analysis towards geological knowledge extraction, the outcomes of this study demonstrate the effectiveness of automated text analysis in supporting a fast analysis of a large number of reports to identify the targeted mineral systems and their associated geological environments.</t>
  </si>
  <si>
    <t>[Holden, Eun-Jung; Horrocks, Tom; Wedge, Daniel] Univ Western Australia, Sch Earth Sci, 35 Stirling Hwy, Crawley, WA 6009, Australia; [Liu, Wei; Wang, Rui] Univ Western Australia, Dept Comp Sci &amp; Software Engn, 35 Stirling Hwy, Crawley, WA 6009, Australia; [Duuring, Paul; Beardsmore, Trevor] Dept Mines Ind Regulat &amp; Safety, Geol Survey &amp; Resource Strategy Div, 100 Plain St, East Perth, WA 6006, Australia</t>
  </si>
  <si>
    <t>University of Western Australia; University of Western Australia</t>
  </si>
  <si>
    <t>Holden, EJ (corresponding author), Univ Western Australia, Sch Earth Sci, 35 Stirling Hwy, Crawley, WA 6009, Australia.</t>
  </si>
  <si>
    <t>eun-jung.holden@uwa.edu.au</t>
  </si>
  <si>
    <t>Holden, Eun-Jung/0000-0002-8752-1639; Liu, Wei/0000-0002-7409-0948; Duuring, Paul/0000-0001-5888-5102; Horrocks, Tom/0000-0003-0835-6151</t>
  </si>
  <si>
    <t>Geological Survey of Western Australia through the State Government's Exploration Incentive Scheme</t>
  </si>
  <si>
    <t>This research was funded by the Geological Survey of Western Australia through the State Government's Exploration Incentive Scheme. Paul Duuring and Trevor Beardsmore publish with permission from the Executive Director of the Geological Survey of Western Australia.</t>
  </si>
  <si>
    <t>0169-1368</t>
  </si>
  <si>
    <t>1872-7360</t>
  </si>
  <si>
    <t>ORE GEOL REV</t>
  </si>
  <si>
    <t>Ore Geol. Rev.</t>
  </si>
  <si>
    <t>UNSP 102919</t>
  </si>
  <si>
    <t>10.1016/j.oregeorev.2019.05.005</t>
  </si>
  <si>
    <t>Geology; Mineralogy; Mining &amp; Mineral Processing</t>
  </si>
  <si>
    <t>IW3GT</t>
  </si>
  <si>
    <t>WOS:000484869200044</t>
  </si>
  <si>
    <t>Murib, Z</t>
  </si>
  <si>
    <t>Murib, Zein</t>
  </si>
  <si>
    <t>Don't Read the Comments: Examining Social Media Discourse on Trans Athletes</t>
  </si>
  <si>
    <t>LAWS</t>
  </si>
  <si>
    <t>gender; transgender; athletics; fairness; biology; rights; politics</t>
  </si>
  <si>
    <t>TRANSGENDER PEOPLE; PUBLIC-OPINION; ATTITUDES; SPORTS; RIGHTS; RACE</t>
  </si>
  <si>
    <t>How are transgender athletes understood in popular discourse? This paper adapts and merges Glaser and Strauss' 1967 Grounded Theory Method with computerized Automated Text Analysis to provide clarity on large-n datasets comprised of social media posts made about transgender athletes. After outlining the procedures of this new approach to social media data, I present findings from a study conducted on comments made in response to YouTube videos reporting transgender athletes. A total of 60,000 comments made on three YouTube videos were scraped for the analysis, which proceeded in two steps. The first was an iterative, grounded analysis of the top 500 liked comments to gain insight into the trends that emerged. Automated Text Analysis was then used to explore latent connections amongst the 60,000 comments. This descriptive analysis of thousands of datapoints revealed three dominant ways that people talk about transgender athletes: an attachment to biology as determinative of athletic abilities, a racialized understanding of who constitutes a proper girl, and perceptions of sex-segregated sports as the sole way to ensure fairness in athletic opportunities. The paper concludes by drawing out the implications of this research for how scholars understand the obstacles facing transgender political mobilizations, presents strategies for addressing these roadblocks, and underscores the importance of descriptive studies of discourse in political science research concerned with marginalization and inequality.</t>
  </si>
  <si>
    <t>[Murib, Zein] Fordham Univ, Dept Polit Sci, New York, NY 10023 USA</t>
  </si>
  <si>
    <t>Fordham University</t>
  </si>
  <si>
    <t>Murib, Z (corresponding author), Fordham Univ, Dept Polit Sci, New York, NY 10023 USA.</t>
  </si>
  <si>
    <t>zmurib@fordham.edu</t>
  </si>
  <si>
    <t>2075-471X</t>
  </si>
  <si>
    <t>LAWS-BASEL</t>
  </si>
  <si>
    <t>Laws</t>
  </si>
  <si>
    <t>10.3390/laws11040053</t>
  </si>
  <si>
    <t>Law</t>
  </si>
  <si>
    <t>4B0WO</t>
  </si>
  <si>
    <t>WOS:000845509500001</t>
  </si>
  <si>
    <t>Runge, CA; Hausner, VH; Daigle, RM; Monz, CA</t>
  </si>
  <si>
    <t>Runge, Claire A.; Hausner, Vera H.; Daigle, Remi M.; Monz, Christopher A.</t>
  </si>
  <si>
    <t>Pan-Arctic analysis of cultural ecosystem services using social media and automated content analysis</t>
  </si>
  <si>
    <t>ENVIRONMENTAL RESEARCH COMMUNICATIONS</t>
  </si>
  <si>
    <t>cultural ecosystem services; social media; Arctic; ecotourism; Flickr; passive crowdsourcing; artificial intelligence</t>
  </si>
  <si>
    <t>TOURISM; IMAGE</t>
  </si>
  <si>
    <t>In the Arctic, as in many parts of the world, interactions with the natural world are an important part of people's experience and are often recorded in photographs. Emerging methods for automated content analysis of social media data offers opportunities to discover information on cultural ecosystem services from photographs across large samples of people and countries. We analysed over 800 000 Flickr photographs using Google's Cloud Vision algorithm to identify the components of the natural environment most photographed and to map how and where different people interact with nature across eight Arctic countries. Almost all (91.1%) of users took one or more photographs of biotic nature, and such photos account for over half (53.2%) of Arctic photos on Flickr. We find that although the vast majority of Arctic human-nature interactions occur outside protected areas, people are slightly more likely to photograph nature inside protected areas after accounting for the low accessibility of Arctic protected areas. Wildlife photographers travel further from roads than people who take fewer photographs of wildlife, and people venture much further from roads inside protected areas. A large diversity of nature was reflected in the photographs, from mammals, birds, fish, fungi, plants and invertebrates, signalling an untapped potential to connect and engage people in the appreciation and conservation of the natural world. Our findings suggest that, despite limitations, automated content analysis can be a rapid and readily accessed source of data on how and where people interact with nature, and a large-scale method for assessing cultural ecosystem services across countries and cultures.</t>
  </si>
  <si>
    <t>[Runge, Claire A.; Hausner, Vera H.] UiT Arctic Univ Norway, Dept Arctic &amp; Marine Biol, Arctic Sustainabil Lab, Tromso, Norway; [Daigle, Remi M.] Univ Laval, Dept Biol, Quebec City, PQ, Canada; [Monz, Christopher A.] Utah State Univ, Dept Environm &amp; Soc, Logan, UT 84322 USA; [Monz, Christopher A.] Utah State Univ, Ctr Ecol, Logan, UT 84322 USA</t>
  </si>
  <si>
    <t>UiT The Arctic University of Tromso; Laval University; Utah System of Higher Education; Utah State University; Utah System of Higher Education; Utah State University</t>
  </si>
  <si>
    <t>Runge, CA (corresponding author), UiT Arctic Univ Norway, Dept Arctic &amp; Marine Biol, Arctic Sustainabil Lab, Tromso, Norway.</t>
  </si>
  <si>
    <t>claire.runge@uqconnect.edu.au</t>
  </si>
  <si>
    <t>Runge, Claire/Q-2110-2018</t>
  </si>
  <si>
    <t>Runge, Claire/0000-0003-3913-8560</t>
  </si>
  <si>
    <t>FRAM-High North Research Centre for Climate and the Environment through the FlagshipMIKON(Project RConnected); Arctic Belmont Forum 'Arctic Observing and Research for Sustainability' (Project CONNECT); Norwegian Research Council [247474]</t>
  </si>
  <si>
    <t>FRAM-High North Research Centre for Climate and the Environment through the FlagshipMIKON(Project RConnected); Arctic Belmont Forum 'Arctic Observing and Research for Sustainability' (Project CONNECT); Norwegian Research Council(Research Council of NorwayEuropean Commission)</t>
  </si>
  <si>
    <t>This study was funded byFRAM-High North Research Centre for Climate and the Environment through the FlagshipMIKON(Project RConnected) and the Arctic Belmont Forum 'Arctic Observing and Research for Sustainability' (ProjectCONNECT). The Norwegian collaboration was financed by Norwegian Research Council grant 247474.</t>
  </si>
  <si>
    <t>IOP Publishing Ltd</t>
  </si>
  <si>
    <t>TEMPLE CIRCUS, TEMPLE WAY, BRISTOL BS1 6BE, ENGLAND</t>
  </si>
  <si>
    <t>2515-7620</t>
  </si>
  <si>
    <t>ENVIRON RES COMMUN</t>
  </si>
  <si>
    <t>Environ. Res. Commun.</t>
  </si>
  <si>
    <t>JUL 1</t>
  </si>
  <si>
    <t>10.1088/2515-7620/ab9c33</t>
  </si>
  <si>
    <t>Environmental Sciences</t>
  </si>
  <si>
    <t>NC7WQ</t>
  </si>
  <si>
    <t>WOS:000561425700001</t>
  </si>
  <si>
    <t>Engstrom, T; Strong, J; Sullivan, C; Pole, JD</t>
  </si>
  <si>
    <t>Engstrom, Teyl; Strong, Jenny; Sullivan, Clair; Pole, Jason D.</t>
  </si>
  <si>
    <t>A Comparison of Leximancer Semi-automated Content Analysis to Manual Content Analysis: A Healthcare Exemplar Using Emotive Transcripts of COVID-19 Hospital Staff Interactive Webcasts</t>
  </si>
  <si>
    <t>INTERNATIONAL JOURNAL OF QUALITATIVE METHODS</t>
  </si>
  <si>
    <t>qualitative data; content analysis; COVID-19; routinely collected health data</t>
  </si>
  <si>
    <t>QUALITATIVE RESEARCH; NVIVO</t>
  </si>
  <si>
    <t>Effective consumer centred healthcare incorporates consumer and clinician perspectives into decision making, in addition to traditional quantitative measures. This information is usually captured in qualitative data that requires manual analysis. Healthcare systems often lack resources to systematically incorporate qualitative feedback into decision making. Semi-automated content analysis tools, such as Leximancer, provide an efficient and objective alternative to time consuming manual content analysis (MCA). Literature on the validity of Leximancer in healthcare is sparse. This study seeks to validate Leximancer against MCA on a broad emotive conversational dataset gathered in a healthcare setting. At the outset of the COVID-19 pandemic, a large Australian hospital and health service conducted interactive webcasts with staff to provide updates and answer questions. A manual thematic analysis and a Leximancer content analysis were conducted independently on 20 webcast transcripts. The findings were compared, along with the time required to the complete each analysis. The Leximancer analysis identified nine concepts, while the manual analysis identified 12 concepts. The Leximancer concepts mapped to five of the concepts identified in the manual analysis, which accounted for 74% of mentions tagged in the text through the manual analysis. Leximancer missed concepts which required an emotional or contextual interpretation. The Leximancer analysis took 21 hours (excluding time to learn the program), compared to 73 hours for the manual analysis. Semi-automated content analysis provides an efficient alternative to manual qualitative data analysis, shifting it from a small-scale research activity to a more routine operational activity, albeit with some limitations. This is critical to be able to utilise at scale the rich narratives from consumers and clinicians in healthcare decision making.</t>
  </si>
  <si>
    <t>[Engstrom, Teyl; Sullivan, Clair; Pole, Jason D.] Univ Queensland, Ctr Hlth Serv Res, Level 6,288 Herston Rd, Herston, Qld 4006, Australia; [Strong, Jenny] Metro North Hosp &amp; Hlth Serv, Brisbane, Qld, Australia; [Strong, Jenny] Univ Queensland, Sch Hlth &amp; Rehabil Sci, Brisbane, Qld, Australia; [Strong, Jenny] Univ Southern Queensland, Occupat Therapy, Toowoomba, Qld, Australia; [Pole, Jason D.] Univ Toronto, Dalla Lana Sch Publ Hlth, Toronto, ON, Canada</t>
  </si>
  <si>
    <t>University of Queensland; University of Queensland; University of Southern Queensland; University of Toronto</t>
  </si>
  <si>
    <t>Pole, JD (corresponding author), Univ Queensland, Ctr Hlth Serv Res, Level 6,288 Herston Rd, Herston, Qld 4006, Australia.</t>
  </si>
  <si>
    <t>j.pole@uq.edu.au</t>
  </si>
  <si>
    <t>1609-4069</t>
  </si>
  <si>
    <t>INT J QUAL METH</t>
  </si>
  <si>
    <t>Int. J. Qual. Meth.</t>
  </si>
  <si>
    <t>10.1177/16094069221118993</t>
  </si>
  <si>
    <t>3X2MW</t>
  </si>
  <si>
    <t>WOS:000842877100001</t>
  </si>
  <si>
    <t>Roll, U; Correia, RA; Berger-Tal, O</t>
  </si>
  <si>
    <t>Roll, Uri; Correia, Ricardo A.; Berger-Tal, Oded</t>
  </si>
  <si>
    <t>Using machine learning to disentangle homonyms in large text corpora</t>
  </si>
  <si>
    <t>CONSERVATION BIOLOGY</t>
  </si>
  <si>
    <t>automated content analysis; big data; homographs; neural networks; reintroductions; systematic reviews; text mining</t>
  </si>
  <si>
    <t>SYSTEMATIC REVIEWS; CONSERVATION; IDENTIFICATION; MANAGEMENT</t>
  </si>
  <si>
    <t>Systematic reviews are an increasingly popular decision-making tool that provides an unbiased summary of evidence to support conservation action. These reviews bridge the gap between researchers and managers by presenting a comprehensive overview of all studies relating to a particular topic and identify specifically where and under which conditions an effect is present. However, several technical challenges can severely hinder the feasibility and applicability of systematic reviews, for example, homonyms (terms that share spelling but differ in meaning). Homonyms add noise to search results and cannot be easily identified or removed. We developed a semiautomated approach that can aid in the classification of homonyms among narratives. We used a combination of automated content analysis and artificial neural networks to quickly and accurately sift through large corpora of academic texts and classify them to distinct topics. As an example, we explored the use of the word reintroduction in academic texts. Reintroduction is used within the conservation context to indicate the release of organisms to their former native habitat; however, a Web of Science search for this word returned thousands of publications in which the term has other meanings and contexts. Using our method, we automatically classified a sample of 3000 of these publications with over 99% accuracy, relative to a manual classification. Our approach can be used easily with other homonyms and can greatly facilitate systematic reviews or similar work in which homonyms hinder the harnessing of large text corpora. Beyond homonyms we see great promise in combining automated content analysis and machine-learning methods to handle and screen big data for relevant information in conservation science.</t>
  </si>
  <si>
    <t>[Roll, Uri; Berger-Tal, Oded] Ben Gurion Univ Negev, Jacob Blaustein Inst Desert Res, Mitrani Dept Desert Ecol, IL-8499000 Midreshet Ben Gurion, Israel; [Roll, Uri; Correia, Ricardo A.] Univ Oxford, Sch Geog &amp; Environm, Oxford OX1 3QY, England; [Correia, Ricardo A.] Univ Fed Alagoas, Inst Biol Sci &amp; Hlth, Campus AC Simoes,Ave Lourival Melo Mota S-N, Maceio, AL, Brazil; [Correia, Ricardo A.] Univ Aveiro, DBIO, Aveiro, Portugal; [Correia, Ricardo A.] Univ Aveiro, CESAM Ctr Environm &amp; Marine Studies, Aveiro, Portugal</t>
  </si>
  <si>
    <t>Ben Gurion University; University of Oxford; Universidade Federal de Alagoas; Universidade de Aveiro; Universidade de Aveiro</t>
  </si>
  <si>
    <t>Roll, U (corresponding author), Ben Gurion Univ Negev, Jacob Blaustein Inst Desert Res, Mitrani Dept Desert Ecol, IL-8499000 Midreshet Ben Gurion, Israel.;Roll, U (corresponding author), Univ Oxford, Sch Geog &amp; Environm, Oxford OX1 3QY, England.</t>
  </si>
  <si>
    <t>uri.roll@gmail.com</t>
  </si>
  <si>
    <t>Lobo, Diele/I-9106-2012; Roll, Uri/AAE-7137-2019; Correia, Ricardo A./G-9427-2016; Berger-Tal, Oded/P-9189-2014; Berger-Tal, Oded/P-1670-2019</t>
  </si>
  <si>
    <t>Roll, Uri/0000-0002-5418-1164; Correia, Ricardo A./0000-0001-7359-9091; Berger-Tal, Oded/0000-0002-7396-456X; Berger-Tal, Oded/0000-0002-7396-456X</t>
  </si>
  <si>
    <t>Kreitman Post-Doctoral Fellowship at the Ben-Gurion University of the Negev; Shamir fellowship of the Israeli Ministry of Science and Technology; Fundacao para a Ciencia e Tecnologia [SFRH/BPD/118635/2016]</t>
  </si>
  <si>
    <t>Kreitman Post-Doctoral Fellowship at the Ben-Gurion University of the Negev; Shamir fellowship of the Israeli Ministry of Science and Technology; Fundacao para a Ciencia e Tecnologia(Portuguese Foundation for Science and TechnologyEuropean Commission)</t>
  </si>
  <si>
    <t>U.R. is supported by the Kreitman Post-Doctoral Fellowship at the Ben-Gurion University of the Negev and the Shamir fellowship of the Israeli Ministry of Science and Technology. R.A.C. is supported by a post-doctoral grant from Fundacao para a Ciencia e Tecnologia (SFRH/BPD/118635/2016). This is publication number 951 of the Mitrani Department of Desert Ecology at the Ben-Gurion University of the Negev.</t>
  </si>
  <si>
    <t>0888-8892</t>
  </si>
  <si>
    <t>1523-1739</t>
  </si>
  <si>
    <t>CONSERV BIOL</t>
  </si>
  <si>
    <t>Conserv. Biol.</t>
  </si>
  <si>
    <t>10.1111/cobi.13044</t>
  </si>
  <si>
    <t>Biodiversity &amp; Conservation; Environmental Sciences &amp; Ecology</t>
  </si>
  <si>
    <t>GH6QV</t>
  </si>
  <si>
    <t>WOS:000433570000021</t>
  </si>
  <si>
    <t>Dutt-Ross, S; Cruz, BDA</t>
  </si>
  <si>
    <t>Dutt-Ross, Steven; Andrade Cruz, Breno de Paula</t>
  </si>
  <si>
    <t>Quantitative Analysis of Texts: Presentation and Operationalization of the Technique via R Interface on Twitter</t>
  </si>
  <si>
    <t>ADMINISTRACAO-ENSINO E PESQUISA</t>
  </si>
  <si>
    <t>Quantitative Text Analysis; Research Technique; Quantitative Research; R Interface; Twitter</t>
  </si>
  <si>
    <t>A Quantitative Text Analysis allows texts to be analyzed in the light of Statistics - a word cloud is an example used to communicate the results of statistics through an image. This text aims to present this technique for data collection and treatment through the R interface by presenting a tutorial. In this way, public data of Unirio's official account is used as a didactic example for presentation as possibilities for data collection and treatment on Twitter. Initially, it discusses Method and Technique in Science in the light of online information and then advances in the R interface entries and outputs, they are: (a) Preparation of the database through Twitter; (b) Frequency Results - word cloud and absolute frequency of terms; (c) Bigrams and trigrams - statistical association of words; (d) Word Correlation Network - word co-occurrence graph; (e) Cluster Analysis - statistical association of words; and (f) Next Word Prediction. This text is relevant to contribute to the training of researchers in Public Administration and Business by presenting a free interface (R) that can be used to generate results or badges for empirical research.</t>
  </si>
  <si>
    <t>[Dutt-Ross, Steven] Univ Fed Fluminense, Prod Engn, Rio De Janeiro, RJ, Brazil; [Andrade Cruz, Breno de Paula] Fundacao Getulio Vargas, Business, Rio De Janeiro, RJ, Brazil</t>
  </si>
  <si>
    <t>Universidade Federal Fluminense; Escola de Pos-Graduacao em Economia (EPGE); Getulio Vargas Foundation</t>
  </si>
  <si>
    <t>Dutt-Ross, S (corresponding author), Univ Fed Fluminense, Prod Engn, Rio De Janeiro, RJ, Brazil.</t>
  </si>
  <si>
    <t>steven.ross@uniriotech.br; brenocruz@gastronoma.ufrj.br</t>
  </si>
  <si>
    <t>ASSOC NAC CURSOS GRADUACAO &amp; ADMINISTRACAO</t>
  </si>
  <si>
    <t>RIO DE JANEIRO</t>
  </si>
  <si>
    <t>AVE PRESIDENTE VARGAS, 590, GRUPO 1004 CENTRO, RIO DE JANEIRO, 20071-000, BRAZIL</t>
  </si>
  <si>
    <t>2177-6083</t>
  </si>
  <si>
    <t>2358-0917</t>
  </si>
  <si>
    <t>ADMINISTRACAO</t>
  </si>
  <si>
    <t>Administracao</t>
  </si>
  <si>
    <t>JAN-APR</t>
  </si>
  <si>
    <t>10.13058/raep.2021.v22n1.1859</t>
  </si>
  <si>
    <t>SE8YN</t>
  </si>
  <si>
    <t>WOS:000652354900007</t>
  </si>
  <si>
    <t>Kamijo, T; Huang, GW</t>
  </si>
  <si>
    <t>Kamijo, Tetsuya; Huang, Guangwei</t>
  </si>
  <si>
    <t>Enhancing the discussion of alternatives in EIA using principle component analysis leads to improved public involvement</t>
  </si>
  <si>
    <t>ENVIRONMENTAL IMPACT ASSESSMENT REVIEW</t>
  </si>
  <si>
    <t>Alternatives analysis; Public involvement; Principle component analysis; Quantitative text analysis; Multiple criteria analysis</t>
  </si>
  <si>
    <t>ENVIRONMENTAL-IMPACT ASSESSMENT; SITE SELECTION; MULTICRITERIA ASSESSMENT; SUSTAINABLE DEVELOPMENT; REPORT QUALITY; PARTICIPATION; SYSTEM; PERFORMANCE; STATEMENTS; MANAGEMENT</t>
  </si>
  <si>
    <t>The purpose of this study is to show the effectiveness of principle component analysis (PCA) as a method of alternatives analysis useful for improving the discussion of alternatives and public involvement. This study examined public consultations by applying quantitative text analysis (QTA) to the minutes of meetings and showed a positive correlation between the discussion of alternatives and the sense of public involvement. The discussion of alternatives may improve public involvement. A table of multiple criteria analysis for alternatives with detailed scores may exclude the public from involvement due to the general public's limited capacity to understand the mathematical algorithm and to process too much information. PCA allowed for the reduction of multiple criteria down to a small number of uncorrelated variables (principle components), a display of the merits and demerits of the alternatives, and potentially made the identification of preferable alternatives by the stakeholders easier. PCA is likely to enhance the discussion of alternatives and as a result, lead to improved public involvement.</t>
  </si>
  <si>
    <t>[Kamijo, Tetsuya] Japan Int Cooperat Agcy, JICA Res Inst, Tokyo, Japan; [Huang, Guangwei] Sophia Univ, Grad Sch Global Environm Studies, Tokyo, Japan</t>
  </si>
  <si>
    <t>Sophia University</t>
  </si>
  <si>
    <t>Kamijo, T (corresponding author), 10-5 Ichigaya Honmuracho,Shinjuku Ku, Tokyo 1628433, Japan.</t>
  </si>
  <si>
    <t>0195-9255</t>
  </si>
  <si>
    <t>1873-6432</t>
  </si>
  <si>
    <t>ENVIRON IMPACT ASSES</t>
  </si>
  <si>
    <t>Environ. Impact Assess. Rev.</t>
  </si>
  <si>
    <t>10.1016/j.eiar.2017.04.009</t>
  </si>
  <si>
    <t>EX8PV</t>
  </si>
  <si>
    <t>WOS:000403513600007</t>
  </si>
  <si>
    <t>Shatkay, H; Brady, S; Wong, A</t>
  </si>
  <si>
    <t>Shatkay, Hagit; Brady, Scott; Wong, Andrew</t>
  </si>
  <si>
    <t>Text as data: Using text-based features for proteins representation and for computational prediction of their characteristics (vol 74, pg 54, 2015)</t>
  </si>
  <si>
    <t>METHODS</t>
  </si>
  <si>
    <t>Correction</t>
  </si>
  <si>
    <t>[Shatkay, Hagit] Univ Delaware, Dept Comp &amp; Informat Sci, Newark, DE 19716 USA; [Shatkay, Hagit] Univ Delaware, Delaware Biotechnol Inst, Newark, DE 19711 USA; [Brady, Scott] Univ Toronto, Sch Med, 100 Coll St, Toronto, ON M5S 1A8, Canada; [Wong, Andrew] Mt Sinai Hosp, Off Personalized Genom &amp; Innovat Med, Toronto, ON M5G 1X5, Canada; [Shatkay, Hagit; Brady, Scott; Wong, Andrew] Queens Univ, Sch Comp, Computat Biol &amp; Machine Learning Lab, Kingston, ON K7L 3N6, Canada</t>
  </si>
  <si>
    <t>University of Delaware; University of Delaware; University of Toronto; University of Toronto; University Toronto Affiliates; Sinai Health System Toronto; Queens University - Canada</t>
  </si>
  <si>
    <t>Shatkay, H (corresponding author), Univ Delaware, Dept Comp &amp; Informat Sci, Newark, DE 19716 USA.</t>
  </si>
  <si>
    <t>shatkay@udel.edu</t>
  </si>
  <si>
    <t>NLM NIH HHS [R56 LM011354] Funding Source: Medline; NATIONAL LIBRARY OF MEDICINE [R56LM011354] Funding Source: NIH RePORTER</t>
  </si>
  <si>
    <t>NLM NIH HHS(United States Department of Health &amp; Human ServicesNational Institutes of Health (NIH) - USANIH National Library of Medicine (NLM)); NATIONAL LIBRARY OF MEDICINE(United States Department of Health &amp; Human ServicesNational Institutes of Health (NIH) - USANIH National Library of Medicine (NLM))</t>
  </si>
  <si>
    <t>ACADEMIC PRESS INC ELSEVIER SCIENCE</t>
  </si>
  <si>
    <t>525 B ST, STE 1900, SAN DIEGO, CA 92101-4495 USA</t>
  </si>
  <si>
    <t>1046-2023</t>
  </si>
  <si>
    <t>1095-9130</t>
  </si>
  <si>
    <t>Methods</t>
  </si>
  <si>
    <t>JUL 15</t>
  </si>
  <si>
    <t>10.1016/j.ymeth.2016.06.011</t>
  </si>
  <si>
    <t>Biochemistry &amp; Molecular Biology</t>
  </si>
  <si>
    <t>DS0PN</t>
  </si>
  <si>
    <t>WOS:000380299300027</t>
  </si>
  <si>
    <t>Westphal, A; Zawacki-Richter, O</t>
  </si>
  <si>
    <t>Westphal, Andrea; Zawacki-Richter, Olaf</t>
  </si>
  <si>
    <t>From general pedagogy to empirical educational research? An analysis of contributions to the journal Zeitschrift fur Erziehungswissenschaft</t>
  </si>
  <si>
    <t>ZEITSCHRIFT FUR ERZIEHUNGSWISSENSCHAFT</t>
  </si>
  <si>
    <t>Content analysis; Journal analysis; Quantitative text analysis; Science studies</t>
  </si>
  <si>
    <t>TEACHERS; THEMES</t>
  </si>
  <si>
    <t>The present study examines articles published in Zeitschrift fur Erziehungswissenschaft (ZfE-Journal of Educational Sciences) between 1998 and 2017, to discover whether the thematic focus of the articles it published during this period changed over time. To do this, we scrutinized articles in four consecutive five-year periods: 1998-2002, 2003-2007, 2008-2012, 2013-2017. Using the titles and abstracts of 821 articles published between 1998 and 2017, we conducted a quantitative text analysis and identified the most frequent and most characteristic bigrams that emerged during these periods. In addition, we looked at whether specific word stems (e.g., erziehungswissenschaft, bildungsforsch, didakt) began to occur more frequently over the two decades under study. Finally, we used the text mining tool Leximancer (TM) to construct concept maps that point to the semantic structure of the topics and key concepts in the analyzed articles. The results indicate that, over the course of this twenty-year period, the ZfE predominantly published empirical articles with a focus on the social aspects of education, but that its focus on research into general pedagogy decreased in frequency.</t>
  </si>
  <si>
    <t>[Westphal, Andrea] Univ Potsdam, Empir Unterrichts &amp; Intervent Forsch, Karl Liebknecht Str 24-25, D-14476 Potsdam, Germany; [Zawacki-Richter, Olaf] Carl von Ossietzky Univ Oldenburg, Inst Padag, Ctr Lebenslanges Lernen C3L, Ammerlander Heerstr 138, D-26129 Oldenburg, Germany</t>
  </si>
  <si>
    <t>University of Potsdam; Carl von Ossietzky Universitat Oldenburg</t>
  </si>
  <si>
    <t>Westphal, A (corresponding author), Univ Potsdam, Empir Unterrichts &amp; Intervent Forsch, Karl Liebknecht Str 24-25, D-14476 Potsdam, Germany.</t>
  </si>
  <si>
    <t>andrea.westphal@uni-potsdam.de; olaf.zawacki.richter@uni-oldenburg.de</t>
  </si>
  <si>
    <t>Zawacki-Richter, Olaf/ABD-6386-2021</t>
  </si>
  <si>
    <t>Open Access funding enabled and organized by Projekt DEAL.</t>
  </si>
  <si>
    <t>1434-663X</t>
  </si>
  <si>
    <t>1862-5215</t>
  </si>
  <si>
    <t>Z ERZIEHWISS</t>
  </si>
  <si>
    <t>Z. Erziehwiss.</t>
  </si>
  <si>
    <t>10.1007/s11618-021-01008-5</t>
  </si>
  <si>
    <t>Education &amp; Educational Research</t>
  </si>
  <si>
    <t>TR0QQ</t>
  </si>
  <si>
    <t>WOS:000635068100001</t>
  </si>
  <si>
    <t>Watanabe, K; Segev, E; Tago, A</t>
  </si>
  <si>
    <t>Watanabe, Kohei; Segev, Elad; Tago, Atsushi</t>
  </si>
  <si>
    <t>Discursive diversion: Manipulation of nuclear threats by the conservative leaders in Japan and Israel</t>
  </si>
  <si>
    <t>INTERNATIONAL COMMUNICATION GAZETTE</t>
  </si>
  <si>
    <t>diversionary wars; international news; nuclear threat; quantitative text analysis</t>
  </si>
  <si>
    <t>PUBLIC-OPINION; NEWS COVERAGE; FOREIGN-NEWS; MEDIA; PRESS; FORCE</t>
  </si>
  <si>
    <t>We study how leaders of parliamentary democracies attempt to trigger the rally-around-the-flag effect through the mass media. We have collected news articles on North Korea and Iran published by liberal and conservative newspapers in Japan and Israel from 2009 to 2018 and analysed them in terms of their emphasis on threats, employing semi-supervised quantitative text analysis techniques. We find that both Japanese and Israeli conservative newspapers overemphasised nuclear threats before important political events (enactment of Japan's National Security Laws and Israel's 2014 General Election). We argue that leaders of countries that lack opportunities or capabilities often attempt to manipulate perceived threats through the mass media, calling such actions discursive diversion. We explain the similarity between the Japanese and Israeli cases by the following factors. Firstly, the diminishing political gains from the successful economic reforms in the earlier years; Secondly, the increasing opposition in the legislature or competition in the elections; Thirdly, the lack of the countries' ability to solve the security issues unilaterally; Finally, the diplomatic and military relationship with the United States.</t>
  </si>
  <si>
    <t>[Watanabe, Kohei; Tago, Atsushi] Waseda Univ, Tokyo, Japan; [Segev, Elad] Tel Aviv Univ, Tel Aviv, Israel; [Tago, Atsushi] PRIO Peace Res Inst Oslo, Oslo, Norway</t>
  </si>
  <si>
    <t>Waseda University; Tel Aviv University</t>
  </si>
  <si>
    <t>Watanabe, K (corresponding author), Waseda Univ, Tokyo, Japan.</t>
  </si>
  <si>
    <t>watanabe.kohei@gmail.com</t>
  </si>
  <si>
    <t>Watanabe, Kohei/0000-0001-6519-5265</t>
  </si>
  <si>
    <t>Japan Society for the Promotion of Science [JP19H01450]</t>
  </si>
  <si>
    <t>Japan Society for the Promotion of Science(Ministry of Education, Culture, Sports, Science and Technology, Japan (MEXT)Japan Society for the Promotion of Science)</t>
  </si>
  <si>
    <t>The author(s) disclosed receipt of the following financial support for the research, authorship, and/or publication of this article: This work was supported by the Japan Society for the Promotion of Science, (grant number JP19H01450).</t>
  </si>
  <si>
    <t>1748-0485</t>
  </si>
  <si>
    <t>1748-0493</t>
  </si>
  <si>
    <t>INT COMMUN GAZ</t>
  </si>
  <si>
    <t>Int. Commun. Gaz.</t>
  </si>
  <si>
    <t>7-8</t>
  </si>
  <si>
    <t>10.1177/17480485221097967</t>
  </si>
  <si>
    <t>5W9CX</t>
  </si>
  <si>
    <t>WOS:000808555600001</t>
  </si>
  <si>
    <t>Dugoua, E; Dumas, M; Noailly, J</t>
  </si>
  <si>
    <t>Dugoua, Eugenie; Dumas, Marion; Noailly, Joelle</t>
  </si>
  <si>
    <t>Text as Data in Environmental Economics and Policy</t>
  </si>
  <si>
    <t>REVIEW OF ENVIRONMENTAL ECONOMICS AND POLICY</t>
  </si>
  <si>
    <t>Q50; C89</t>
  </si>
  <si>
    <t>There is growing interest in using text as data in social science research, particularly in economics. The availability of large amounts of digitized text material such as social media posts, newspapers, firms' annual reports, and patents, combined with new computer techniques, makes it increasingly possible for researchers to use this type of information. The aim of this article is to discuss the potential of these techniques for the field of environmental economics and policy.</t>
  </si>
  <si>
    <t>[Dugoua, Eugenie] London Sch Econ, Dept Geog &amp; Environm, London, England; [Dumas, Marion] London Sch Econ, Grantham Res Inst, London, England; [Noailly, Joelle] Vrije Univ Amsterdam, Geneva Grad Inst, Amsterdam, Netherlands; [Noailly, Joelle] Tinbergen Inst, Amsterdam, Netherlands</t>
  </si>
  <si>
    <t>University of London; London School Economics &amp; Political Science; University of London; London School Economics &amp; Political Science; Vrije Universiteit Amsterdam; Tinbergen Institute</t>
  </si>
  <si>
    <t>Noailly, J (corresponding author), Vrije Univ Amsterdam, Geneva Grad Inst, Amsterdam, Netherlands.;Noailly, J (corresponding author), Tinbergen Inst, Amsterdam, Netherlands.</t>
  </si>
  <si>
    <t>joelle.noailly@graduateinstitute.ch</t>
  </si>
  <si>
    <t>Noailly, Joelle/0000-0002-9053-0958</t>
  </si>
  <si>
    <t>1750-6816</t>
  </si>
  <si>
    <t>1750-6824</t>
  </si>
  <si>
    <t>REV ENV ECON POLICY</t>
  </si>
  <si>
    <t>Rev. Env. Econ. Policy</t>
  </si>
  <si>
    <t>JUN 1</t>
  </si>
  <si>
    <t>10.1086/721079</t>
  </si>
  <si>
    <t>Economics; Environmental Studies</t>
  </si>
  <si>
    <t>Business &amp; Economics; Environmental Sciences &amp; Ecology</t>
  </si>
  <si>
    <t>4N0MS</t>
  </si>
  <si>
    <t>WOS:000853712600010</t>
  </si>
  <si>
    <t>Gunther, E; Domahidi, E</t>
  </si>
  <si>
    <t>Guenther, Elisabeth; Domahidi, Emese</t>
  </si>
  <si>
    <t>What Communication Scholars Write About: An Analysis of 80 Years of Research in High-Impact Journals</t>
  </si>
  <si>
    <t>research topics; high-impact academic journals; quantitative analysis; automated content analysis; computational methods; topic modeling; Internet; social media</t>
  </si>
  <si>
    <t>INTERNET; MEDIA; SCIENCE; CITATIONS; LANDSCAPE; HISTORY; FUTURE; ONLINE; STATE</t>
  </si>
  <si>
    <t>Research topics, as indicators of the profession's development, are central to the evaluation of academic practices in communication research. To investigate the main topics in our field, we trace the development of research topics since the 1930s by evaluating more than 15,000 articles from 19 academic journals based on an automated content analysis. Topic modeling reveals a high diversity from the early years on. Only a few journals show the tendency to focus on one topic only, whereas most outlets cover a broad variety and thus represent the field as a whole. Although our discipline is strongly interconnected with the changing media landscape, results show that communication research is characterized by high consistency. Although they have not provoked a revolutionary change, Internet and social media have become the most monitored media, parallel to-not displacing-classic media such as newspapers and TV.</t>
  </si>
  <si>
    <t>[Guenther, Elisabeth] Univ Munster, Munster, Germany; [Domahidi, Emese] Leibniz Inst Wissensmedien, Tubingen, Germany</t>
  </si>
  <si>
    <t>University of Munster; Leibniz Institut fur Wissensmedien</t>
  </si>
  <si>
    <t>Gunther, E (corresponding author), Univ Munster, Munster, Germany.</t>
  </si>
  <si>
    <t>elisabeth.guenther@uni-muenster.de; e.domahidi@iwm-tuebingen.de</t>
  </si>
  <si>
    <t>FH4CD</t>
  </si>
  <si>
    <t>WOS:000411096600011</t>
  </si>
  <si>
    <t>Izumi, MY; Medeiros, DB</t>
  </si>
  <si>
    <t>Izumi, Mauricio Y.; Medeiros, Danilo B.</t>
  </si>
  <si>
    <t>Government and Opposition in Legislative Speechmaking: Using Text-As-Data to Estimate Brazilian Political Parties' Policy Positions (Feb, 10.1017/lap.2020.36, 2022)</t>
  </si>
  <si>
    <t>LATIN AMERICAN POLITICS AND SOCIETY</t>
  </si>
  <si>
    <t>Medeiros, Danilo Buscatto/ACJ-9747-2022</t>
  </si>
  <si>
    <t>Medeiros, Danilo Buscatto/0000-0003-1642-5444</t>
  </si>
  <si>
    <t>1531-426X</t>
  </si>
  <si>
    <t>1548-2456</t>
  </si>
  <si>
    <t>LAT AM POLIT SOC</t>
  </si>
  <si>
    <t>Latin Amer. Polit. Soc.</t>
  </si>
  <si>
    <t>10.1017/lap.2021.66</t>
  </si>
  <si>
    <t>Area Studies; International Relations; Political Science</t>
  </si>
  <si>
    <t>ZD5RH</t>
  </si>
  <si>
    <t>WOS:000750643300001</t>
  </si>
  <si>
    <t>Young, MD; Hermann, MG</t>
  </si>
  <si>
    <t>Young, Michael D.; Hermann, Margaret G.</t>
  </si>
  <si>
    <t>Increased Complexity Has Its Benefits</t>
  </si>
  <si>
    <t>integrative complexity; conceptual complexity; automated content analysis</t>
  </si>
  <si>
    <t>This piece is a response to the Conway, Conway, Gornick, and Houck (2014) description of an automated method for assessing integrative complexity. It builds on the authors' 15 years of experience in automating a variety of textual analysis coding schemes including that measuring conceptual complexity and is intended to address some of the issues raised in the process of automating content analysis categories.</t>
  </si>
  <si>
    <t>[Hermann, Margaret G.] Syracuse Univ, Syracuse, NY 13244 USA</t>
  </si>
  <si>
    <t>Syracuse University</t>
  </si>
  <si>
    <t>1467-9221</t>
  </si>
  <si>
    <t>10.1111/pops.12208</t>
  </si>
  <si>
    <t>AQ2PG</t>
  </si>
  <si>
    <t>WOS:000342628900004</t>
  </si>
  <si>
    <t>Coffey, DJ</t>
  </si>
  <si>
    <t>Coffey, Daniel J.</t>
  </si>
  <si>
    <t>More than a Dime's Worth: Using State Party Platforms to Assess the Degree of American Party Polarization</t>
  </si>
  <si>
    <t>ROBUST TRANSFORMATION PROCEDURE; INTERPRETING POLITICAL TEXT; POLICY POSITIONS; REPUBLICANS; DEMOCRATS; WORDS</t>
  </si>
  <si>
    <t>How polarized are American political parties? Recently, Kidd used an automated content analysis program to demonstrate that American party platforms reveal only minor policy differences. In contrast to his conclusions, this analysis produces three main findings. First, at the state level, state party platforms reveal considerable ideological differences between the parties. Second, differences in state public opinion do not account for these differences; rather, they are more closely correlated with activist opinions and increases in state party competition. Finally, the conflict is not simply ideological but applies to specific issues in the platforms. As such, American state parties are highly polarized on different measures. Automated content analysis programs clearly represent an important methodological advance in coding political texts, but the results here call attention to the importance of policy and agenda content in party platforms. Moreover, studies of American politics, particularly research focusing on parties and ideological polarization, need to take into account the diversity of agendas that is inherent in a federal party system.</t>
  </si>
  <si>
    <t>Univ Akron, Akron, OH 44325 USA</t>
  </si>
  <si>
    <t>University System of Ohio; University of Akron</t>
  </si>
  <si>
    <t>Coffey, DJ (corresponding author), Univ Akron, Akron, OH 44325 USA.</t>
  </si>
  <si>
    <t>dcoffey@uakron.edu</t>
  </si>
  <si>
    <t>10.1017/S1049096511000187</t>
  </si>
  <si>
    <t>753TT</t>
  </si>
  <si>
    <t>WOS:000289803300020</t>
  </si>
  <si>
    <t>Hollibaugh, GE</t>
  </si>
  <si>
    <t>Hollibaugh, Gary E., Jr.</t>
  </si>
  <si>
    <t>The Use of Text as Data Methods in Public Administration: A Review and an Application to Agency Priorities</t>
  </si>
  <si>
    <t>JOURNAL OF PUBLIC ADMINISTRATION RESEARCH AND THEORY</t>
  </si>
  <si>
    <t>MODELS</t>
  </si>
  <si>
    <t>Due to the large amounts of text generated by government agencies and policymakers, computer-assisted text-as-data methods are starting to become more popular for scholars of public administration, public policy, and political science, as they allow for much faster processing of large amounts of textual data. Here, I review several of the more common text-as-data methods and provide an overview of their applicability to different data structures and substantive questions in public administration. Then, using thousands of documents issued by the Centers for Medicare &amp; Medicaid Services and its predecessor agency-the Health Care Financing Administration-I showcase the utility of topic models by illustrating how they can be used in conjunction with other politically relevant covariates to help explain changes in agency priorities. I then conclude by discussing other possible uses for computational text analysis methods in public administration.</t>
  </si>
  <si>
    <t>[Hollibaugh, Gary E., Jr.] Univ Pittsburgh, Grad Sch Publ &amp; Int Affairs, Pittsburgh, PA 15260 USA</t>
  </si>
  <si>
    <t>Pennsylvania Commonwealth System of Higher Education (PCSHE); University of Pittsburgh</t>
  </si>
  <si>
    <t>Hollibaugh, GE (corresponding author), Univ Pittsburgh, Grad Sch Publ &amp; Int Affairs, Pittsburgh, PA 15260 USA.</t>
  </si>
  <si>
    <t>gary.hollibaugh@pitt.edu</t>
  </si>
  <si>
    <t>Hollibaugh, Gary E./F-3398-2014</t>
  </si>
  <si>
    <t>Hollibaugh, Gary E./0000-0001-9844-2437</t>
  </si>
  <si>
    <t>1053-1858</t>
  </si>
  <si>
    <t>1477-9803</t>
  </si>
  <si>
    <t>J PUBL ADM RES THEOR</t>
  </si>
  <si>
    <t>J. Publ. Adm. Res. Theory</t>
  </si>
  <si>
    <t>10.1093/jopart/muy045</t>
  </si>
  <si>
    <t>JH8WN</t>
  </si>
  <si>
    <t>WOS:000493048900007</t>
  </si>
  <si>
    <t>Boumans, JW; Trilling, D</t>
  </si>
  <si>
    <t>Boumans, Jelle W.; Trilling, Damian</t>
  </si>
  <si>
    <t>TAKING STOCK OF THE TOOLKIT An overview of relevant automated content analysis approaches and techniques for digital journalism scholars</t>
  </si>
  <si>
    <t>automated content analysis; computational social science; digital data; journalism studies; review</t>
  </si>
  <si>
    <t>SENTIMENT ANALYSIS; NEWS; TEXT; MEDIA; FRAMES; NETWORKS; PROMISE; TOPICS; AGE</t>
  </si>
  <si>
    <t>When analyzing digital journalism content, journalism scholars are confronted with a number of substantial differences compared to traditional journalistic content. The sheer amount of data and the unique features of digital content call for the application of valuable new techniques. Various other scholarly fields are already applying computational methods to study digital journalism data. Often, their research interests are closely related to those of journalism scholars. Despite the advantages that computational methods have over traditional content analysis methods, they are not commonplace in digital journalism studies. To increase awareness of what computational methods have to offer, we take stock of the toolkit and show the ways in which computational methods can aid journalism studies. Distinguishing between dictionary-based approaches, supervised machine learning, and unsupervised machine learning, we present a systematic inventory of recent applications both inside as well as outside journalism studies. We conclude with suggestions for how the application of new techniques can be encouraged.</t>
  </si>
  <si>
    <t>[Boumans, Jelle W.] Univ Amsterdam, Dept Commun Sci Corp Commun, NL-1012 WX Amsterdam, Netherlands; [Trilling, Damian] Univ Amsterdam, Dept Commun Sci Polit Commun, NL-1012 WX Amsterdam, Netherlands</t>
  </si>
  <si>
    <t>Boumans, JW (corresponding author), Univ Amsterdam, Dept Commun Sci Corp Commun, NL-1012 WX Amsterdam, Netherlands.</t>
  </si>
  <si>
    <t>j.w.boumans@uva.nl; d.c.trilling@uva.nl</t>
  </si>
  <si>
    <t>10.1080/21670811.2015.1096598</t>
  </si>
  <si>
    <t>WOS:000387221400003</t>
  </si>
  <si>
    <t>van den Heijkant, L; van Selm, M; Hellsten, I; Vliegenthart, R</t>
  </si>
  <si>
    <t>van den Heijkant, Linda; van Selm, Martine; Hellsten, Iina; Vliegenthart, Rens</t>
  </si>
  <si>
    <t>Intermedia Agenda Setting in a Policy Reform Debate</t>
  </si>
  <si>
    <t>intermedia agenda setting; automated content analysis; time series analysis; traditional news media; social media; policy reform</t>
  </si>
  <si>
    <t>TIME-SERIES ANALYSIS; NEWS MEDIA; RETIREMENT AGE; NEWSPAPERS; ATTENTION; BLOGS; INFORMATION; DYNAMICS; DUTCH; 1ST</t>
  </si>
  <si>
    <t>This study investigates intermedia agenda-setting dynamics between traditional news media and social media in a policy reform debate. Whereas the role of traditional news media in public debates is generally acknowledged, the growth of social media raises questions about its potential power to set the agenda. This study contributes to the intermedia agenda-setting literature by extending the theory to the social media context, aiming to unravel causal relationships between traditional and social media. We use an automated content analysis to examine traditional and social media coverage between 2009 and 2016 of the Dutch policy reform to raise the retirement age. Results of pooled fixed effects time series models show support for a mutual influence between the traditional and social media agendas. By looking at the effects per subissue, monthly level vector autoregression models provide more empirical support for the influence of traditional news media on social media than for the reverse.</t>
  </si>
  <si>
    <t>[van den Heijkant, Linda; van Selm, Martine; Hellsten, Iina; Vliegenthart, Rens] Univ Amsterdam, Amsterdam, Netherlands</t>
  </si>
  <si>
    <t>van den Heijkant, L (corresponding author), Univ Amsterdam, Amsterdam, Netherlands.</t>
  </si>
  <si>
    <t>l.vandenheijkant@uva.nl; m.vanselm@uva.nl; i.r.hellsten@uva.nl; r.vliegenthart@uva.nl</t>
  </si>
  <si>
    <t>van Selm, Martine/AAY-3721-2021</t>
  </si>
  <si>
    <t>van Selm, Martine/0000-0001-9188-4021</t>
  </si>
  <si>
    <t>IJ2ZF</t>
  </si>
  <si>
    <t>WOS:000475772800075</t>
  </si>
  <si>
    <t>Wilkerson, J; Casas, A</t>
  </si>
  <si>
    <t>Annual Review</t>
  </si>
  <si>
    <t>Wilkerson, John; Casas, Andreu</t>
  </si>
  <si>
    <t>Large-Scale Computerized Text Analysis in Political Science: Opportunities and Challenges</t>
  </si>
  <si>
    <t>ANNUAL REVIEW OF POLITICAL SCIENCE, VOL 20</t>
  </si>
  <si>
    <t>text as data; automatic coding; machine learning; computational social sciences</t>
  </si>
  <si>
    <t>TWEET; ISSUE</t>
  </si>
  <si>
    <t>Text has always been an important data source in political science. What has changed in recent years is the feasibility of investigating large amounts of text quantitatively. The internet provides political scientists with more data than their mentors could have imagined, and the research community is providing accessible text analysis software packages, along with training and support. As a result, text-as-data research is becoming mainstream in political science. Scholars are tapping new data sources, they are employing more diverse methods, and they are becoming critical consumers of findings based on those methods. In this article, we first describe the four stages of a typical text-as-data project. We then review recent political science applications and explore one important methodological challenge-topic model instability-in greater detail.</t>
  </si>
  <si>
    <t>[Wilkerson, John; Casas, Andreu] Univ Washington, Dept Polit Sci, Seattle, WA 98195 USA</t>
  </si>
  <si>
    <t>Wilkerson, J (corresponding author), Univ Washington, Dept Polit Sci, Seattle, WA 98195 USA.</t>
  </si>
  <si>
    <t>jwilker@uw.edu</t>
  </si>
  <si>
    <t>1545-1577</t>
  </si>
  <si>
    <t>10.1146/annurev-polisci-052615-025542</t>
  </si>
  <si>
    <t>BH5PD</t>
  </si>
  <si>
    <t>WOS:000401334000028</t>
  </si>
  <si>
    <t>Schlogl, S; Burger, M; Kannan, S; Dietrich, P; Mitrovic, J</t>
  </si>
  <si>
    <t>Schlogl, Stephan; Burger, Moritz; Kannan, Sudharsana; Dietrich, Philip; Mitrovic, Jelena</t>
  </si>
  <si>
    <t>Dissonance from the Perspective of Agonistic Pluralism: A Study of Political Fragmentation on Facebook during the 2016 Austrian Presidential Election</t>
  </si>
  <si>
    <t>Dissonant public spheres; radical democratic theory; political fragmentation; social network analysis; automated content analysis</t>
  </si>
  <si>
    <t>DELIBERATIVE DEMOCRACY; PUBLIC SPHERES; ECHO CHAMBERS; ONLINE; COMMUNICATION; DISCOURSE; RETHINKING; INCIVILITY; INTERNET</t>
  </si>
  <si>
    <t>Contemporary public debates are often characterized by structural and substantial dissonances. This paper is concerned with normative and empirical evaluations of these dissonances and makes contributions on both levels. We argue that agonistic pluralism provides an insightful, yet often dismissed, theoretical perspective on the matter of political fragmentation. On the empirical level, we exemplify these considerations against the backdrop of the 2016 Austrian presidential elections and propose a corresponding measurement approach for political fragmentation. A combined network analysis and automated content analysis of comments on Facebook pages affiliated with political parties results in the following main findings: First, when looking at comments between different parties, fragmentation is at a low level at the beginning of the election campaign but increases over time. Second, degrees of fragmentation vary to a great extent between different parties. Third, offensive speech is one purpose for communication between political groups but not the main one.</t>
  </si>
  <si>
    <t>[Schlogl, Stephan; Burger, Moritz; Dietrich, Philip] Univ Passau, Fac Arts &amp; Humanities, Innstr 33a ZMK105, Passau, Germany; [Kannan, Sudharsana; Mitrovic, Jelena] Univ Passau, Fac Comp Sci &amp; Math, Passau, Germany</t>
  </si>
  <si>
    <t>University of Passau; University of Passau</t>
  </si>
  <si>
    <t>Schlogl, S (corresponding author), Univ Passau, Fac Arts &amp; Humanities, Innstr 33a ZMK105, Passau, Germany.</t>
  </si>
  <si>
    <t>stephan.schloegl@uni-passau.de</t>
  </si>
  <si>
    <t>Mitrovic, Jelena/0000-0003-3220-8749</t>
  </si>
  <si>
    <t>Bundesministerium fur Bildung und Forschung [01|S20049]</t>
  </si>
  <si>
    <t>Bundesministerium fur Bildung und Forschung(Federal Ministry of Education &amp; Research (BMBF))</t>
  </si>
  <si>
    <t>This work was supported by the Bundesministerium fur Bildung und Forschung [01|S20049].</t>
  </si>
  <si>
    <t>10.1080/10584609.2022.2141390</t>
  </si>
  <si>
    <t>5W6WI</t>
  </si>
  <si>
    <t>WOS:000878051900001</t>
  </si>
  <si>
    <t>Roblek, V; Mesko, M; Bach, MP; Thorpe, O; Sprajc, P</t>
  </si>
  <si>
    <t>Roblek, Vasja; Mesko, Maja; Bach, Mirjana Pejic; Thorpe, Oshane; Sprajc, Polona</t>
  </si>
  <si>
    <t>The Interaction between Internet, Sustainable Development, and Emergence of Society 5.0</t>
  </si>
  <si>
    <t>DATA</t>
  </si>
  <si>
    <t>Internet; Society 5.0; sustainable development; automated content analysis</t>
  </si>
  <si>
    <t>BROAD-BAND; E-BUSINESS; E-GOVERNMENT; INFORMATION TECHNOLOGIES; KNOWLEDGE ECONOMY; SOCIAL MEDIA; SMART CITIES; FUTURE; COMMUNICATION; SYSTEMS</t>
  </si>
  <si>
    <t>(1) Background: The importance of this article is to analyze the technological developments in the field of the Internet and Internet technologies and to determine their significance for sustainable development, which will result in the emergence of Society 5.0. (2) The authors used automated content analysis for the analysis of 552 articles published in 306 scientific journals indexed by SCII and/or SCI - EXPANDED (Web of Science (WOS) platform). The goal of the research was to present the relationship between the Internet and sustainable development. (3) Results: The results of the analysis show that the top four most important themes in the selected journals were development, information, data, and business and services. (4) Conclusions: Our research approach emphasizes the importance of the culmination of scientific innovation with the conceptual, technological and contextual frameworks of the Internet and Internet technology usage and its impact on sustainable development and the emergence of the Society 5.0.</t>
  </si>
  <si>
    <t>[Roblek, Vasja] Fac Org Studies Novo Mesto, Novo Mesto 8000, Slovenia; [Mesko, Maja] Univ Primorska, Fac Management, Koper 6000, Slovenia; [Mesko, Maja; Sprajc, Polona] Univ Maribor, Fac Org Sci, Kranj 4000, Slovenia; [Bach, Mirjana Pejic] Univ Zagreb, Fac Econ, Zagreb 10000, Croatia; [Thorpe, Oshane] Amer Univ Emirates, Coll Media &amp; Mass Commun, Dubai 503000, U Arab Emirates</t>
  </si>
  <si>
    <t>University of Primorska; University of Maribor; University of Zagreb; University of Zagreb, School of Dental Medicine</t>
  </si>
  <si>
    <t>Mesko, M (corresponding author), Univ Primorska, Fac Management, Koper 6000, Slovenia.;Mesko, M; Sprajc, P (corresponding author), Univ Maribor, Fac Org Sci, Kranj 4000, Slovenia.</t>
  </si>
  <si>
    <t>vasja.roblek@gmx.com; maja.mesko@fm-kp.si; mpejic@net.efzg.hr; Oshane.thorpe@aue.ae; polona.sprajc@um.si</t>
  </si>
  <si>
    <t>Roblek, Vasja/C-1836-2013; Bach, Mirjana Pejić/E-7313-2012</t>
  </si>
  <si>
    <t>Roblek, Vasja/0000-0003-1182-3400; Bach, Mirjana Pejić/0000-0003-3899-6707; Thorpe, Oshane/0000-0002-3054-7889</t>
  </si>
  <si>
    <t>2306-5729</t>
  </si>
  <si>
    <t>Data</t>
  </si>
  <si>
    <t>10.3390/data5030080</t>
  </si>
  <si>
    <t>Computer Science, Information Systems; Multidisciplinary Sciences</t>
  </si>
  <si>
    <t>Computer Science; Science &amp; Technology - Other Topics</t>
  </si>
  <si>
    <t>OB0WR</t>
  </si>
  <si>
    <t>WOS:000578197600001</t>
  </si>
  <si>
    <t>Kolar, T</t>
  </si>
  <si>
    <t>Kolar, Tomaz</t>
  </si>
  <si>
    <t>Exploring combined tourist offerings: the case of sightrunning</t>
  </si>
  <si>
    <t>sightrunning; combined offerings; hybrid tourists; automated content analysis; sport tourism; cultural tourism; urban tourism</t>
  </si>
  <si>
    <t>CONSUMPTION</t>
  </si>
  <si>
    <t>This study provides preliminary empirical insight into the contemporary tourist phenomenon of sightrunning. This combined offering simultaneously concurs with and evades theoretical perspectives of hybrid tourists, sport tourism, cultural tourism and urban tourism, favouring examination of such phenomena through first-hand experiences of the participants. For the purpose of the empirical study, automated content analysis was applied in order to analyse 858 reviews of sightrunning tours extracted from Tripadvisor web pages. Results reveal that running is the dominant concept, which refers to a gratifying 'way to see and experience the city' (rather than the sights). Additional concepts and themes, such as knowledgeable guides and proper pace, further mediate and effect participant experiences. Findings suggest that sport tourists might be concurrently interested in involving cultural experiences, and this offers some preliminary theoretical and managerial implications. They namely identify the potentially neglected tourist segment, which is of relevance for conceptualization, research and management of tourist offerings and experiences from (and beyond) the perspective of 'running shoes'.</t>
  </si>
  <si>
    <t>[Kolar, Tomaz] Univ Ljubljana, Fac Econ, Kardeljeva Pl 17, Ljubljana 1101, Slovenia; [Kolar, Tomaz] Mahidol Univ, Coll Management, 69 Vipawadee Rangsit Rd, Bangkok 10400, Thailand</t>
  </si>
  <si>
    <t>University of Ljubljana; Mahidol University</t>
  </si>
  <si>
    <t>Kolar, T (corresponding author), Univ Ljubljana, Fac Econ, Kardeljeva Pl 17, Ljubljana 1101, Slovenia.;Kolar, T (corresponding author), Mahidol Univ, Coll Management, 69 Vipawadee Rangsit Rd, Bangkok 10400, Thailand.</t>
  </si>
  <si>
    <t>tomaz.kolar@ef.uni-lj.si</t>
  </si>
  <si>
    <t>FEB 25</t>
  </si>
  <si>
    <t>10.1080/13683500.2017.1318838</t>
  </si>
  <si>
    <t>HG4LX</t>
  </si>
  <si>
    <t>WOS:000454948100002</t>
  </si>
  <si>
    <t>Heberling, JM; Prather, LA; Tonsor, SJ</t>
  </si>
  <si>
    <t>Heberling, J. Mason; Prather, L. Alan; Tonsor, Stephen J.</t>
  </si>
  <si>
    <t>The Changing Uses of Herbarium Data in an Era of Global Change: An Overview Using Automated Content Analysis</t>
  </si>
  <si>
    <t>BIOSCIENCE</t>
  </si>
  <si>
    <t>automated content analysis; biological collections; herbarium; museum; specimen</t>
  </si>
  <si>
    <t>NATURAL-HISTORY COLLECTIONS; BIOLOGICAL COLLECTIONS; MUSEUM COLLECTIONS; DIGITIZATION; SPECIMENS; DECLINE; PLANTS; TOOLS; TIME; DNA</t>
  </si>
  <si>
    <t>Widespread specimen digitization has greatly enhanced the use of herbarium data in scientific research. Publications using herbarium data have increased exponentially over the last century. Here, we review changing uses of herbaria through time with a computational text analysis of 13,702 articles from 1923 to 2017 that quantitatively complements traditional review approaches. Although maintaining its core contribution to taxonomic knowledge, herbarium use has diversified from a few dominant research topics a century ago (e.g., taxonomic notes, botanical history, local observations), with many topics only recently emerging (e.g., biodiversity informatics, global change biology, DNA analyses). Specimens are now appreciated as temporally and spatially extensive sources of genotypic, phenotypic, and biogeographic data. Specimens are increasingly used in ways that influence our ability to steward future biodiversity. As we enter the Anthropocene, herbaria have likewise entered a new era with enhanced scientific, educational, and societal relevance.</t>
  </si>
  <si>
    <t>[Heberling, J. Mason] Carnegie Museum Nat Hist, Bot, Pittsburgh, PA 15213 USA; [Prather, L. Alan] Carnegie Museum Nat Hist, Sci &amp; Res, Pittsburgh, PA 15213 USA; [Tonsor, Stephen J.] Michigan State Univ, MSU Herbarium, E Lansing, MI 48824 USA; [Tonsor, Stephen J.] Michigan State Univ, Dept Plant Biol, E Lansing, MI 48824 USA</t>
  </si>
  <si>
    <t>Michigan State University; Michigan State University</t>
  </si>
  <si>
    <t>Heberling, JM (corresponding author), Carnegie Museum Nat Hist, Bot, Pittsburgh, PA 15213 USA.</t>
  </si>
  <si>
    <t>heberlingm@carnegiemnh.org</t>
  </si>
  <si>
    <t>Heberling, Mason/I-4506-2019</t>
  </si>
  <si>
    <t>Heberling, Mason/0000-0003-0756-5090; Prather, L. Alan/0000-0001-5815-2283</t>
  </si>
  <si>
    <t>U.S. National Science Foundation [DBI-1612079]; Roy A. Hunt Foundation; MSU AgBioResearch</t>
  </si>
  <si>
    <t>U.S. National Science Foundation(National Science Foundation (NSF)); Roy A. Hunt Foundation; MSU AgBioResearch</t>
  </si>
  <si>
    <t>We thank the U.S. National Science Foundation (DBI-1612079), Roy A. Hunt Foundation, and MSU AgBioResearch for support. We are grateful to Scott Weingart and the Digital Humanities (Carnegie Mellon University Libraries) for advice on topic models. Thoughtful comments from the handling editor, Claude Lavoie, and three anonymous reviewers substantially improved earlier versions of this manuscript.</t>
  </si>
  <si>
    <t>0006-3568</t>
  </si>
  <si>
    <t>1525-3244</t>
  </si>
  <si>
    <t>Bioscience</t>
  </si>
  <si>
    <t>10.1093/biosci/biz094</t>
  </si>
  <si>
    <t>Life Sciences &amp; Biomedicine - Other Topics</t>
  </si>
  <si>
    <t>JF2TW</t>
  </si>
  <si>
    <t>WOS:000491239400007</t>
  </si>
  <si>
    <t>Lock, I; Araujo, T</t>
  </si>
  <si>
    <t>Lock, Irina; Araujo, Theo</t>
  </si>
  <si>
    <t>Visualizing the triple bottom line: A large-scale automated visual content analysis of European corporations' website and social media images</t>
  </si>
  <si>
    <t>CORPORATE SOCIAL RESPONSIBILITY AND ENVIRONMENTAL MANAGEMENT</t>
  </si>
  <si>
    <t>automated content analysis; computer vision; corporate social responsibility; social media; sustainability; triple bottom line; Twitter; visuals; websites</t>
  </si>
  <si>
    <t>RESPONSIBILITY; CSR; INFORMATION; STAKEHOLDER; INTERACTIVITY; COMMUNICATION; PERSPECTIVE; DISCLOSURE; STRATEGIES; COMPANIES</t>
  </si>
  <si>
    <t>With the visual turn online, images have become increasingly important for companies to attract stakeholders to their online CSR communication. To investigate in how far businesses' visual sustainability language reflects a balanced triple bottom line, this study compared the most profitable European corporations' websites images (N= 21,841) and visual Twitter posts (N= 3,637) through automated content analysis using computer vision algorithms. The findings of this big data-analysis reveal that European companies overemphasize the financial bottom line on both owned and shared media. The channel matters as firms are more likely to communicate people-, planet-, and profit-related images via social media than their website. Corporations from environmentally sensitive industries tend to highlight the social dimension, though this is where they impact less, and do so more often through their website. Thus, this study confirms the criticism that the business case is dominant in CSR strategies also for visual communication.</t>
  </si>
  <si>
    <t>[Lock, Irina; Araujo, Theo] Univ Amsterdam, Amsterdam Sch Commun Res ASCoR, Nieuwe Achtergracht 166, NL-1018 WV Amsterdam, Netherlands</t>
  </si>
  <si>
    <t>Lock, I (corresponding author), Univ Amsterdam, Amsterdam Sch Commun Res ASCoR, Nieuwe Achtergracht 166, NL-1018 WV Amsterdam, Netherlands.</t>
  </si>
  <si>
    <t>i.j.lock@uva.nl</t>
  </si>
  <si>
    <t>Araujo, Theo/0000-0002-4633-9339</t>
  </si>
  <si>
    <t>1535-3958</t>
  </si>
  <si>
    <t>1535-3966</t>
  </si>
  <si>
    <t>CORP SOC RESP ENV MA</t>
  </si>
  <si>
    <t>Corp. Soc. Responsib. Environ. Manag.</t>
  </si>
  <si>
    <t>10.1002/csr.1988</t>
  </si>
  <si>
    <t>Business; Environmental Studies; Management</t>
  </si>
  <si>
    <t>OQ4AH</t>
  </si>
  <si>
    <t>WOS:000542025700001</t>
  </si>
  <si>
    <t>Huffaker, D</t>
  </si>
  <si>
    <t>Huffaker, David</t>
  </si>
  <si>
    <t>Dimensions of Leadership and Social Influence in Online Communities</t>
  </si>
  <si>
    <t>HUMAN COMMUNICATION RESEARCH</t>
  </si>
  <si>
    <t>COMMUNICATION; TIES</t>
  </si>
  <si>
    <t>The purpose of this article is to examine the communication behaviors of online leaders, or those who influence other members of online communities in triggering message replies, sparking conversation, and diffusing language. It relies on 632,622 messages from 33,450 participants across 16 discussion groups from Google Groups that took place over a 2-year period. It utilizes automated text analysis, social network analysis, and hierarchical linear modeling to uncover the language and social behavior of online leaders. The findings show that online leaders influence others through high communication activity, credibility, network centrality, and the use of affective, assertive, and linguistic diversity in their online messages.</t>
  </si>
  <si>
    <t>Northwestern Univ, Evanston, IL 60208 USA</t>
  </si>
  <si>
    <t>Northwestern University</t>
  </si>
  <si>
    <t>Huffaker, D (corresponding author), Northwestern Univ, Evanston, IL 60208 USA.</t>
  </si>
  <si>
    <t>d-huffaker@northwestern.edu</t>
  </si>
  <si>
    <t>0360-3989</t>
  </si>
  <si>
    <t>1468-2958</t>
  </si>
  <si>
    <t>HUM COMMUN RES</t>
  </si>
  <si>
    <t>Hum. Commun. Res.</t>
  </si>
  <si>
    <t>10.1111/j.1468-2958.2010.01390.x</t>
  </si>
  <si>
    <t>651CX</t>
  </si>
  <si>
    <t>WOS:000281903300006</t>
  </si>
  <si>
    <t>Areni, CS</t>
  </si>
  <si>
    <t>Areni, Charles S.</t>
  </si>
  <si>
    <t>Automated text analyses of YouTube comments as field experiments for assessing consumer sentiment towards products and brands</t>
  </si>
  <si>
    <t>JOURNAL OF PRODUCT AND BRAND MANAGEMENT</t>
  </si>
  <si>
    <t>Social media; Sentiment analysis; Nostalgia; Leximancer; YouTube; User generated content; Automated text analysis; Field experiments; Quasi-experiments; Retro brands</t>
  </si>
  <si>
    <t>USER-GENERATED CONTENT; SOCIAL MEDIA; EXTERNAL VALIDITY; QUASI-EXPERIMENTS; NOSTALGIA; PERSPECTIVE; FACEBOOK; BEHAVIOR; SALES; LIKES</t>
  </si>
  <si>
    <t>Purpose The purpose of this study is to show how non-random groupings of YouTube videos can be combined with automated text analysis (ATA) of user comments to conduct quasi-experiments on consumer sentiment towards different types of brands in a naturalistic setting. Design/methodology/approach NCapture extracted thousands of comments on multiple videos representing different experimental treatments and Leximancer revealed differences in the lexical patterns of user comments for different types of brands. Findings User comments consistently revealed hypothesized relationships between brand types, based on existing theory regarding motivations for nostalgia and the relationship between consumer preferences, online product ratings and purchases. These results demonstrate the viability of conducting quasi-experimental research in naturalistic settings via non-random groupings of YT videos and ATA of user comments. Research limitations/implications This research adopts a single quasi-experimental design: the non-equivalent group, after-only design. However, the same basic approach can be used with other quasi-experimental designs to examine different kinds of research questions. Originality/value Overall, this research points to the potential for ATA of comments on different categories of YT videos as a relatively straightforward approach for conducting field experiments that establish the ecological validity of laboratory findings. The method is easy to use and does not require the participation and cooperation of private, third party social media research companies.</t>
  </si>
  <si>
    <t>[Areni, Charles S.] Uncommon Sense Mkt Res Pty Ltd, Oyster Bay, Australia; [Areni, Charles S.] Univ Wollongong, Wollongong, NSW, Australia</t>
  </si>
  <si>
    <t>University of Wollongong</t>
  </si>
  <si>
    <t>Areni, CS (corresponding author), Uncommon Sense Mkt Res Pty Ltd, Oyster Bay, Australia.;Areni, CS (corresponding author), Univ Wollongong, Wollongong, NSW, Australia.</t>
  </si>
  <si>
    <t>csareni@gmail.com</t>
  </si>
  <si>
    <t>Areni, Charles/ACQ-2051-2022</t>
  </si>
  <si>
    <t>Areni, Charles/0000-0003-4563-3779</t>
  </si>
  <si>
    <t>1061-0421</t>
  </si>
  <si>
    <t>2054-1643</t>
  </si>
  <si>
    <t>J PROD BRAND MANAG</t>
  </si>
  <si>
    <t>J. Prod. Brand Manag.</t>
  </si>
  <si>
    <t>JUN 6</t>
  </si>
  <si>
    <t>10.1108/JPBM-01-2021-3341</t>
  </si>
  <si>
    <t>1U5IX</t>
  </si>
  <si>
    <t>WOS:000703145500001</t>
  </si>
  <si>
    <t>Nowlin, MC</t>
  </si>
  <si>
    <t>Nowlin, Matthew C.</t>
  </si>
  <si>
    <t>Modeling Issue Definitions Using Quantitative Text Analysis</t>
  </si>
  <si>
    <t>POLICY STUDIES JOURNAL</t>
  </si>
  <si>
    <t>issue definitions; policy process; text analysis</t>
  </si>
  <si>
    <t>POLICY; POLITICS; COVERAGE; GRAMMAR</t>
  </si>
  <si>
    <t>Issue definitions, the way policy issues are understood, are an important component for understanding the policymaking process. Research on issue definitions has been divided between a macro level that examines collective issue definitions and a micro level focusing on the ways in which policy actors frame policy issues. This article develops a model of issue definitions that assumes issues are multidimensional, competition exists among policy actors in defining issues, and that collective issue definitions can be understood as the aggregation of individual issue definitions. This model is then estimated using quantitative text analysis. While various approaches to text analysis and categorization have been used by scholars, latent Dirichlet allocation (LDA), a specific type of topic modeling, is used to estimate issue definitions. Using LDA, witness testimony taken from Congressional hearings that occurred from 1975 to 2012 about the issue of used nuclear fuel (UNF) is examined and seven distinct dimensions of the UNF debate are estimated. The construct validity of these dimensions is checked by testing them against two major policy changes that occurred in the UNF domain. I conclude with a discussion of the strengths and weakness of topic modeling, and how this approach could be used to test hypotheses drawn from several of the major policymaking theories.</t>
  </si>
  <si>
    <t>[Nowlin, Matthew C.] Coll Charleston, Dept Polit Sci, Charleston, SC 29424 USA</t>
  </si>
  <si>
    <t>College of Charleston</t>
  </si>
  <si>
    <t>Nowlin, MC (corresponding author), Coll Charleston, Dept Polit Sci, Charleston, SC 29424 USA.</t>
  </si>
  <si>
    <t>0190-292X</t>
  </si>
  <si>
    <t>1541-0072</t>
  </si>
  <si>
    <t>POLICY STUD J</t>
  </si>
  <si>
    <t>Policy Stud. J.</t>
  </si>
  <si>
    <t>10.1111/psj.12110</t>
  </si>
  <si>
    <t>EC7BY</t>
  </si>
  <si>
    <t>WOS:000388292000003</t>
  </si>
  <si>
    <t>Martinez-Rojas, M; Antolin, RM; Salguero-Caparros, F; Rubio-Romero, JC</t>
  </si>
  <si>
    <t>Martinez-Rojas, Maria; Martin Antolin, Ruben; Salguero-Caparros, Francisco; Carlos Rubio-Romero, Juan</t>
  </si>
  <si>
    <t>Management of construction Safety and Health Plans based on automated content analysis</t>
  </si>
  <si>
    <t>AUTOMATION IN CONSTRUCTION</t>
  </si>
  <si>
    <t>Safety and Health Plans; Construction; Automated content analysis; Safety management; KNIME</t>
  </si>
  <si>
    <t>UNDERGROUND CONSTRUCTION; INFORMATION; CLASSIFICATION; SYSTEM; WORKERS; SITES</t>
  </si>
  <si>
    <t>Safety management in the construction sector continues to be of great concern due to the high accident rate. Enormous legislative efforts have been made to minimize this problem. In Europe, the Directive 92/57/EEC, which establishes a mandatory safety and health requirements, defines the Safety and Health Plan. This paper contains a methodology for automatically extracting structured relevant information from this textual document. Such plans are crucial to provide safety in this sector. However, current documents are often enlarged with nonessential information, while the most relevant information is missing or difficult to locate. The information extracted by our methodology makes it easier for Safety and Health Plans to be validated and approved at an early stage, as well as facilitating their later use and updating. The main steps of this methodology are: i) the definition of the relevant content to be extracted as seven items, in collaboration with experts in the area; ii) text preprocessing and enrichment using existing software resources for the natural language employed; and iii) automated content analysis for extracting information, on the basis of a collection of previously established rules for identifying the content defined in the first step. The output is a detailed and structured report containing the percentage of relevant information identified, as well as the desired items of information. To illustrate and validate our methodology, we have implemented and applied it to 50 real Safety and Health Plans. As a result, our system was able to identify most of the required information for five of the seven items in all of these plans. In addition, we have been able to detect the problems in the textual plan that caused the missing information in the other two items, which will be corrected in future developments.</t>
  </si>
  <si>
    <t>[Martinez-Rojas, Maria; Martin Antolin, Ruben; Salguero-Caparros, Francisco; Carlos Rubio-Romero, Juan] Univ Malaga, EI Ind, C Dr Ortiz Ramos S-N Teatinos, Malaga 29071, Spain</t>
  </si>
  <si>
    <t>Universidad de Malaga</t>
  </si>
  <si>
    <t>Martinez-Rojas, M (corresponding author), Univ Malaga, EI Ind, C Dr Ortiz Ramos S-N Teatinos, Malaga 29071, Spain.</t>
  </si>
  <si>
    <t>mmrojas@uma.es; ruben.ma@uma.es; fsalguero@uma.es; juro@uma.es</t>
  </si>
  <si>
    <t>Rojas, Maria Martinez/T-3911-2017</t>
  </si>
  <si>
    <t>Rojas, Maria Martinez/0000-0002-7050-3629; FRANCISCO, SALGUERO-CAPARROS/0000-0002-6261-6893</t>
  </si>
  <si>
    <t>Spanish Ministry of Economy and Competitiveness through the postdoctoral program Juan de la Cierva [FJCI-2015-24093]; project Composite Leading Indicators para la mejora de la resiliencia de la seguridad laboral, en las actividades de diseno y ejecucion de estructuras [BIA2016-79270-P]</t>
  </si>
  <si>
    <t>Spanish Ministry of Economy and Competitiveness through the postdoctoral program Juan de la Cierva; project Composite Leading Indicators para la mejora de la resiliencia de la seguridad laboral, en las actividades de diseno y ejecucion de estructuras</t>
  </si>
  <si>
    <t>This work has been partially supported by the Spanish Ministry of Economy and Competitiveness through the postdoctoral program Juan de la Cierva (FJCI-2015-24093) and the project Composite Leading Indicators para la mejora de la resiliencia de la seguridad laboral, en las actividades de diseno y ejecucion de estructuras (BIA2016-79270-P).</t>
  </si>
  <si>
    <t>0926-5805</t>
  </si>
  <si>
    <t>1872-7891</t>
  </si>
  <si>
    <t>AUTOMAT CONSTR</t>
  </si>
  <si>
    <t>Autom. Constr.</t>
  </si>
  <si>
    <t>10.1016/j.autcon.2020.103362</t>
  </si>
  <si>
    <t>Construction &amp; Building Technology; Engineering, Civil</t>
  </si>
  <si>
    <t>Construction &amp; Building Technology; Engineering</t>
  </si>
  <si>
    <t>OY3ME</t>
  </si>
  <si>
    <t>WOS:000594153000003</t>
  </si>
  <si>
    <t>Kundu, O; James, AD; Rigby, J</t>
  </si>
  <si>
    <t>Kundu, Oishee; James, Andrew D.; Rigby, John</t>
  </si>
  <si>
    <t>Public opinion on megaprojects over time: findings from four megaprojects in the UK</t>
  </si>
  <si>
    <t>PUBLIC MANAGEMENT REVIEW</t>
  </si>
  <si>
    <t>Megaproject; public opinion; sentiment analysis; Anna Karenina</t>
  </si>
  <si>
    <t>PROJECTS; DYNAMICS; MANAGEMENT; PRINCIPLE; SYSTEMS; POLICY</t>
  </si>
  <si>
    <t>Megaprojects, due to their size, scale, and technical complexity are expensive and controversial, and how they proceed over time is a key topic of interest. This paper seeks to identify the issues surrounding changes in public opinion over time and discusses a larger question on whether such knowledge can be generalized across projects. An automated text analysis technique called 'sentiment analysis' has been used to plot trajectories for four UK megaprojects from newspaper articles. The empirical setting includes two military and two (civil) infrastructure projects, allowing the exploration of differences between the two fields as a secondary line of analysis.</t>
  </si>
  <si>
    <t>[Kundu, Oishee; James, Andrew D.; Rigby, John] Univ Manchester, Alliance Manchester Business Sch, Manchester, Lancs, England; [Rigby, John] Bibliometr Ltd, Bolton, England</t>
  </si>
  <si>
    <t>University of Manchester; Alliance Manchester Business School</t>
  </si>
  <si>
    <t>Kundu, O (corresponding author), Univ Manchester, Alliance Manchester Business Sch, Manchester, Lancs, England.</t>
  </si>
  <si>
    <t>oishee.kundu@postgrad.manchester.ac.uk</t>
  </si>
  <si>
    <t>; Rigby, John/I-4304-2013</t>
  </si>
  <si>
    <t>James, Andrew/0000-0002-6915-3975; Kundu, Oishee/0000-0001-9731-2972; Rigby, John/0000-0001-9833-5965</t>
  </si>
  <si>
    <t>Alliance Manchester Business School Doctoral Scholarship (2017), The University of Manchester</t>
  </si>
  <si>
    <t>This work was funded through the Alliance Manchester Business School Doctoral Scholarship (2017), The University of Manchester.</t>
  </si>
  <si>
    <t>1471-9037</t>
  </si>
  <si>
    <t>1471-9045</t>
  </si>
  <si>
    <t>PUBLIC MANAG REV</t>
  </si>
  <si>
    <t>Public Manag. Rev.</t>
  </si>
  <si>
    <t>10.1080/14719037.2021.2003107</t>
  </si>
  <si>
    <t>Management; Public Administration</t>
  </si>
  <si>
    <t>Business &amp; Economics; Public Administration</t>
  </si>
  <si>
    <t>XD5RY</t>
  </si>
  <si>
    <t>WOS:000722767100001</t>
  </si>
  <si>
    <t>Cordell, R; Gleditsch, KS; Kern, FG; Saavedra-Lux, L</t>
  </si>
  <si>
    <t>Cordell, Rebecca; Gleditsch, Kristian Skrede; Kern, Florian G.; Saavedra-Lux, Laura</t>
  </si>
  <si>
    <t>Measuring institutional variation across American Indian constitutions using automated content analysis</t>
  </si>
  <si>
    <t>American Indian and Alaska Native nations; constitutions; content analysis; institutions</t>
  </si>
  <si>
    <t>ECONOMIC-DEVELOPMENT; POSITIONS</t>
  </si>
  <si>
    <t>Effectively measuring variation in institutions over time and across jurisdictions is important for examining how institutional characteristics shape political, social, and economic issues. We present a new dataset of American Indian and Alaska Native (AIAN) constitutions and a new approach for measuring variation in polities using machine learning techniques. Existing data on AIAN institutions have largely been based on costly and time-consuming expert coding and survey approaches, where the end product will become obsolete once institutions change. Our automated content analysis of AIAN constitutional documents allows for more flexible and customizable measurement of the variation, using a larger corpus of data than existing approaches, limited by data collection and coding costs. We consider variation in judicial institutions, previously shown to play a crucial role in AIAN development, and compare our machine coded measures to existing hand coded data for a sample of 97 American Indian constitutions. We show that machine coding replicates expert coded data. Our approach can be easily extended to other topics, including the executive, and shows the potential of automated measures to complement or confirm traditional coding of political institutions.</t>
  </si>
  <si>
    <t>[Cordell, Rebecca] Univ Texas Dallas, Richardson, TX 75083 USA; [Gleditsch, Kristian Skrede; Kern, Florian G.; Saavedra-Lux, Laura] Univ Essex, Colchester, Essex, England</t>
  </si>
  <si>
    <t>University of Texas System; University of Texas Dallas; University of Essex</t>
  </si>
  <si>
    <t>Cordell, R (corresponding author), Univ Texas Dallas, Richardson, TX 75083 USA.</t>
  </si>
  <si>
    <t>Rebecca.Cordell@utdallas.edu</t>
  </si>
  <si>
    <t>Kern, Florian G./GXH-1997-2022; Gleditsch, Kristian Skrede/C-7070-2008</t>
  </si>
  <si>
    <t>Kern, Florian G./0000-0003-4222-4478; Gleditsch, Kristian Skrede/0000-0003-4149-3211; Cordell, Rebecca/0000-0002-3722-2454</t>
  </si>
  <si>
    <t>Gerda Henkel Stiftung [AZ 08/KF/15]; Economic and Social Research Council [ES/L011859/1]; British Academy Newton Fellowship; ESRC [ES/S007156/1] Funding Source: UKRI</t>
  </si>
  <si>
    <t>Gerda Henkel Stiftung; Economic and Social Research Council(UK Research &amp; Innovation (UKRI)Economic &amp; Social Research Council (ESRC)); British Academy Newton Fellowship; ESRC(UK Research &amp; Innovation (UKRI)Economic &amp; Social Research Council (ESRC))</t>
  </si>
  <si>
    <t>This project was funded by Gerda Henkel Stiftung, AZ 08/KF/15. Gleditsch would also like to acknowledge other support for his research on crime and text as data from the Economic and Social Research Council, ES/L011859/1, and a British Academy Newton Fellowship to Mauricio Rivera.</t>
  </si>
  <si>
    <t>10.1177/0022343320959122</t>
  </si>
  <si>
    <t>PD3VL</t>
  </si>
  <si>
    <t>WOS:000597616400010</t>
  </si>
  <si>
    <t>Lind, F; Meltzer, CE</t>
  </si>
  <si>
    <t>Lind, Fabienne; Meltzer, Christine E.</t>
  </si>
  <si>
    <t>Now you see me, now you don't: applying automated content analysis to track migrant women's salience in German news</t>
  </si>
  <si>
    <t>FEMINIST MEDIA STUDIES</t>
  </si>
  <si>
    <t>Migrant women; gender salience; automated content analysis; German news; across media outlets</t>
  </si>
  <si>
    <t>MEDIA; MIGRATION; GENDER</t>
  </si>
  <si>
    <t>Reading media headlines and articles about migration, one quickly gets the impression that the media discourse is focussed on migrant men. To investigate to what extend this perception actually holds true, in this study we examine the visibility of gender in media coverage about migrants. We present a validated keyword-based dictionary that allows for automatic and reliable measurement of migrants' salience (i.e., women, men) in German news coverage. A salience analysis of German migration-related news coverage published between January 2003 and December 2017 is undertaken. We investigate the salience of migrant women in migration news over time, their salience relative to migrant men, as well as across media outlets with different political leanings. We find that migrant women are salient in 12 to 26 per cent of migration-related news articles, whereas migrant men are referred to in almost all migration-related articles. We contextualize these results with actual immigration statistics, discuss the problematic nature of the findings, and weigh the opportunities for and limitations of automatically tracking women migrants in the media against each other.</t>
  </si>
  <si>
    <t>[Lind, Fabienne] Univ Vienna, Dept Commun, Rathausstr 19, A-1010 Vienna, Austria; [Meltzer, Christine E.] Johannes Gutenberg Univ Mainz, Dept Commun, Mainz, Germany</t>
  </si>
  <si>
    <t>University of Vienna; Johannes Gutenberg University of Mainz</t>
  </si>
  <si>
    <t>Lind, F (corresponding author), Univ Vienna, Dept Commun, Rathausstr 19, A-1010 Vienna, Austria.</t>
  </si>
  <si>
    <t>fabienne.lind@univie.ac.at</t>
  </si>
  <si>
    <t>Lind, Fabienne/ABY-3927-2022</t>
  </si>
  <si>
    <t>, Fabienne/0000-0002-4978-9415</t>
  </si>
  <si>
    <t>Horizon 2020 Framework Programme [727072]</t>
  </si>
  <si>
    <t>Horizon 2020 Framework Programme</t>
  </si>
  <si>
    <t>This work was supported by Horizon 2020 Framework Programme [grant number 727072].</t>
  </si>
  <si>
    <t>1468-0777</t>
  </si>
  <si>
    <t>1471-5902</t>
  </si>
  <si>
    <t>FEM MEDIA STUD</t>
  </si>
  <si>
    <t>Fem. Media Stud.</t>
  </si>
  <si>
    <t>AUG 18</t>
  </si>
  <si>
    <t>10.1080/14680777.2020.1713840</t>
  </si>
  <si>
    <t>Communication; Women's Studies</t>
  </si>
  <si>
    <t>WX5GE</t>
  </si>
  <si>
    <t>WOS:000509307200001</t>
  </si>
  <si>
    <t>Wu, VCS</t>
  </si>
  <si>
    <t>Wu, Viviana Chiu Sik</t>
  </si>
  <si>
    <t>Community leadership as multi-dimensional capacities: A conceptual framework and preliminary findings for community foundations</t>
  </si>
  <si>
    <t>NONPROFIT MANAGEMENT &amp; LEADERSHIP</t>
  </si>
  <si>
    <t>annual reports; community foundations; community leadership; semi&amp;#8208; automated content analysis</t>
  </si>
  <si>
    <t>DONOR CONTROL; NONPROFIT; POLICY; PERFORMANCE; STRATEGY; ORGANIZATIONS; MECHANISMS; ENGAGEMENT; EMERGENCE</t>
  </si>
  <si>
    <t>Community foundations are increasingly looked to as community leaders that coalesce money, people, knowledge, and networks for addressing public problems at the local level. However, the field remains difficult to grasp-what it is and how it materializes in practice. Drawing from both academic and practitioner literature, this article proposes a multidimensional conceptual framework that construes community leadership in six capacities ranging from (a) strategizing, (b) convening, (c) knowledge building, (d) capacity building, (e) partnering, to (f) policy engagement. I applied this conceptual framework to analyze 539 annual reports of U.S. community foundations using semi-automated content analysis. The empirical analysis shows that they tend to specialize in one or a few leadership capacities, but not necessarily all six components. In particular, the capability approach to community leadership through capacity building, partnering, and policy engagement is more favorable among community foundations than a participatory approach through convening and knowledge building. This article contributes to building the conceptual foundation and provides preliminary evidence to advance future research on the foundations' role in community leadership.</t>
  </si>
  <si>
    <t>[Wu, Viviana Chiu Sik] Univ Massachusetts, Sch Publ Policy, Thompson Hall,200 Hicks Way, Amherst, MA 01003 USA</t>
  </si>
  <si>
    <t>University of Massachusetts System; University of Massachusetts Amherst</t>
  </si>
  <si>
    <t>Wu, VCS (corresponding author), Univ Massachusetts, Sch Publ Policy, Thompson Hall,200 Hicks Way, Amherst, MA 01003 USA.</t>
  </si>
  <si>
    <t>vivianachius@umass.edu</t>
  </si>
  <si>
    <t>Wu, Viviana Chiu Sik/0000-0001-5692-3224</t>
  </si>
  <si>
    <t>WILEY PERIODICALS, INC</t>
  </si>
  <si>
    <t>SAN FRANCISCO</t>
  </si>
  <si>
    <t>ONE MONTGOMERY ST, SUITE 1200, SAN FRANCISCO, CA 94104 USA</t>
  </si>
  <si>
    <t>1048-6682</t>
  </si>
  <si>
    <t>1542-7854</t>
  </si>
  <si>
    <t>NONPROFIT MANAG LEAD</t>
  </si>
  <si>
    <t>Nonprofit Manag. Leadersh.</t>
  </si>
  <si>
    <t>10.1002/nml.21467</t>
  </si>
  <si>
    <t>UJ8LF</t>
  </si>
  <si>
    <t>WOS:000643142200001</t>
  </si>
  <si>
    <t>Vidmar, D; Marolt, M; Pucihar, A</t>
  </si>
  <si>
    <t>Vidmar, Doroteja; Marolt, Marjeta; Pucihar, Andreja</t>
  </si>
  <si>
    <t>Information Technology for Business Sustainability: A Literature Review with Automated Content Analysis</t>
  </si>
  <si>
    <t>information technology; enterprise; business model; sustainability; business sustainability; sustainable business model; IT; IS; BM; SBM</t>
  </si>
  <si>
    <t>MODEL INNOVATION; SYSTEMS; GREEN; FIELD; TRANSFORMATION; PERSPECTIVE; CREATION; ECONOMY; IMPACT</t>
  </si>
  <si>
    <t>An extremely dynamic and fast-moving environment is pushing enterprises to continuous innovation and change. Managing sustainability in a digitalized environment seems to be of central importance for policy makers, as information technologies (IT), in combination with sustainability objectives, offer a wide range of opportunities for positive change. Through a systematic literature review and the application of automated content analysis, this study aims to provide insights into the latest research in the interdisciplinary field of sustainable business models and information systems. The results of the analysis, combined with a researcher's perspective, suggest that IT, which can be used to achieve sustainability objectives, are already in place and have an infinite number of potential implications in the future. The results suggest that positive economic, social, and environmental changes can be achieved by using IT as long as they are used to identify unsustainable actions and enable positive change. The analysis of research trends revealed a discrepancy between the research in the European Union and the rest of the world and pointed to several avenues for future research.</t>
  </si>
  <si>
    <t>[Vidmar, Doroteja; Marolt, Marjeta; Pucihar, Andreja] Univ Maribor, Fac Org Sci, Kranj 4000, Slovenia</t>
  </si>
  <si>
    <t>University of Maribor</t>
  </si>
  <si>
    <t>Vidmar, D (corresponding author), Univ Maribor, Fac Org Sci, Kranj 4000, Slovenia.</t>
  </si>
  <si>
    <t>doroteja.vidmar@um.si; marjeta.marolt@um.si; andreja.pucihar@um.si</t>
  </si>
  <si>
    <t>Vidmar, Doroteja/0000-0001-9254-589X; Pucihar, Andreja/0000-0001-5750-1939; Marolt, Marjeta/0000-0002-9868-3545</t>
  </si>
  <si>
    <t>Slovenian Research Agency [P5-0018, 1000-20-0552]</t>
  </si>
  <si>
    <t>Slovenian Research Agency(Slovenian Research Agency - Slovenia)</t>
  </si>
  <si>
    <t>This research was supported by the Slovenian Research Agency: Program No. P5-0018Decision Support Systems in Digital Business and postgraduate research funding for Young Researchers No. 1000-20-0552.</t>
  </si>
  <si>
    <t>10.3390/su13031192</t>
  </si>
  <si>
    <t>QD6IA</t>
  </si>
  <si>
    <t>WOS:000615618100001</t>
  </si>
  <si>
    <t>Taks, E; Vohandu, L; Lohk, A; Liiv, I</t>
  </si>
  <si>
    <t>Atkinson, KM</t>
  </si>
  <si>
    <t>Taeks, Ermo; Vohandu, Leo; Lohk, Ahti; Liiv, Innar</t>
  </si>
  <si>
    <t>An experiment to find the deep structure of Estonian legislation</t>
  </si>
  <si>
    <t>LEGAL KNOWLEDGE AND INFORMATION SYSTEMS</t>
  </si>
  <si>
    <t>Frontiers in Artificial Intelligence and Applications</t>
  </si>
  <si>
    <t>24th Annual International Conference on Legal Knowledge and Information Systems (JURIX)</t>
  </si>
  <si>
    <t>DEC 14-16, 2011</t>
  </si>
  <si>
    <t>Univ Vienna, Ctr Legal Informat, Vienna, AUSTRIA</t>
  </si>
  <si>
    <t>Dutch Fdn Legal Knowledge &amp; Informat Syst</t>
  </si>
  <si>
    <t>Univ Vienna, Ctr Legal Informat</t>
  </si>
  <si>
    <t>Legislation structure; quantitative text analysis; legal norms; graph theory; visualization</t>
  </si>
  <si>
    <t>Normative systems evolve over time and, due to several reasons, form huge and complex, yet not very systematic nor consistent collections of legal norms. So far qualitative, thus subjective methods are used to create a structure in legislation. A new, experimental and quantitative approach is presented, that opens a rough structure of Estonian legislation with the help of graph theory and visualization. As a test case, a deep structural analysis, based on a part of Estonian legislation is introduced.</t>
  </si>
  <si>
    <t>[Taeks, Ermo; Vohandu, Leo; Lohk, Ahti; Liiv, Innar] Tallinn Univ Technol, Dept Informat, EE-12618 Tallinn, Estonia</t>
  </si>
  <si>
    <t>Tallinn University of Technology</t>
  </si>
  <si>
    <t>Taks, E (corresponding author), Tallinn Univ Technol, Dept Informat, Raja 15, EE-12618 Tallinn, Estonia.</t>
  </si>
  <si>
    <t>Lohk, Ahti/AAC-2031-2020</t>
  </si>
  <si>
    <t>Liiv, Innar/0000-0001-5236-0145</t>
  </si>
  <si>
    <t>IOS PRESS</t>
  </si>
  <si>
    <t>NIEUWE HEMWEG 6B, 1013 BG AMSTERDAM, NETHERLANDS</t>
  </si>
  <si>
    <t>0922-6389</t>
  </si>
  <si>
    <t>1879-8314</t>
  </si>
  <si>
    <t>978-1-60750-981-3; 978-1-60750-980-6</t>
  </si>
  <si>
    <t>FRONT ARTIF INTEL AP</t>
  </si>
  <si>
    <t>10.3233/978-1-60750-981-3-93</t>
  </si>
  <si>
    <t>Computer Science, Artificial Intelligence; Computer Science, Information Systems; Computer Science, Software Engineering</t>
  </si>
  <si>
    <t>BC0AD</t>
  </si>
  <si>
    <t>WOS:000348845200010</t>
  </si>
  <si>
    <t>Castle, M</t>
  </si>
  <si>
    <t>Castle, Matthew</t>
  </si>
  <si>
    <t>COVID-19, trade policy and agriculture in New Zealand: from 'environmental vandals' to 'economic heroes'?</t>
  </si>
  <si>
    <t>POLITICAL SCIENCE</t>
  </si>
  <si>
    <t>COVID-19; trade policy; international trade; international political economy; preferential trade agreements; policy reform; quantitative text analysis; agriculture</t>
  </si>
  <si>
    <t>POLITICS; SUPPORT; ORIGINS</t>
  </si>
  <si>
    <t>The COVID-19 pandemic has upended global trade. Production patterns have shifted, with widely publicised impacts on supply chains and a stark reduction in the trade in services that involve the movement of people, such as travel and tourism. While the global economy faltered and New Zealand's services trade all but evaporated, the country's agricultural exports remained robust. How has this strong performance in the face of adverse conditions shaped the public depiction of agricultural producers, who had previously faced a change in government and growing public criticism around agriculture's environmental impact? I expect the export performance of agricultural producers to have resulted in a more positive public depiction. Quantitative text analysis of news media data supports this view. The average sentiment in news media about agriculture has improved over the course of the pandemic. This is not just a product of cheery reporting about export performance: I report a positive trend for articles relating to agriculture and the environment, the very issue that has been most contentious in recent years. COVID-19 has seemed an unexpected boon for agricultural producers, the public depiction of whom has been strengthened on the back of their contributions to New Zealand's export economy.</t>
  </si>
  <si>
    <t>[Castle, Matthew] Victoria Univ Wellington, Polit Sci &amp; Int Relat, Wellington, New Zealand</t>
  </si>
  <si>
    <t>Victoria University Wellington</t>
  </si>
  <si>
    <t>Castle, M (corresponding author), Victoria Univ Wellington, Polit Sci &amp; Int Relat, Wellington, New Zealand.</t>
  </si>
  <si>
    <t>Matthew.castle@vuw.ac.nz</t>
  </si>
  <si>
    <t>Castle, Matthew/0000-0003-2098-883X</t>
  </si>
  <si>
    <t>Victoria University of Wellington [FHSS 223513]</t>
  </si>
  <si>
    <t>Victoria University of Wellington</t>
  </si>
  <si>
    <t>This work was supported by the Victoria University of Wellington [FHSS 223513].</t>
  </si>
  <si>
    <t>0032-3187</t>
  </si>
  <si>
    <t>2041-0611</t>
  </si>
  <si>
    <t>POLIT SCI</t>
  </si>
  <si>
    <t>Polit. Sci.</t>
  </si>
  <si>
    <t>SEP 2</t>
  </si>
  <si>
    <t>10.1080/00323187.2022.2057336</t>
  </si>
  <si>
    <t>0X9JQ</t>
  </si>
  <si>
    <t>WOS:000778921100001</t>
  </si>
  <si>
    <t>Jiang, HQ; Chen, CE</t>
  </si>
  <si>
    <t>Jiang, Haoqiang; Chen, Catherine</t>
  </si>
  <si>
    <t>Data Science Skills and Graduate Certificates: A Quantitative Text Analysis</t>
  </si>
  <si>
    <t>JOURNAL OF COMPUTER INFORMATION SYSTEMS</t>
  </si>
  <si>
    <t>Data-Science job skills; Graduate data-science certificates; Text analysis; Big data; EDISON Data Science Professional Profiles</t>
  </si>
  <si>
    <t>The tremendous amount of data collected from connected devices and social media has created a high demand for new skills to help organizations gain the power of big data. With a shorter completion time, graduate certificates appeared to be a desirable alternative for working professionals to develop these skills. However, it was unclear if graduate certificates met the job market's needs. Quantitative text analysis was used to analyze data science skills in more than 5,000 data science job descriptions and skills taught in 588 required courses in 166 graduate certificates to investigate if skills needed in the industry were taught in these graduate certificates. The results showed that 21% of skills were common across seven job categories. 'Team' was a non-technical skill in high demand, while 'Python' and 'SQL' were the technical skills in high demand. Although Business offered the highest number of certificates, a lower number of data-science skills were taught in these certificates. The findings also suggested that job categories in the EDISON Data Science Professional Profiles could be grouped into two separate profile groups. The findings of this research provide a comprehensive list of skills that are common in a wide range of data science jobs for universities to consider while they develop their data science programs.</t>
  </si>
  <si>
    <t>[Jiang, Haoqiang] Northern Kentucky Univ, Highland Hts, KY USA; [Chen, Catherine] Ball State Univ, Muncie, IN 47306 USA</t>
  </si>
  <si>
    <t>Northern Kentucky University; Ball State University</t>
  </si>
  <si>
    <t>Chen, CE (corresponding author), Ball State Univ, Muncie, IN 47306 USA.</t>
  </si>
  <si>
    <t>cchen@bsu.edu</t>
  </si>
  <si>
    <t>0887-4417</t>
  </si>
  <si>
    <t>2380-2057</t>
  </si>
  <si>
    <t>J COMPUT INFORM SYST</t>
  </si>
  <si>
    <t>J. Comput. Inf. Syst.</t>
  </si>
  <si>
    <t>10.1080/08874417.2020.1852628</t>
  </si>
  <si>
    <t>Computer Science, Information Systems</t>
  </si>
  <si>
    <t>0W9JR</t>
  </si>
  <si>
    <t>WOS:000624738800001</t>
  </si>
  <si>
    <t>Evans, J</t>
  </si>
  <si>
    <t>Evans, James</t>
  </si>
  <si>
    <t>From Text Signals to Simulations: A Review and Complement to Text as Data by Grimmer, Roberts &amp; Stewart (PUP 2022)</t>
  </si>
  <si>
    <t>SOCIOLOGICAL METHODS &amp; RESEARCH</t>
  </si>
  <si>
    <t>Review; Early Access</t>
  </si>
  <si>
    <t>text analysis; machine learning; deep learning; social science methodology; content analysis; data mining; neural networks</t>
  </si>
  <si>
    <t>INFERENCE</t>
  </si>
  <si>
    <t>Text as Data represents a major advance for teaching text analysis in the social sciences, digital humanities and data science by providing an integrated framework for how to conceptualize and deploy natural language processing techniques to enrich descriptive and causal analyses of social life in and from text. Here I review achievements of the book and highlight complementary paths not taken, including discussion of recent computational techniques like transformers, which have come to dominate automated language understanding and are just beginning to find their way into the careful research designs showcased in the book. These new methods not only highlight text as a signal from society, but textual models as simulations of society, which could fuel future advances in causal inference and experimentation. Text as Data's focus on textual discovery, measurement and inference points us toward this new frontier, cautioning us not to ignore, but build upon social scientific interpretation and theory.</t>
  </si>
  <si>
    <t>[Evans, James] Univ Chicago, Sociol, 1126 E 59th St, Chicago, IL 60637 USA</t>
  </si>
  <si>
    <t>University of Chicago</t>
  </si>
  <si>
    <t>Evans, J (corresponding author), Univ Chicago, Sociol, 1126 E 59th St, Chicago, IL 60637 USA.;Evans, J (corresponding author), Santa Fe Inst, 1399 Hyde Pk Rd, Santa Fe, NM 87501 USA.</t>
  </si>
  <si>
    <t>jevans@uchicago.edu</t>
  </si>
  <si>
    <t>Evans, James/0000-0001-9838-0707</t>
  </si>
  <si>
    <t>0049-1241</t>
  </si>
  <si>
    <t>1552-8294</t>
  </si>
  <si>
    <t>SOCIOL METHOD RES</t>
  </si>
  <si>
    <t>Sociol. Methods. Res.</t>
  </si>
  <si>
    <t>10.1177/00491241221123086</t>
  </si>
  <si>
    <t>4E0XC</t>
  </si>
  <si>
    <t>WOS:000847557000001</t>
  </si>
  <si>
    <t>Wu, JZ; Bi, YS</t>
  </si>
  <si>
    <t>Yu, L; Zhang, G; Wang, S</t>
  </si>
  <si>
    <t>Wu, Jianzu; Bi, Yusheng</t>
  </si>
  <si>
    <t>Top Management Team Attention and International Strategy: A Case Study</t>
  </si>
  <si>
    <t>2012 FIFTH INTERNATIONAL CONFERENCE ON BUSINESS INTELLIGENCE AND FINANCIAL ENGINEERING (BIFE)</t>
  </si>
  <si>
    <t>5th International Conference on Business Intelligence and Financial Engineering (BIFE)</t>
  </si>
  <si>
    <t>AUG 18-21, 2012</t>
  </si>
  <si>
    <t>Lanzhou, PEOPLES R CHINA</t>
  </si>
  <si>
    <t>Natl Nat Sci Fdn,Chinese Acad Sci (CAS),Chinese Acad Sci (CAS), Acad Math &amp; Syst Sci,City Univ Hong Kong, Coll Business,Beijing Univ Chem Technol, Sch Econ &amp; Management,Chinese Acad Sci (CAS), Ctr Forecasting Sci (CEFS),Chinese Acad Sci (CAS), Key Lab Management, Decis &amp; Informat Syst (MADIS),Changsha Univ Sci &amp; Technol, Sch Econ &amp; Management,Beijing Univ Chem Technol, Ctr Energy Chem Management,Beijing Zhongke Markway Educ Technol Ctr,Syst Engn Soc China,Beijing Operat Res Soc,Int Inst Decis Sci (IIDS),Syst Engn Soc China, Tech Comm Energy Chem Syst Engn,Operat Res Soc China, Tech Comm Decis Sci,Chinese Soc Management Modernizat, Tech Comm Management Sci &amp; Engn,Syst Engn Soc China, Tech Comm Financial Syst Engn,Chinese Soc Management Modernizat, Tech Comm Business Intelligence,Chinese Soc Optimizat, Youth Branch,Overall Planning &amp; Econ Math</t>
  </si>
  <si>
    <t>attention-based view; TMT attention distribution; organic international expansion strategy</t>
  </si>
  <si>
    <t>MODEL</t>
  </si>
  <si>
    <t>In this paper, we investigate how top management team (TMT) attention distribution affects firm's international expansion strategy choice by a case study. With the help of automated text analysis method, we analyze CEO's public speeches and annual reports of Huawei, and measure TMT attention by counting sentences relating to technology seeking, global brand building, and target market positioning, which have important influence on firm's international strategy choice. The results show that firms tend to choose organic international expansion strategy more likely, if TMT allocate more attention to independent research and development, self-brand building and mature market. This study provides a different view on firm's internationalization strategy choice.</t>
  </si>
  <si>
    <t>[Wu, Jianzu; Bi, Yusheng] Lanzhou Univ, Sch Management, Lanzhou 730000, Peoples R China</t>
  </si>
  <si>
    <t>Lanzhou University</t>
  </si>
  <si>
    <t>Wu, JZ (corresponding author), Lanzhou Univ, Sch Management, Lanzhou 730000, Peoples R China.</t>
  </si>
  <si>
    <t>jzwu@lzu.edu.cn</t>
  </si>
  <si>
    <t>Wu, Jianzu/GRJ-7023-2022</t>
  </si>
  <si>
    <t>978-0-7695-4750-3; 978-1-4673-2092-4</t>
  </si>
  <si>
    <t>10.1109/BIFE.2012.135</t>
  </si>
  <si>
    <t>Computer Science, Interdisciplinary Applications</t>
  </si>
  <si>
    <t>BDB75</t>
  </si>
  <si>
    <t>WOS:000312497500134</t>
  </si>
  <si>
    <t>Kuipers, S; Kantorowicz, J; Mostert, J</t>
  </si>
  <si>
    <t>Kuipers, Sanneke; Kantorowicz, Jaroslaw; Mostert, Jan</t>
  </si>
  <si>
    <t>Manual or Machine? A Review of the Crisis and Disaster Literature</t>
  </si>
  <si>
    <t>RISK HAZARDS &amp; CRISIS IN PUBLIC POLICY</t>
  </si>
  <si>
    <t>crisis; disaster; meta literature review; automated text analysis; topic modeling</t>
  </si>
  <si>
    <t>This review aims to map the literature on crisis and disasters by means of a machine-read assessment of the scholarly debate in these domains. The software analyzed abstracts of over 1,000 articles of four related crisis and disaster journals-to find out how the software categorizes their content in a set of topics, what the dominant topics of discussion are, how the topics are distributed over the journals, and what profiles the journals de facto have. The review reflects on the advantages and the limits of machine-read classification and analysis vis-a-vis the manual approach. The conclusion offers an agenda for further research and debate.</t>
  </si>
  <si>
    <t>[Kuipers, Sanneke; Kantorowicz, Jaroslaw; Mostert, Jan] Leiden Univ, Inst Secur &amp; Global Affairs, Leiden, Netherlands; [Kantorowicz, Jaroslaw] Leiden Univ, Dept Econ, Leiden, Netherlands</t>
  </si>
  <si>
    <t>Leiden University; Leiden University - Excl LUMC; Leiden University; Leiden University - Excl LUMC</t>
  </si>
  <si>
    <t>Kuipers, S (corresponding author), Leiden Univ, Inst Secur &amp; Global Affairs, Leiden, Netherlands.</t>
  </si>
  <si>
    <t>Kuipers, Sanneke/0000-0002-0934-5406</t>
  </si>
  <si>
    <t>1944-4079</t>
  </si>
  <si>
    <t>RISK HAZARDS CRISIS</t>
  </si>
  <si>
    <t>Risk Hazards Crisis Public Policy</t>
  </si>
  <si>
    <t>10.1002/rhc3.12181</t>
  </si>
  <si>
    <t>NOV 2019</t>
  </si>
  <si>
    <t>JK6ZW</t>
  </si>
  <si>
    <t>WOS:000494991900001</t>
  </si>
  <si>
    <t>Boritz, JE; Hayes, L; Lim, JH</t>
  </si>
  <si>
    <t>Boritz, J. Efrim; Hayes, Louise; Lim, Jee-Hae</t>
  </si>
  <si>
    <t>A content analysis of auditors' reports on IT internal control weaknesses: The comparative advantages of an automated approach to control weakness identification</t>
  </si>
  <si>
    <t>INTERNATIONAL JOURNAL OF ACCOUNTING INFORMATION SYSTEMS</t>
  </si>
  <si>
    <t>SOX 404; Information technology control weaknesses; Internal control weaknesses; Content analysis</t>
  </si>
  <si>
    <t>QUALITY; MANAGEMENT; SYSTEMS</t>
  </si>
  <si>
    <t>We employ an automated content analysis approach to provide a snapshot of the terminology auditors actually use to describe information technology weaknesses (ITWs). We develop and use a dictionary based on textual analysis of auditors' reports on internal control filed under Section 404 of the Sarbanes-Oxley Act from 2004 to 2009. Using the dictionary with content analysis software led to the identification of 14 categories of ITWs in order of decreasing frequency of occurrence: (1) access, (2) monitoring, (3) design issues, (4) change and development, (5) end-user computing, (6) segregation of incompatible functions, (7) policies, (8) documentation, (9) masterfiles, (10) backup, (11) staffing sufficiency and competency, (12) security (other than over access), (13) outsourcing and (14) operations. The use of automated content analysis methodology also helped us identify potential disconnects between terminology used in auditors' reports and that used in published frameworks and guidelines. We provide the dictionary and discuss the methodology used in creating and applying the dictionary to the analysis of the textual content of auditors' reports on internal control, including the advantages and limitations of automated ITW identification. (c) 2011 Elsevier Inc. All rights reserved.</t>
  </si>
  <si>
    <t>[Boritz, J. Efrim; Hayes, Louise; Lim, Jee-Hae] Univ Waterloo, Sch Accounting &amp; Finance, Waterloo, ON N2L 3G1, Canada</t>
  </si>
  <si>
    <t>University of Waterloo</t>
  </si>
  <si>
    <t>Boritz, JE (corresponding author), Univ Waterloo, Sch Accounting &amp; Finance, Waterloo, ON N2L 3G1, Canada.</t>
  </si>
  <si>
    <t>jeboritz@uwaterloo.ca; blhayes@uwaterloo.ca; jh2lim@uwaterloo.ca</t>
  </si>
  <si>
    <t>1467-0895</t>
  </si>
  <si>
    <t>1873-4723</t>
  </si>
  <si>
    <t>INT J ACCOUNT INF SY</t>
  </si>
  <si>
    <t>Int. J. Account. Inf. Syst.</t>
  </si>
  <si>
    <t>10.1016/j.accinf.2011.11.002</t>
  </si>
  <si>
    <t>Business; Business, Finance; Management</t>
  </si>
  <si>
    <t>135WU</t>
  </si>
  <si>
    <t>WOS:000318322200008</t>
  </si>
  <si>
    <t>Sanchez-Chaparro, T; Soler-Vicen, MA; Gomez-Frias, V</t>
  </si>
  <si>
    <t>Sanchez-Chaparro, Teresa; Angel Soler-Vicen, Miguel; Gomez-Frias, Victor</t>
  </si>
  <si>
    <t>Be good and look good: Communicating the triple bottom line through corporate websites</t>
  </si>
  <si>
    <t>JOURNAL OF BUSINESS RESEARCH</t>
  </si>
  <si>
    <t>Triple bottom line (TBL); Sustainability based corporate identity; Ibero-America; Communication; Automated content analysis</t>
  </si>
  <si>
    <t>BRAND PERSONALITY; ORGANIZATIONAL IDENTITY; CSR; SUSTAINABILITY; STRATEGIES; MODEL; TOOL</t>
  </si>
  <si>
    <t>In recent years, communicating about sustainability based corporate identity - i.e., the values and ethos of an organization that reflect the sustainable foundations around which the corporate brand is built - has become a central element for building a positive organizational reputation. In the business sector, the triple bottom line (TBL) approach, or a balanced conception of sustainability around environmental, social, and economic per-formance, has been increasingly adopted over recent decades. This paper adopts a multiple case study approach to develop and illustrate a methodology for analysing sustainability based identity as communicated through corporate websites. A critical and comparative assessment was performed on the information conveyed by a sample of ten Ibero-American companies belonging to different countries and sectors, resulting in a number of specific improvement recommendations. As part of the methodology, a dictionary comprising 354 keywords and a total of 933 variants was built corresponding to the three TBL dimensions, which was then used to perform automated content analysis across the corporate websites in the sample. Overall, this study illustrates a powerful but simple way for companies to assess and improve their communicated sustainability based corporate identity.</t>
  </si>
  <si>
    <t>[Sanchez-Chaparro, Teresa; Angel Soler-Vicen, Miguel; Gomez-Frias, Victor] Univ Politecn Madrid, Escuela Tecn Super Ingenieros Ind, Jose Gutierrez Abascal 2, Madrid 28006, Spain</t>
  </si>
  <si>
    <t>Universidad Politecnica de Madrid</t>
  </si>
  <si>
    <t>Sanchez-Chaparro, T (corresponding author), Univ Politecn Madrid, Escuela Tecn Super Ingenieros Ind, Jose Gutierrez Abascal 2, Madrid 28006, Spain.</t>
  </si>
  <si>
    <t>teresa.sanchez@upm.es; miguelangel.soler@upm.es; victor.gomez.frias@upm.es</t>
  </si>
  <si>
    <t>SEGIB-Secretaria de Estado General Iberoamericana</t>
  </si>
  <si>
    <t>This research has been supported by SEGIB-Secretaria de Estado General Iberoamericana, in the context of their Fourth Sector initiative. The authors wish to thank Julia Urquijo Reguera, Luis Fernando Pizarro and Felipe Larrain for their support and valued appreciations.</t>
  </si>
  <si>
    <t>0148-2963</t>
  </si>
  <si>
    <t>1873-7978</t>
  </si>
  <si>
    <t>J BUS RES</t>
  </si>
  <si>
    <t>J. Bus. Res.</t>
  </si>
  <si>
    <t>10.1016/j.jbusres.2022.01.089</t>
  </si>
  <si>
    <t>1D8GA</t>
  </si>
  <si>
    <t>WOS:000794033200010</t>
  </si>
  <si>
    <t>Roblek, V; Thorpe, O; Bach, MP; Jerman, A; Mesko, M</t>
  </si>
  <si>
    <t>Roblek, Vasja; Thorpe, Oshane; Bach, Mirjana Pejic; Jerman, Andrej; Mesko, Maja</t>
  </si>
  <si>
    <t>The Fourth Industrial Revolution and the Sustainability Practices: A Comparative Automated Content Analysis Approach of Theory and Practice</t>
  </si>
  <si>
    <t>sustainability; industry 4; 0; sustainable investment; corporate social responsibility; sustainable standards; sustainable reporting; smart manufacturing; renewable energy; cleaner production</t>
  </si>
  <si>
    <t>4.0 TECHNOLOGIES; BUSINESS MODEL; TEXT DATA; LEXIMANCER; MANAGEMENT; DRIVERS; ENERGY; CHALLENGE; FRAMEWORK; IMPACTS</t>
  </si>
  <si>
    <t>(1) Background: The article provides a methodologically coherent analysis of technological development in the context of the fourth industrial revolution or Industry 4.0 and its impact on changes in sustainable development policy. (2) Methods: Using a Comparative Automated Content Analysis (ACA) approach, the article compares recent scientific work on sustainable development and the fourth industrial revolution with the discourse in the news media on sustainable development and industry 4.0. (3) Results: The scientific literature focuses more on changes in business models, production processes, and technologies that enable sustainable development. Newspaper and magazine articles write more about sustainable or green investments, sustainable standards, and sustainable reporting. The focus is on topics that are directly relevant to current sustainable business development and the promotion of research and development of clean and smart technologies and processes. (4) Conclusions: The ACA allows a more systematic comparison of different data sources. The article provides a starting point for sustainable development professionals to gain useful insights into a specific context with the help of the ACA.</t>
  </si>
  <si>
    <t>vasja.roblek@gmx.com; Oshane.thorpe@aue.ae; mpejic@net.efzg.hr; andrejjerman1@gmail.com; maja.mesko@fm-kp.si</t>
  </si>
  <si>
    <t>Bach, Mirjana Pejić/E-7313-2012; Roblek, Vasja/C-1836-2013</t>
  </si>
  <si>
    <t>Bach, Mirjana Pejić/0000-0003-3899-6707; Roblek, Vasja/0000-0003-1182-3400; Jerman, Andrej/0000-0002-8319-2137; Thorpe, Oshane/0000-0002-3054-7889</t>
  </si>
  <si>
    <t>10.3390/su12208497</t>
  </si>
  <si>
    <t>OI1UP</t>
  </si>
  <si>
    <t>WOS:000583072800001</t>
  </si>
  <si>
    <t>van den Heijkant, L; Vliegenthart, R</t>
  </si>
  <si>
    <t>van den Heijkant, Linda; Vliegenthart, Rens</t>
  </si>
  <si>
    <t>Implicit frames of CSR: The interplay between the news media, organizational PR, and the public</t>
  </si>
  <si>
    <t>Implicit frames; Frame-building; Automated content analysis; Time series analysis; CSR communication</t>
  </si>
  <si>
    <t>CORPORATE SOCIAL-RESPONSIBILITY; AGENDA; COMMUNICATION; JOURNALISTS; NEWSPAPERS; REPUTATION; EVOLUTION; ATTENTION; LEVEL; POWER</t>
  </si>
  <si>
    <t>This study focuses on the implicit framing of Corporate Social Responsibility (CSR) in the interplay between the news media, organizational public relations (PR), and the public. The aim of the study is to investigate the multidirectional causal relationships between these three domains in terms of the use of implicit frames. An automated content analysis of Dutch newspaper articles and organizational press releases is employed. In addition, Google Trends data is examined in order to determine implicit frames of CSR among the public. Monthly level Vector Autoregression (VAR) analyses show different effects across frames. Overall, in line with our expectations, results show positive effects of the news media on the public and of organizational PR on the news media. Moreover, contrary to expectations, we found a negative effect of the public on the news media and mixed results with regard to the effect of the public on organizational PR. Investigating the multidirectional relationships between the news media, organizational PR, and the public provides insights into how they - as a domain - affect and get affected by each other in their communications.</t>
  </si>
  <si>
    <t>[van den Heijkant, Linda; Vliegenthart, Rens] Univ Amsterdam, Amsterdam Sch Commun Res ASCoR, Nieuwe Achtergracht 166, NL-1018 WV Amsterdam, Netherlands</t>
  </si>
  <si>
    <t>van den Heijkant, L (corresponding author), Univ Amsterdam, Amsterdam Sch Commun Res ASCoR, Nieuwe Achtergracht 166, NL-1018 WV Amsterdam, Netherlands.</t>
  </si>
  <si>
    <t>l.vandenheijkant@uva.nl</t>
  </si>
  <si>
    <t>10.1016/j.pubrev.2018.05.007</t>
  </si>
  <si>
    <t>HE7VV</t>
  </si>
  <si>
    <t>WOS:000453649200002</t>
  </si>
  <si>
    <t>Hase, V; Mahl, D; Schafer, MS; Keller, TR</t>
  </si>
  <si>
    <t>Hase, Valerie; Mahl, Daniela; Schafer, Mike S.; Keller, Tobias R.</t>
  </si>
  <si>
    <t>Climate change in news media across the globe: An automated analysis of issue attention and themes in climate change coverage in 10 countries (2006-2018)</t>
  </si>
  <si>
    <t>GLOBAL ENVIRONMENTAL CHANGE-HUMAN AND POLICY DIMENSIONS</t>
  </si>
  <si>
    <t>Climate Change; Media Coverage; Longitudinal Analysis; Computational Social Science; Automated Content Analysis; Comparative Research</t>
  </si>
  <si>
    <t>NEWSPAPER COVERAGE; PUBLIC-OPINION; FRAMES; TEXT; COMMUNICATION; JOURNALISTS; TRANSLATION; DISCOURSE; SCIENCE; IMPACT</t>
  </si>
  <si>
    <t>Climate change poses a challenge to countries across the world, with news media being an important source of information on the issue. To understand how and how much news media cover climate change, this study compares coverage in ten countries from the Global North and the Global South between 2006 and 2018 (N = 71,674). Based on a panel analysis, we illustrate that news media attention varies across countries and is often associated with political, scientific, and (partly) societal focusing events. Based on an automated content analysis, we also find that news media do not only cover ecological changes or climate science, but that they focus predominantly on the societal dimension of climate change: They emphasize how humans are aware of, affected by, battle, or cause climate change. Overall, the study illustrates important differences between the Global North and the Global South. While countries from the Global North cover climate change more frequently, countries from the Global South focus more on its challenges and implications for society at large, i.e., the societal dimension of climate change.</t>
  </si>
  <si>
    <t>[Hase, Valerie; Mahl, Daniela; Schafer, Mike S.] Univ Zurich, Dept Commun &amp; Media Res, Andreasstr 15, CH-8050 Zurich, Switzerland; [Keller, Tobias R.] Gfs Bern, Bern, Switzerland</t>
  </si>
  <si>
    <t>Hase, V (corresponding author), Univ Zurich, Dept Commun &amp; Media Res, Andreasstr 15, CH-8050 Zurich, Switzerland.</t>
  </si>
  <si>
    <t>v.hase@ikmz.uzh.ch</t>
  </si>
  <si>
    <t>Mahl, Daniela/AAA-9311-2022</t>
  </si>
  <si>
    <t>Mahl, Daniela/0000-0002-5330-6885; Hase, Valerie/0000-0001-6656-4894</t>
  </si>
  <si>
    <t>German Science Foundation (DFG) [EXC 177]; Swiss National Science Foundation [IZBRZ1_186296, P2ZHP1_184082]</t>
  </si>
  <si>
    <t>German Science Foundation (DFG)(German Research Foundation (DFG)); Swiss National Science Foundation(Swiss National Science Foundation (SNSF)European Commission)</t>
  </si>
  <si>
    <t>This work was supported by the German Science Foundation (DFG) [EXC 177] and the Swiss National Science Foundation [IZBRZ1_186296, P2ZHP1_184082].</t>
  </si>
  <si>
    <t>0959-3780</t>
  </si>
  <si>
    <t>1872-9495</t>
  </si>
  <si>
    <t>GLOBAL ENVIRON CHANG</t>
  </si>
  <si>
    <t>Glob. Environ. Change-Human Policy Dimens.</t>
  </si>
  <si>
    <t>10.1016/j.gloenvcha.2021.102353</t>
  </si>
  <si>
    <t>Environmental Sciences; Environmental Studies; Geography</t>
  </si>
  <si>
    <t>Environmental Sciences &amp; Ecology; Geography</t>
  </si>
  <si>
    <t>WC4ZW</t>
  </si>
  <si>
    <t>WOS:000704267800008</t>
  </si>
  <si>
    <t>Liu, J; Cohen, J</t>
  </si>
  <si>
    <t>Liu, Jing; Cohen, Julie</t>
  </si>
  <si>
    <t>Measuring Teaching Practices at Scale: A Novel Application of Text-as-Data Methods</t>
  </si>
  <si>
    <t>EDUCATIONAL EVALUATION AND POLICY ANALYSIS</t>
  </si>
  <si>
    <t>classroom research; educational policy; instructional practices; teacher assessment; technology; validity; reliability; econometric analysis; factor analysis; measurements; regression analyses; textual analysis</t>
  </si>
  <si>
    <t>CLASSROOM OBSERVATIONS; COGNITIVE-DEVELOPMENT; STUDENT-ACHIEVEMENT; OBSERVATION SYSTEMS; INSTRUCTIONAL-TIME; TEACHERS; DISCOURSE; LANGUAGE; RELIABILITY; STABILITY</t>
  </si>
  <si>
    <t>Valid and reliable measurements of teaching quality facilitate school-level decision-making and policies pertaining to teachers. Using nearly 1,000 word-to-word transcriptions of fourth- and fifth-grade English language arts classes, we apply novel text-as-data methods to develop automated measures of teaching to complement classroom observations traditionally done by human raters. This approach is free of rater bias and enables the detection of three instructional factors that are well aligned with commonly used observation protocols: classroom management, interactive instruction, and teacher-centered instruction. The teacher-centered instruction factor is a consistent negative predictor of value-added scores, even after controlling for teachers' average classroom observation scores. The interactive instruction factor predicts positive value-added scores. Our results suggest that the text-as-data approach has the potential to enhance existing classroom observation systems through collecting far more data on teaching with a lower cost, higher speed, and the detection of multifaceted classroom practices.</t>
  </si>
  <si>
    <t>[Liu, Jing] Univ Maryland, Educ Policy, College Pk, MD 20742 USA; [Cohen, Julie] Univ Virginia, Sch Educ &amp; Human Dev, Curriculum Instruct &amp; Special Educ, Charlottesville, VA 22903 USA</t>
  </si>
  <si>
    <t>University System of Maryland; University of Maryland College Park; University of Virginia</t>
  </si>
  <si>
    <t>Liu, J (corresponding author), Univ Maryland, Educ Policy, College Pk, MD 20742 USA.</t>
  </si>
  <si>
    <t>jerryliupku@gmail.com</t>
  </si>
  <si>
    <t>Liu, Jing/0000-0002-9918-8642</t>
  </si>
  <si>
    <t>National Academy of Education/Spencer Dissertation Fellowship; Shultz Graduate Student Fellowship in Economic Policy from the Stanford Institute for Economic Policy Research; Stanford Graduate School of Education Doctoral Student Award from the Technology for Equity in Learning Opportunities initiative; Stanford Graduate School of Education; Stanford Freeman Spogli Institute</t>
  </si>
  <si>
    <t>The author(s) disclosed receipt of the following financial support for the research, authorship, and/or publication of this article: The study received generous financial support from the National Academy of Education/Spencer Dissertation Fellowship, the Shultz Graduate Student Fellowship in Economic Policy from the Stanford Institute for Economic Policy Research, the Stanford Graduate School of Education Doctoral Student Award from the Technology for Equity in Learning Opportunities initiative, the Dissertation Support Grant from Stanford Graduate School of Education, and a dissertation grant from the Stanford Freeman Spogli Institute.</t>
  </si>
  <si>
    <t>0162-3737</t>
  </si>
  <si>
    <t>1935-1062</t>
  </si>
  <si>
    <t>EDUC EVAL POLICY AN</t>
  </si>
  <si>
    <t>Educ. Eval. Policy Anal.</t>
  </si>
  <si>
    <t>10.3102/01623737211009267</t>
  </si>
  <si>
    <t>MAY 2021</t>
  </si>
  <si>
    <t>WL1KS</t>
  </si>
  <si>
    <t>WOS:000654539500001</t>
  </si>
  <si>
    <t>Goelzhauser, G; Cann, DM</t>
  </si>
  <si>
    <t>Goelzhauser, Greg; Cann, Damon M.</t>
  </si>
  <si>
    <t>Judicial Independence and Opinion Clarity on State Supreme Courts</t>
  </si>
  <si>
    <t>STATE POLITICS &amp; POLICY QUARTERLY</t>
  </si>
  <si>
    <t>judicial politics; judicial elections; comparative courts; political behavior; judicial behavior; elections; public policy</t>
  </si>
  <si>
    <t>SELECTION; ACCOUNTABILITY; READABILITY; COMPLEXITY; IDEOLOGY</t>
  </si>
  <si>
    <t>We contribute to the literature on judicial independence and performance in the states by analyzing opinion clarity. Written opinions are the primary means of communication for state supreme court justices, and clarity is a core component of judicial performance. Using automated text analysis on a sample of state supreme court opinions from all 50 states, we find that variation in judicial retention systems is not associated with substantively meaningful differences in opinion clarity. Furthermore, elected judges do not seem to produce clearer opinions in salient cases notwithstanding the increased public visibility of those decisions. These results suggest that judges tend to conform to prevailing professional norms despite differing institutional pressures.</t>
  </si>
  <si>
    <t>[Goelzhauser, Greg; Cann, Damon M.] Utah State Univ, Logan, UT 84322 USA</t>
  </si>
  <si>
    <t>Goelzhauser, G (corresponding author), Utah State Univ, Dept Polit Sci, 0725 Old Main Hill, Logan, UT 84322 USA.</t>
  </si>
  <si>
    <t>greg.goelzhauser@usu.edu</t>
  </si>
  <si>
    <t>1532-4400</t>
  </si>
  <si>
    <t>1946-1607</t>
  </si>
  <si>
    <t>STATE POLIT POLICY Q</t>
  </si>
  <si>
    <t>State Polit. Policy Q.</t>
  </si>
  <si>
    <t>10.1177/1532440013520241</t>
  </si>
  <si>
    <t>AG7AI</t>
  </si>
  <si>
    <t>WOS:000335569900001</t>
  </si>
  <si>
    <t>Fuller, CM; Biros, DP; Twitchell, DP; Wilson, RL</t>
  </si>
  <si>
    <t>Fuller, Christie M.; Biros, David P.; Twitchell, Douglas P.; Wilson, Rick L.</t>
  </si>
  <si>
    <t>REAL-WORLD DECEPTION AND THE IMPACT OF SEVERITY</t>
  </si>
  <si>
    <t>Deception; Linguistic-Based Cues; Automated Text Analysis; High-stakes Deception; Severity</t>
  </si>
  <si>
    <t>INTERPERSONAL DECEPTION; PREDICTING DECEPTION; DETECTING DECEPTION; LANGUAGE; LIES; DECEIT; TEXT; CUES; CLASSIFICATION; SUSPECTS</t>
  </si>
  <si>
    <t>Previous research has shown that language varies between deceivers and truth tellers. These linguistic differences serve as the foundation to automated text-based deception detection methods. However, few studies have analyzed linguistic cues to deception in real-world environments. Here, we present an analysis of linguistic cues to deception in person-of-interest statements recorded following crimes on a military base. Using automated cue extraction and MANOVA, the analysis indicates that quantity, diversity, nonimmediacy, and cognitive processing cues differ between truthful and deceptive statements. Additionally, this study introduces an exploratory measure of incident severity used to analyze how language changes in both deceivers and truth tellers as situational severity increases.</t>
  </si>
  <si>
    <t>[Fuller, Christie M.] Louisiana Tech Univ, Ruston, LA 71272 USA; [Biros, David P.; Wilson, Rick L.] Oklahoma State Univ, Stillwater, OK 74078 USA; [Twitchell, Douglas P.] Illinois State Univ, Normal, IL 61790 USA</t>
  </si>
  <si>
    <t>University of Louisiana System; Louisiana Technical University; Oklahoma State University System; Oklahoma State University - Stillwater; Illinois State University</t>
  </si>
  <si>
    <t>Fuller, CM (corresponding author), Louisiana Tech Univ, Ruston, LA 71272 USA.</t>
  </si>
  <si>
    <t>Twitchell, Douglas P./0000-0003-2431-5616; Fuller, Christie/0000-0001-6792-1101</t>
  </si>
  <si>
    <t>WIN</t>
  </si>
  <si>
    <t>10.1080/08874417.2015.11645757</t>
  </si>
  <si>
    <t>AY7TN</t>
  </si>
  <si>
    <t>WOS:000347761800007</t>
  </si>
  <si>
    <t>Li, HY; Shubeck, KT; Graesser, AC</t>
  </si>
  <si>
    <t>Banerjee, J; Tsagari, D</t>
  </si>
  <si>
    <t>Li, Haiying; Shubeck, Keith T.; Graesser, Arthur C.</t>
  </si>
  <si>
    <t>Using Technology in Language Assessment</t>
  </si>
  <si>
    <t>CONTEMPORARY SECOND LANGUAGE ASSESSMENT</t>
  </si>
  <si>
    <t>Contemporary Applied Linguistics</t>
  </si>
  <si>
    <t>NATURAL-LANGUAGE; COH-METRIX; TEXT</t>
  </si>
  <si>
    <t>Advanced technologies such as natural language processing and machine learning, conversational agents, intelligent tutoring systems (ITSs), and epistemic games have been enhancing speedy development in language assessment. The missions of language assessment can be substantially enhanced with the integration of automated text analysis, automated scoring, automated feedback, and conversational agents. This chapter includes an empirical study in which we examine the reliability of automated assessment in an ITS. The first section of the chapter is a selective overview of language assessment. The second section introduces Coh-Metrix, an automatic text analysis tool for the analysis of text characteristics, including text difficulty. The third section introduces conversational agents in an ITS, which span one-on-one tutoring, conversational trialogs, tetralogs, and one-on-multiparty interaction with empirical studies.</t>
  </si>
  <si>
    <t>BLOOMSBURY PUBL INC</t>
  </si>
  <si>
    <t>50 BEDFORD SQ, LONDON, WC1B 3DP, ENGLAND</t>
  </si>
  <si>
    <t>978-0-5671-4706-6; 978-0-5676-3274-6</t>
  </si>
  <si>
    <t>CONTEMP APPL LING</t>
  </si>
  <si>
    <t>10.1515/9781614513827</t>
  </si>
  <si>
    <t>Linguistics; Language &amp; Linguistics</t>
  </si>
  <si>
    <t>BI6BU</t>
  </si>
  <si>
    <t>WOS:000413068500015</t>
  </si>
  <si>
    <t>How Experts React: The World Health Organization's Appraisal of COVID-19 via Communication Patterns</t>
  </si>
  <si>
    <t>communication patterns; language; pandemic; COVID-19; automated text analysis</t>
  </si>
  <si>
    <t>CRISIS; IMPACT</t>
  </si>
  <si>
    <t>How do COVID-19 experts psychologically manage the pandemic and its effects? Using a full year of press briefings (January 2020-January 2021) from the World Health Organization (N = 126), this paper evaluated the relationship between communication patterns and COVID-19 cases and deaths. The data suggest as COVID-19 cases and deaths increased, health experts tended to think about the virus in a more formal and analytic manner. Experts also communicated with fewer cognitive processing terms, which typically indicate people working through a crisis. This report offers a lens into the internal states of COVID-19 experts and their organization as they gradually learned about the virus and its daily impact.</t>
  </si>
  <si>
    <t>0261927X211026346</t>
  </si>
  <si>
    <t>10.1177/0261927X211026346</t>
  </si>
  <si>
    <t>JUN 2021</t>
  </si>
  <si>
    <t>YS8TR</t>
  </si>
  <si>
    <t>WOS:000665243200001</t>
  </si>
  <si>
    <t>Wu, JZ; Guan, B</t>
  </si>
  <si>
    <t>Wu, Jianzu; Guan, Bin</t>
  </si>
  <si>
    <t>Top Management Team Attention and International Market Entry Mode: Evidence from China</t>
  </si>
  <si>
    <t>top management team; attention; international market entry mode; manufacturing enterprise</t>
  </si>
  <si>
    <t>FIRM; PERFORMANCE; OWNERSHIP</t>
  </si>
  <si>
    <t>In this paper, we examine how top management team (TMT) attention affects firm's international market entry mode from attention-based view. Using data of the 60 China's listed manufacturing companies, we measure the top management team attention with automated text analysis method and test the hypothesis by multinomial logistic regression. The empirical results show that when top management team pay more attention to strategic factors, the enterprise prefer to choose investment entry mode; when top management team pay more attention to product trading factors, the enterprise prefer to choose export entry mode. This study provides a different view on firm's international market entry mode choice and important implications for emerging market companies.</t>
  </si>
  <si>
    <t>[Wu, Jianzu; Guan, Bin] Lanzhou Univ, Sch Management, Lanzhou 730000, Peoples R China</t>
  </si>
  <si>
    <t>978-0-7695-4750-3</t>
  </si>
  <si>
    <t>10.1109/BIFE.2012.125</t>
  </si>
  <si>
    <t>WOS:000312497500122</t>
  </si>
  <si>
    <t>Lucas, C; Nielsen, RA; Roberts, ME; Stewart, BM; Storer, A; Tingley, D</t>
  </si>
  <si>
    <t>Lucas, Christopher; Nielsen, Richard A.; Roberts, Margaret E.; Stewart, Brandon M.; Storer, Alex; Tingley, Dustin</t>
  </si>
  <si>
    <t>Computer-Assisted Text Analysis for Comparative Politics</t>
  </si>
  <si>
    <t>TOPIC MODEL; POSITIONS; POLICY; LIFE</t>
  </si>
  <si>
    <t>Recent advances in research tools for the systematic analysis of textual data are enabling exciting new research throughout the social sciences. For comparative politics, scholars who are often interested in non-English and possibly multilingual textual datasets, these advances may be difficult to access. This article discusses practical issues that arise in the processing, management, translation, and analysis of textual data with a particular focus on how procedures differ across languages. These procedures are combined in two applied examples of automated text analysis using the recently introduced Structural Topic Model. We also show how the model can be used to analyze data that have been translated into a single language via machine translation tools. All the methods we describe here are implemented in open-source software packages available from the authors.</t>
  </si>
  <si>
    <t>[Lucas, Christopher; Stewart, Brandon M.; Tingley, Dustin] Harvard Univ, Dept Govt, Cambridge, MA 02138 USA; [Lucas, Christopher; Stewart, Brandon M.; Tingley, Dustin] Harvard Univ, Inst Quantitat Social Sci, Cambridge, MA 02138 USA; [Nielsen, Richard A.] MIT, Dept Polit Sci, Cambridge, MA 02139 USA; [Roberts, Margaret E.] Univ Calif San Diego, Dept Polit Sci, La Jolla, CA 92093 USA; [Storer, Alex] Stanford Univ, Grad Sch Business, Stanford, CA 94305 USA</t>
  </si>
  <si>
    <t>Harvard University; Harvard University; Massachusetts Institute of Technology (MIT); University of California System; University of California San Diego; Stanford University</t>
  </si>
  <si>
    <t>Tingley, D (corresponding author), Harvard Univ, Dept Govt, 1737 Cambridge St, Cambridge, MA 02138 USA.</t>
  </si>
  <si>
    <t>clucas@fas.harvard.edu; rnielsen@mit.edu; meroberts@ucsd.edu; bstewart@fas.harvard.edu; astorer@stanford.edu; dtingley@gov.harvard.edu</t>
  </si>
  <si>
    <t>Nielsen, Richard A/K-5008-2013</t>
  </si>
  <si>
    <t>Nielsen, Richard A/0000-0003-0205-5227</t>
  </si>
  <si>
    <t>10.1093/pan/mpu019</t>
  </si>
  <si>
    <t>CI4OP</t>
  </si>
  <si>
    <t>WOS:000354730900008</t>
  </si>
  <si>
    <t>Nguyen, D; Hekman, E</t>
  </si>
  <si>
    <t>Nguyen, Dennis; Hekman, Erik</t>
  </si>
  <si>
    <t>The news framing of artificial intelligence: a critical exploration of how media discourses make sense of automation</t>
  </si>
  <si>
    <t>AI &amp; SOCIETY</t>
  </si>
  <si>
    <t>Artificial intelligence; Data risk; News framing; Automated content analysis; Data literacy</t>
  </si>
  <si>
    <t>RELIABILITY; COVERAGE; FRAMES</t>
  </si>
  <si>
    <t>Analysing how news media portray A.I. reveals what interpretative frameworks around the technology circulate in public discourses. This allows for critical reflections on the making of meaning in prevalent narratives about A.I. and its impact. While research on the public perception of datafication and automation is growing, only a few studies investigate news framing practices. The present study connects to this nascent research area by charting A.I. news frames in four internationally renowned media outlets: The New York Times, The Guardian, Wired, and Gizmodo. The main goals are to identify dominant emphasis frames in AI news reporting over the past decade, to explore whether certain A.I. frames are associated with specific data risks (surveillance, data bias, cyber-war/cyber-crime, and information disorder), and what journalists and experts contribute to the media discourse. An automated content analysis serves for inductive frame detection (N = 3098), identification of risk references (dictionary-based), and network analysis of news writers. The results show how A.I.'s ubiquity emerged rapidly in the mid-2010s, and that the news discourse became more critical over time. It is further argued that A.I. news reporting is an important factor in building critical data literacy among lay audiences.</t>
  </si>
  <si>
    <t>[Nguyen, Dennis] Univ Utrecht, Utrecht, Netherlands; [Hekman, Erik] Univ Appl Sci Utrecht, Utrecht, Netherlands</t>
  </si>
  <si>
    <t>Utrecht University</t>
  </si>
  <si>
    <t>Nguyen, D (corresponding author), Univ Utrecht, Utrecht, Netherlands.</t>
  </si>
  <si>
    <t>d.nguyen1@uu.nl</t>
  </si>
  <si>
    <t>Nguyen, Dennis/0000-0001-6982-775X</t>
  </si>
  <si>
    <t>Dutch Research Council (NWO)</t>
  </si>
  <si>
    <t>Dutch Research Council (NWO)(Netherlands Organization for Scientific Research (NWO))</t>
  </si>
  <si>
    <t>This study was partially funded by the Dutch Research Council (NWO).</t>
  </si>
  <si>
    <t>0951-5666</t>
  </si>
  <si>
    <t>1435-5655</t>
  </si>
  <si>
    <t>AI SOC</t>
  </si>
  <si>
    <t>AI Soc.</t>
  </si>
  <si>
    <t>10.1007/s00146-022-01511-1</t>
  </si>
  <si>
    <t>2I4ET</t>
  </si>
  <si>
    <t>WOS:000814934100001</t>
  </si>
  <si>
    <t>Bene, M</t>
  </si>
  <si>
    <t>Bene, Marton</t>
  </si>
  <si>
    <t>Topics to talk about. The effects of political topics and issue ownership on user engagement with politicians' Facebook posts during the 2018 Hungarian general election</t>
  </si>
  <si>
    <t>Facebook; viralization; user engagement; issue ownership; topics; automated content analysis; campaign</t>
  </si>
  <si>
    <t>This study investigates the political topics that triggered user engagement on candidates' Facebook pages during the 2018 Hungarian general election campaign on a full dataset of politicians' communication by using automated content analysis approaches. We have limited knowledge on what topics spread well on Facebook. This study aims to fill this gap by investigating the engagement-triggering effects of prominent topics of the 2018 Hungarian election campaign. It hypothesizes that salient issues (immigration and corruption) and campaign-related posts will obtain more user reaction, while policy topics and mobilization-related content will be less engaging. The effects of issue ownership on user engagement are also tested. For this, the study draws upon an extensive dataset that includes all Facebook posts of each candidate (511 candidates 38030 posts) running for MP positions, posted between the official starting day of the campaign and Election Day. Topics are identified by dictionary-based and supervised learning methods that allow us to categorize a larger set of data than earlier works. The results show that corruption, development policy, and campaign are the most popular topics with users. The most interesting finding, however, is related to the reversed issue ownership effect on user engagement.</t>
  </si>
  <si>
    <t>[Bene, Marton] Ctr Social Sci, Budapest, Hungary; [Bene, Marton] Eotvos Lorand Univ, 1453 Budapest Pf 25, Budapest, Hungary</t>
  </si>
  <si>
    <t>Hungarian Academy of Sciences; Hungarian Centre for Social Sciences; Eotvos Lorand University</t>
  </si>
  <si>
    <t>Bene, M (corresponding author), Ctr Social Sci, Budapest, Hungary.;Bene, M (corresponding author), Eotvos Lorand Univ, 1453 Budapest Pf 25, Budapest, Hungary.</t>
  </si>
  <si>
    <t>bene.marton@tk.mta.hu</t>
  </si>
  <si>
    <t>Bene, Márton/ABC-2637-2021</t>
  </si>
  <si>
    <t>National Research, Development and Innovation Office of Hungary (NKFIH) [FK-131990]; Bolyai Janos Research Fellowship of the Hungarian Academy of Sciences [BO/334_20]</t>
  </si>
  <si>
    <t>National Research, Development and Innovation Office of Hungary (NKFIH)(National Research, Development &amp; Innovation Office (NRDIO) - Hungary); Bolyai Janos Research Fellowship of the Hungarian Academy of Sciences(Hungarian Academy of Sciences)</t>
  </si>
  <si>
    <t>This work was supported by National Research, Development and Innovation Office of Hungary (NKFIH) under the Grant Agreement no. FK-131990 and Bolyai Janos Research Fellowship of the Hungarian Academy of Sciences (BO/334_20).</t>
  </si>
  <si>
    <t>10.1080/19331681.2021.1881015</t>
  </si>
  <si>
    <t>TJ8NU</t>
  </si>
  <si>
    <t>WOS:000620040500001</t>
  </si>
  <si>
    <t>Alvarez, C; Zurita, G; Carvallo, A; Ramirez, P; Bravo, E; Baloian, N</t>
  </si>
  <si>
    <t>HernandezLeo, D; Hishiyama, R; Zurita, G; Weyers, B; Nolte, A; Ogata, H</t>
  </si>
  <si>
    <t>Alvarez, Claudio; Zurita, Gustavo; Carvallo, Andres; Ramirez, Pablo; Bravo, Eugenio; Baloian, Nelson</t>
  </si>
  <si>
    <t>Automatic Content Analysis of Student Moral Discourse in a Collaborative Learning Activity</t>
  </si>
  <si>
    <t>COLLABORATION TECHNOLOGIES AND SOCIAL COMPUTING, COLLABTECH 2021</t>
  </si>
  <si>
    <t>Lecture Notes in Computer Science</t>
  </si>
  <si>
    <t>27th International Conference on Collaboration Technologies and Social Computing (CollabTech)</t>
  </si>
  <si>
    <t>AUG 31-SEP 03, 2021</t>
  </si>
  <si>
    <t>ELECTR NETWORK</t>
  </si>
  <si>
    <t>CSCL; Automated content analysis; Ethics teaching; Higher education</t>
  </si>
  <si>
    <t>ETHICS EDUCATION</t>
  </si>
  <si>
    <t>In most computer supported collaborative learning activities, the teacher monitors and/or reviews data generated by students and groups as they complete the learning tasks, in order to provide guidance and feedback. Without appropriate technological means that support the processes of collection and selection of students' generated responses, these duties can result in a high cognitive load for teachers, especially if students generate textual, qualitative content that requires real-time reviewing. In this research we deal with EthicApp, a collaborative application in which this problem is apparent, as students analyze a given ethics case individually and in small groups and deliver written judgements in each phase of the activity. We present a solution to the problem, based on enhancing EthicApp's teacher's interface with automated content analysis capabilities. This includes a dashboard that automatically displays students' most relevant contributions, and cluster visualizations that permit identifying groups of students with similar responses to activity tasks. Validation of the approach was based on a dataset comprising 4,366 comments about an academic ethics case, which were written by 520 students divided into 19 class groups. Expert judgement was applied to evaluate content analysis effectiveness at selecting comments that are both meaningful and representative of students' different views. More than 80% of comment selections were found valuable, according to experts' analysis.</t>
  </si>
  <si>
    <t>[Alvarez, Claudio] Univ Los Andes, Fac Ingn &amp; Ciencias Aplicadas, Santiago, Chile; [Alvarez, Claudio] Univ Los Andes, Ctr Invest Educ, Santiago, Chile; [Zurita, Gustavo] Univ Chile, Fac Econ &amp; Negocios, Santiago, Chile; [Carvallo, Andres] Pontificia Univ Catolica Chile, Dept Ciencias Comp, Santiago, Chile; [Ramirez, Pablo; Bravo, Eugenio] Univ Chile, Escuela Ingn &amp; Ciencias, Santiago, Chile; [Baloian, Nelson] Univ Chile, Dept Ciencias Comp, Santiago, Chile</t>
  </si>
  <si>
    <t>Universidad de los Andes - Chile; Universidad de los Andes - Chile; Universidad de Chile; Pontificia Universidad Catolica de Chile; Universidad de Chile; Universidad de Chile</t>
  </si>
  <si>
    <t>Alvarez, C (corresponding author), Univ Los Andes, Fac Ingn &amp; Ciencias Aplicadas, Santiago, Chile.;Alvarez, C (corresponding author), Univ Los Andes, Ctr Invest Educ, Santiago, Chile.</t>
  </si>
  <si>
    <t>calvarez@uandes.cl; gzurita@fen.uchile.cl</t>
  </si>
  <si>
    <t>SPRINGER INTERNATIONAL PUBLISHING AG</t>
  </si>
  <si>
    <t>CHAM</t>
  </si>
  <si>
    <t>GEWERBESTRASSE 11, CHAM, CH-6330, SWITZERLAND</t>
  </si>
  <si>
    <t>978-3-030-85071-5; 978-3-030-85070-8</t>
  </si>
  <si>
    <t>LECT NOTES COMPUT SC</t>
  </si>
  <si>
    <t>10.1007/978-3-030-85071-5_1</t>
  </si>
  <si>
    <t>Computer Science, Information Systems; Computer Science, Interdisciplinary Applications; Computer Science, Theory &amp; Methods</t>
  </si>
  <si>
    <t>BS8QZ</t>
  </si>
  <si>
    <t>WOS:000775767900001</t>
  </si>
  <si>
    <t>Scannella, E; Polizzi, S</t>
  </si>
  <si>
    <t>Scannella, Enzo; Polizzi, Salvatore</t>
  </si>
  <si>
    <t>How to measure bank credit risk disclosure? Testing a new methodological approach based on the content analysis framework</t>
  </si>
  <si>
    <t>JOURNAL OF BANKING REGULATION</t>
  </si>
  <si>
    <t>Credit risk; Risk reporting; Risk disclosure; Risk management; Banking</t>
  </si>
  <si>
    <t>FINANCIAL STRUCTURE; MARKET DISCIPLINE; CAPITAL-MARKETS; INFORMATION; AGENCY; UNCERTAINTY; GOVERNANCE; OWNERSHIP; LEVEL; COST</t>
  </si>
  <si>
    <t>Risk disclosure is a crucial factor in enhancing the efficiency of financial markets and promoting financial stability. This paper proposes a methodological tool to analyze credit risk disclosure in bank financial reports, based on the content analysis framework. The authors also uses this methodology to carry out an empirical study on a small sample of large Italian banks. The paper provides preliminary empirical evidence that banks differ in their credit risk disclosure, even though they are subject to homogeneous regulatory and accounting requirements. Furthermore, by carrying out a correlation-based network analysis, the paper provides preliminary evidence on the existence of a relationship between credit risk disclosure, bank size, and business model. The existing literature has not provided any methodological tool to analyze qualitative and quantitative profiles of bank credit risk disclosure. In order to fill this gap, we propose an original research methodology to investigate bank credit risk reporting. While previous contributions have examined related aspects adopting automated content analysis techniques, this paper proposes an original and non-automated content analysis approach. Our research has several regulatory and strategic implications and lays the foundation for further research in banking, finance, and accounting.</t>
  </si>
  <si>
    <t>[Scannella, Enzo; Polizzi, Salvatore] Univ Palermo, Dept Econ Business &amp; Stat, Bldg 13,Viale Sci, I-90128 Palermo, Italy</t>
  </si>
  <si>
    <t>University of Palermo</t>
  </si>
  <si>
    <t>Scannella, E (corresponding author), Univ Palermo, Dept Econ Business &amp; Stat, Bldg 13,Viale Sci, I-90128 Palermo, Italy.</t>
  </si>
  <si>
    <t>enzo.scannella@unipa.it</t>
  </si>
  <si>
    <t>Polizzi, Salvatore/AAM-1144-2021</t>
  </si>
  <si>
    <t>Polizzi, Salvatore/0000-0002-8977-8120; SCANNELLA, Enzo/0000-0001-5522-232X</t>
  </si>
  <si>
    <t>Universita degli Studi di Palermo within the CRUI-CARE Agreement</t>
  </si>
  <si>
    <t>Open access funding provided by Universita degli Studi di Palermo within the CRUI-CARE Agreement. We do gratefully thank Owen Powell (Bangor University) for his useful suggestions, and Prof. Michele Tumminello (University of Palermo) for his insightful guidance throughout the correlation-based network analysis.</t>
  </si>
  <si>
    <t>1745-6452</t>
  </si>
  <si>
    <t>1750-2071</t>
  </si>
  <si>
    <t>J BANK REGUL</t>
  </si>
  <si>
    <t>J. Bank Regul.</t>
  </si>
  <si>
    <t>10.1057/s41261-020-00129-x</t>
  </si>
  <si>
    <t>QI3GC</t>
  </si>
  <si>
    <t>WOS:000553272200001</t>
  </si>
  <si>
    <t>Gattermann, K</t>
  </si>
  <si>
    <t>Gattermann, Katjana</t>
  </si>
  <si>
    <t>Mediated Personalization of Executive European Union Politics: Examining Patterns in the Broadsheet Coverage of the European Commission, 1992-2016</t>
  </si>
  <si>
    <t>automated content analysis; comparative research; European Union; personalization of politics; political journalism</t>
  </si>
  <si>
    <t>FRACTIONAL RESPONSE VARIABLES; PARLIAMENT ELECTIONS; INTEGRATION; AGENDA; POLITICIZATION; MEDIATIZATION; COMMUNICATION; VISIBILITY; COUNTRIES; TWITTER</t>
  </si>
  <si>
    <t>The personalization of politics is a popular thesis but often challenged when it comes to media personalization. While previous research compared the prominence of different types of political actors across national political contexts, this article situates its research in the context of European Union (EU) politics and, thereby, studies similar reference points across countries. Its focus lies on the European Commission and its members. Personalization is conceptualized as individualization and presidentialization, respectively. The article proposes that the EU integration process provides journalists with the opportunity to report more often about individual politicians, while political developments should further incentivize journalists to personalize their news from Brussels. To test this argument, the article investigates personalization patterns in seven broadsheets from Ireland, Britain, France, the Netherlands, Denmark, Italy, and Poland. In total, 119,070 articles are analyzed by automated content analysis over a period of twenty-five years. The article finds no pan-European trend toward greater personalization of politics with respect to news coverage of EU executive politics. The findings nonetheless provide important implications for future research. The article particularly discusses the universal applicability of the phenomenon, the time frame for analysis, and journalistic styles in covering European politics.</t>
  </si>
  <si>
    <t>[Gattermann, Katjana] Univ Amsterdam, Amsterdam, Netherlands</t>
  </si>
  <si>
    <t>Gattermann, K (corresponding author), Univ Amsterdam, Dept Commun Sci, Amsterdam Sch Commun Res, POB 15793, NL-1001 NG Amsterdam, Netherlands.</t>
  </si>
  <si>
    <t>k.gattermann@uva.nl</t>
  </si>
  <si>
    <t>Gattermann, Katjana/0000-0002-4258-3588</t>
  </si>
  <si>
    <t>Netherlands Organisation for Scientific Research (NWO) [451-15-003]</t>
  </si>
  <si>
    <t>Netherlands Organisation for Scientific Research (NWO)(Netherlands Organization for Scientific Research (NWO))</t>
  </si>
  <si>
    <t>The author disclosed receipt of the following financial support for the research, authorship and/or publication of this article: The research is supported by a personal Veni Grant from the Netherlands Organisation for Scientific Research (NWO, project no. 451-15-003).</t>
  </si>
  <si>
    <t>10.1177/1940161218779231</t>
  </si>
  <si>
    <t>GN0OW</t>
  </si>
  <si>
    <t>WOS:000438672700004</t>
  </si>
  <si>
    <t>Knott, J; LaRue, E; Ward, S; McCallen, E; Ordonez, K; Wagner, F; Jo, I; Elliott, J; Fei, SL</t>
  </si>
  <si>
    <t>Knott, Jonathan; LaRue, Elizabeth; Ward, Samuel; McCallen, Emily; Ordonez, Kimberly; Wagner, Franklin; Jo, Insu; Elliott, Jessica; Fei, Songlin</t>
  </si>
  <si>
    <t>A roadmap for exploring the thematic content of ecology journals</t>
  </si>
  <si>
    <t>ECOSPHERE</t>
  </si>
  <si>
    <t>automated content analysis; bibliometrics; big literature; concepts; ecology; journals; publications; R Shiny</t>
  </si>
  <si>
    <t>ARTICLES</t>
  </si>
  <si>
    <t>Ecologists-especially those new to the field-are tasked with finding relevant literature matching their research interests and deciding upon a suitable venue for the publication of their work. To provide a roadmap for early career researchers to identify journals aligned with their interests, we analyzed major research themes found across the top 30 ecology journals and three high-impact multi-disciplinary journals (Nature, PNAS, and Science), utilizing an automated content analysis (ACA) of 84,841 article abstracts, titles, and author keywords published over the last four decades. Journals clustered into 10 distinct groups based on 46 research themes identified by ACA. We examined the frequency of ecological themes in each of these journal groups to identify the journals most associated with each theme. We found three themes (anthropogenic impacts, disease, and traits) that occurred at a high frequency in the high-impact multi-disciplinary journal group containing Nature, PNAS, and Science. Themes that increased in frequency over the last four decades, such as climate change, traits, anthropogenic, and cellular biology, were found more often in journals with higher impact factors, indicating that emerging research themes in ecology will likely become of interest to a broader readership over time. Our study provides a thematic review as a potential roadmap for junior ecologists to browse and publish journal articles.</t>
  </si>
  <si>
    <t>[Knott, Jonathan; LaRue, Elizabeth; Ward, Samuel; McCallen, Emily; Ordonez, Kimberly; Wagner, Franklin; Jo, Insu; Elliott, Jessica; Fei, Songlin] Purdue Univ, Dept Forestry &amp; Nat Resources, W Lafayette, IN 47907 USA; [Jo, Insu] Manaaki Whenua Landcare Res, Lincoln 7608, New Zealand</t>
  </si>
  <si>
    <t>Purdue University System; Purdue University; Purdue University West Lafayette Campus; Landcare Research - New Zealand</t>
  </si>
  <si>
    <t>Fei, SL (corresponding author), Purdue Univ, Dept Forestry &amp; Nat Resources, W Lafayette, IN 47907 USA.</t>
  </si>
  <si>
    <t>Jo, Insu/I-8084-2012; Jo, Insu/AAE-4079-2019; Knott, Jonathan/AAA-8394-2019</t>
  </si>
  <si>
    <t>Jo, Insu/0000-0002-1759-2319; Jo, Insu/0000-0002-1759-2319; Knott, Jonathan/0000-0003-3856-8454; Ward, Samuel/0000-0002-3206-4880; Fei, Songlin/0000-0003-2772-0166; LaRue, Elizabeth/0000-0002-9535-0630</t>
  </si>
  <si>
    <t>United States Department of Agriculture's National Institute of Food and Agriculture [USDA NIFA 11207356]; National Science Foundation [DEB-1638702]; Purdue University Open Access Publishing Fund</t>
  </si>
  <si>
    <t>United States Department of Agriculture's National Institute of Food and Agriculture; National Science Foundation(National Science Foundation (NSF)); Purdue University Open Access Publishing Fund</t>
  </si>
  <si>
    <t>This project was partially funded by the United States Department of Agriculture's National Institute of Food and Agriculture (USDA NIFA 11207356) and National Science Foundation (DEB-1638702) to S. Fei. Publication of this article was funded in part by the Purdue University Open Access Publishing Fund. The project was conceived as a group and led by JK, EM, and SF with input from all other co-authors. JK and EM performed the analysis. JK, JE, EL, and KO created the Shiny app. All authors contributed to writing and editing the manuscript.</t>
  </si>
  <si>
    <t>2150-8925</t>
  </si>
  <si>
    <t>Ecosphere</t>
  </si>
  <si>
    <t>e02801</t>
  </si>
  <si>
    <t>10.1002/ecs2.2801</t>
  </si>
  <si>
    <t>Ecology</t>
  </si>
  <si>
    <t>IU8LD</t>
  </si>
  <si>
    <t>WOS:000483832300008</t>
  </si>
  <si>
    <t>Chen, HH; Zhang, RD</t>
  </si>
  <si>
    <t>Chen, Haohan; Zhang, Ruodan</t>
  </si>
  <si>
    <t>Identifying Nonprofits by Scaling Mission and Activity with Word Embedding</t>
  </si>
  <si>
    <t>VOLUNTAS</t>
  </si>
  <si>
    <t>Nonprofit organizations; Text-as-data; Word embedding; Document retrieval; Identification</t>
  </si>
  <si>
    <t>This study develops a new text-as-data method for organization identification, based on word embedding. We introduce and apply the method to identify identity-based nonprofit organizations, using the U.S. nonprofits' mission and activity information reported in the IRS Form 990s in 2010-2016. Our results show that such method is simple but versatile. It complements the existing dictionary-based approaches and supervised machine learning methods for classification purposes and generates a reliable continuous measure of document-to-keyword relevance. Our approach provides a nonbinary alternative for nonprofit big data analyses. Using word embedding, researchers are able to identify organizations of interest, track possible changes over time and capture nonprofits' multi-dimensionality.</t>
  </si>
  <si>
    <t>[Chen, Haohan] Univ Hong Kong, Dept Polit &amp; Publ Adm, Hong Kong, Peoples R China; [Zhang, Ruodan] Univ Connecticut, Dept Publ Policy, 10 Prospect St, Hartford, CT 06103 USA</t>
  </si>
  <si>
    <t>University of Hong Kong; University of Connecticut</t>
  </si>
  <si>
    <t>Zhang, RD (corresponding author), Univ Connecticut, Dept Publ Policy, 10 Prospect St, Hartford, CT 06103 USA.</t>
  </si>
  <si>
    <t>ruodan.zhang@uconn.edu</t>
  </si>
  <si>
    <t>Zhang, Ruodan/0000-0002-0702-246X; Chen, Haohan/0000-0003-1342-3339</t>
  </si>
  <si>
    <t>0957-8765</t>
  </si>
  <si>
    <t>1573-7888</t>
  </si>
  <si>
    <t>Voluntas</t>
  </si>
  <si>
    <t>10.1007/s11266-021-00399-7</t>
  </si>
  <si>
    <t>UP6CW</t>
  </si>
  <si>
    <t>WOS:000695467000007</t>
  </si>
  <si>
    <t>Ewert, S; Jankowski, M; Muller, J</t>
  </si>
  <si>
    <t>Ewert, Stefan; Jankowski, Michael; Mueller, Jochen</t>
  </si>
  <si>
    <t>Comparing governments' policy positions across states Heterogeneity in the case of agricultural policy</t>
  </si>
  <si>
    <t>Agricultural policy; quantitative text analysis; German Lander; partisan theory</t>
  </si>
  <si>
    <t>POST-EXCEPTIONALISM; PARADIGMS; FOOD</t>
  </si>
  <si>
    <t>Partisan theory is one of the major explanations in policy analysis. In this setting, how policy positions affect policy outcomes has usually been captured by individual parties' government participation or by their seat share. From our perspective, this approach is (increasingly) inadequate because the German parties' regional branches are very heterogeneous and because coalitions are increasingly complex and atypical. We argue that new methods for text analysis can provide an alternative strategy for data collection and showusing agricultural policy in the German states as an examplehow they can be utilized by policy analysis.</t>
  </si>
  <si>
    <t>[Ewert, Stefan; Mueller, Jochen] Ernst Moritz Arndt Univ Greifswald, Inst Polit &amp; Kommunikat Wissensch, Greifswald, Germany; [Jankowski, Michael] Carl von Ossietzky Univ Oldenburg, Inst Sozialwissensch, Oldenburg, Germany</t>
  </si>
  <si>
    <t>Ernst Moritz Arndt Universitat Greifswald; Carl von Ossietzky Universitat Oldenburg</t>
  </si>
  <si>
    <t>Ewert, S (corresponding author), Ernst Moritz Arndt Univ Greifswald, Inst Polit &amp; Kommunikat Wissensch, Greifswald, Germany.</t>
  </si>
  <si>
    <t>stefan.ewert@uni-greifswald.de; michael.jankowski@uni-oldenburg.de; jochen.mueller@uni-greifswald.de</t>
  </si>
  <si>
    <t>Jankowski, Michael/GQY-8152-2022</t>
  </si>
  <si>
    <t>Jankowski, Michael/0000-0002-7765-9132</t>
  </si>
  <si>
    <t>10.1007/s12286-018-0405-x</t>
  </si>
  <si>
    <t>HB9BX</t>
  </si>
  <si>
    <t>WOS:000451387500005</t>
  </si>
  <si>
    <t>Resta, V</t>
  </si>
  <si>
    <t>Resta, Valeria</t>
  </si>
  <si>
    <t>The 'myth of moderation' following the Arab Uprisings: polarization in Tunisia and Egypt's founding elections</t>
  </si>
  <si>
    <t>BRITISH JOURNAL OF MIDDLE EASTERN STUDIES</t>
  </si>
  <si>
    <t>POLITICAL-PARTIES; TRANSITIONS; ISLAMISTS; DEMOCRACY; COOPERATION; WORLD</t>
  </si>
  <si>
    <t>From the actor-centric perspective of party politics, it is widely held that the two transitional outcomes observed in Tunisia and Egypt are the result of the different degree of polarization across the two party systems. Through a quantitative text analysis of the party manifestos of the main transitional parties in Tunisia and Egypt, this contribution shows that the end result of the two transitional experiences has actually little to do with polarization and it is rather due to the way political parties structured political competition during the founding elections.</t>
  </si>
  <si>
    <t>[Resta, Valeria] Bocconi Univ, Milan, Italy</t>
  </si>
  <si>
    <t>Bocconi University</t>
  </si>
  <si>
    <t>Resta, V (corresponding author), Dept Polit Sci, Via Roentgen 1, I-20136 Milan, Italy.;Resta, V (corresponding author), Laval Univ, CIRAM Ctr Interdisciplinaire Rech Afrique &amp; Moyen, Quebec City, PQ, Canada.</t>
  </si>
  <si>
    <t>valeria.resta@uniroma1.it</t>
  </si>
  <si>
    <t>1353-0194</t>
  </si>
  <si>
    <t>1469-3542</t>
  </si>
  <si>
    <t>BRIT J MIDDLE E STUD</t>
  </si>
  <si>
    <t>Br. J. Middle East. Stud.</t>
  </si>
  <si>
    <t>10.1080/13530194.2021.2023353</t>
  </si>
  <si>
    <t>Area Studies; History</t>
  </si>
  <si>
    <t>YS1TI</t>
  </si>
  <si>
    <t>WOS:000750466400001</t>
  </si>
  <si>
    <t>Kohama, S; Tago, A; Inamasu, K</t>
  </si>
  <si>
    <t>Suzuki, M; Okada, A</t>
  </si>
  <si>
    <t>Kohama, Shoko; Tago, Atsushi; Inamasu, Kazunori</t>
  </si>
  <si>
    <t>Information Sharing in Early Stage International Disputes: How China and Japan Communicate</t>
  </si>
  <si>
    <t>GAMES OF CONFLICT AND COOPERATION IN ASIA</t>
  </si>
  <si>
    <t>Political Economy of the Asia Pacific</t>
  </si>
  <si>
    <t>Early stage disputes; Information sharing; Noisy signals; Media; Quantitative text analysis (QTA)</t>
  </si>
  <si>
    <t>CONFLICT; IMPACT; POWER</t>
  </si>
  <si>
    <t>This study explores the mechanism by which countries share information through international and domestic media in the early stages of international disputes. Despite the rich theoretical literature on crisis bargaining and widespread concerns over various sources of conflict in the Asia-Pacific region, early stage disputes have not been fully modeled. We theorize them in a framework in which countries do not seek immediate redistribution of goods at stake and restrain themselves from escalating the dispute while pursuing an advantageous standing. In the model, two countries simultaneously choose the amount of input in provocative actions with one-sided unknown cost of input and, in advance, a country possessing private information chooses the degree to which it reveals the private information to the counterpart and the domestic public. We demonstrate that exogenous agencies, such as domestic and international media, who are able to verify information, incentivize countries to share private information and provide even greater incentives when these agencies incur a favorable bias in information transmission. Conversely, countries surrounded by hostile international media and relatively uncontrollable domestic media are likely to send noisy signals, which undermines the quality of information transmission. In early stage disputes, therefore, the international news environment and domestic freedom of the press greatly affect information sharing between disputants. To illustrate this mechanism, we analyze governmental statements and subsequent news articles publicized during the Sino-Japanese aircraft scrambling incidents in 2014 using the quantitative text analysis (QTA) method.</t>
  </si>
  <si>
    <t>[Kohama, Shoko] Hokkaido Univ, Publ Policy Sch, Sapporo, Hokkaido, Japan; [Kohama, Shoko] Hokkaido Univ, Grad Sch Law, Sapporo, Hokkaido, Japan; [Tago, Atsushi] Kobe Univ, Grad Sch Law, Int Relat, Kobe, Hyogo, Japan; [Inamasu, Kazunori] Kwansei Gakuin Univ, Sch Sociol, Nishinomiya, Hyogo, Japan</t>
  </si>
  <si>
    <t>Hokkaido University; Hokkaido University; Kobe University; Kwansei Gakuin University</t>
  </si>
  <si>
    <t>Kohama, S (corresponding author), Hokkaido Univ, Publ Policy Sch, Sapporo, Hokkaido, Japan.;Kohama, S (corresponding author), Hokkaido Univ, Grad Sch Law, Sapporo, Hokkaido, Japan.</t>
  </si>
  <si>
    <t>skohama@juris.hokudai.ac.jp</t>
  </si>
  <si>
    <t>Tago, Atsushi/ABB-1124-2021; Kohama, Shoko/N-2951-2019</t>
  </si>
  <si>
    <t>Tago, Atsushi/0000-0002-9932-3728; Kohama, Shoko/0000-0001-5174-7313</t>
  </si>
  <si>
    <t>SPRINGER JAPAN KK</t>
  </si>
  <si>
    <t>CHIYODA FIRST BLDG E, 3-8-1 NISHI-KANDA CHIYODA-KU, TOKYO, 101-0065, JAPAN</t>
  </si>
  <si>
    <t>1866-6507</t>
  </si>
  <si>
    <t>978-4-431-56466-9; 978-4-431-56464-5</t>
  </si>
  <si>
    <t>POLIT ECON ASIA PAC</t>
  </si>
  <si>
    <t>10.1007/978-4-431-56466-9_3</t>
  </si>
  <si>
    <t>10.1007/978-4-431-56466-9</t>
  </si>
  <si>
    <t>Area Studies; International Relations</t>
  </si>
  <si>
    <t>BJ0RE</t>
  </si>
  <si>
    <t>WOS:000417089900004</t>
  </si>
  <si>
    <t>Hirschmuller, S; Egloff, B</t>
  </si>
  <si>
    <t>Hirschmueller, Sarah; Egloff, Boris</t>
  </si>
  <si>
    <t>Positive Emotional Language in the Final Words Spoken Directly Before Execution</t>
  </si>
  <si>
    <t>mortality salience; language use; quantitative text analysis; emotional positivity; terror management</t>
  </si>
  <si>
    <t>SOCIAL PREFERENCES; SELF-ESTEEM; DEATH; TERROR; SUICIDE; TIME; STATEMENTS; LIFE; AGE</t>
  </si>
  <si>
    <t>How do individuals emotionally cope with the imminent real-world salience of mortality? DeWall and Baumeister as well as Kashdan and colleagues previously provided support that an increased use of positive emotion words serves as a way to protect and defend against mortality salience of one's own contemplated death. Although these studies provide important insights into the psychological dynamics of mortality salience, it remains an open question how individuals cope with the immense threat of mortality prior to their imminent actual death. In the present research, we therefore analyzed positivity in the final words spoken immediately before execution by 407 death row inmates in Texas. By using computerized quantitative text analysis as an objective measure of emotional language use, our results showed that the final words contained a significantly higher proportion of positive than negative emotion words. This emotional positivity was significantly higher than (a) positive emotion word usage base rates in spoken and written materials and (b) positive emotional language use with regard to contemplated death and attempted or actual suicide. Additional analyses showed that emotional positivity in final statements was associated with a greater frequency of language use that was indicative of self-references, social orientation, and present oriented time focus as well as with fewer instances of cognitive processing, past-oriented, and death-related word use. Taken together, our findings offer new insights into how individuals cope with the imminent real-world salience of mortality.</t>
  </si>
  <si>
    <t>[Hirschmueller, Sarah; Egloff, Boris] Johannes Gutenberg Univ Mainz, Dept Psychol, D-55122 Mainz, Germany</t>
  </si>
  <si>
    <t>Johannes Gutenberg University of Mainz</t>
  </si>
  <si>
    <t>Hirschmuller, S (corresponding author), Johannes Gutenberg Univ Mainz, Dept Psychol, D-55122 Mainz, Germany.</t>
  </si>
  <si>
    <t>hirschmu@uni-mainz.de</t>
  </si>
  <si>
    <t>Hirschmüller, Sarah/A-9443-2016; Egloff, Boris/G-2503-2013</t>
  </si>
  <si>
    <t>Hirschmüller, Sarah/0000-0002-6405-1160; Egloff, Boris/0000-0002-5736-9912</t>
  </si>
  <si>
    <t>JAN 13</t>
  </si>
  <si>
    <t>10.3389/fpsyg.2015.01985</t>
  </si>
  <si>
    <t>DA7TY</t>
  </si>
  <si>
    <t>WOS:000368008300001</t>
  </si>
  <si>
    <t>Larson, BN</t>
  </si>
  <si>
    <t>Larson, Brian N.</t>
  </si>
  <si>
    <t>Gender/Genre: The Lack of Gendered Register in Texts Requiring Genre Knowledge</t>
  </si>
  <si>
    <t>WRITTEN COMMUNICATION</t>
  </si>
  <si>
    <t>legal texts; legal discourse; corpus; automated text analysis; relevance theory; cognitive environment</t>
  </si>
  <si>
    <t>PRAGMATICS</t>
  </si>
  <si>
    <t>Some studies have found characteristics of written texts that vary with author gender, echoing popular beliefs about essential gender differences that are reinforced in popular works of some scholarly authors. This article reports a study examining texts (N = 193) written in the same genrea legal memorandumby women and men with similar training in production of this type of discoursethe first year of U.S. law schooland finds no difference between them on the involved-informational dimension of linguistic register developed by Biber. These findings provide quantitative data opposing essentialist narratives of gender difference in communication. This essay considers relevance theory as a framework for understanding the interaction, exhibited in this and previous studies, of genre knowledge and gendered communicative performances.</t>
  </si>
  <si>
    <t>[Larson, Brian N.] Georgia Inst Technol, Sch Literature Media &amp; Commun, 316 Skiles,686 Cherry St, Atlanta, GA 30332 USA</t>
  </si>
  <si>
    <t>University System of Georgia; Georgia Institute of Technology</t>
  </si>
  <si>
    <t>Larson, BN (corresponding author), Georgia Inst Technol, Sch Literature Media &amp; Commun, 316 Skiles,686 Cherry St, Atlanta, GA 30332 USA.</t>
  </si>
  <si>
    <t>blarson@gatech.edu</t>
  </si>
  <si>
    <t>Larson, Brian/0000-0001-9806-726X</t>
  </si>
  <si>
    <t>University of Minnesota; Writing Studies Department James I. Brown fellowship fund; University of Minnesota, College of Liberal Arts Graduate Research Partnership Program</t>
  </si>
  <si>
    <t>University of Minnesota(University of Minnesota System); Writing Studies Department James I. Brown fellowship fund; University of Minnesota, College of Liberal Arts Graduate Research Partnership Program</t>
  </si>
  <si>
    <t>The author disclosed receipt of the following financial support for the research, authorship, and/or publication of this article: This research received support from the University of Minnesota, Writing Studies Department James I. Brown fellowship fund and the University of Minnesota, College of Liberal Arts Graduate Research Partnership Program.</t>
  </si>
  <si>
    <t>0741-0883</t>
  </si>
  <si>
    <t>1552-8472</t>
  </si>
  <si>
    <t>WRIT COMMUN</t>
  </si>
  <si>
    <t>Writ. Commun.</t>
  </si>
  <si>
    <t>10.1177/0741088316667927</t>
  </si>
  <si>
    <t>DZ7OB</t>
  </si>
  <si>
    <t>WOS:000386054500001</t>
  </si>
  <si>
    <t>Shahbaz, M; Guergachi, A; Rehman, RTU</t>
  </si>
  <si>
    <t>Shahbaz, Muhammad; Guergachi, Aziz; Rehman, Rana Tanzeel ur</t>
  </si>
  <si>
    <t>Sentiment Miner: A Prototype for Sentiment Analysis of Unstructured Data and Text</t>
  </si>
  <si>
    <t>2014 IEEE 27TH CANADIAN CONFERENCE ON ELECTRICAL AND COMPUTER ENGINEERING (CCECE)</t>
  </si>
  <si>
    <t>Canadian Conference on Electrical and Computer Engineering</t>
  </si>
  <si>
    <t>IEEE 27th Canadian Conference on Electrical and Computer Engineering (CCECE)</t>
  </si>
  <si>
    <t>MAY 04-07, 2014</t>
  </si>
  <si>
    <t>Toronto, CANADA</t>
  </si>
  <si>
    <t>IEEE,Ryerson Univ, Fac Engn &amp; Architectural Sci,The Personal,Mercer,Ontario Soc Profess Engineers,KPMG,IEEE Canada,IEEE Toronto Sect,IEEE Peterborough Sect,IEEE Canada, Kitchener Waterloo Sect,IEEE London Sect,IEEE Hamilton Sect,IEEE Kingston Sect</t>
  </si>
  <si>
    <t>Mining (TM); Natural Language Processing (NLP); Information Extraction (IE); Sentiment Analysis; Opinion Mining; Lexical Resources; SentiWordNet</t>
  </si>
  <si>
    <t>This paper presents a method to apply opinion mining on unstructured text for polarity extraction and classification at sentence level within a document. The generation of massive unstructured information about individuals makes the task of progress tracking and monitoring almost impracticable which results in the quest to find some way for automated text analysis and tagging. The proposed solution in this work is the development of a System (Sentiment Miner). It will provide features to process and classify text files (reviews and appraisals) for opinion mining at sentence level using Natural language Processing techniques and Opinion Mining algorithms. The prototype of a final product; a Semantic Search Engine will facilitate in document retrieval for analysis whenever required.</t>
  </si>
  <si>
    <t>[Shahbaz, Muhammad; Rehman, Rana Tanzeel ur] Univ Engn &amp; Technol, Dept Comp Sci &amp; Engn, Lahore, Pakistan; [Guergachi, Aziz] Ryerson Univ, Ted Rogers Sch Informat Technol Management, Toronto, ON, Canada</t>
  </si>
  <si>
    <t>University of Engineering &amp; Technology Lahore; Toronto Metropolitan University</t>
  </si>
  <si>
    <t>Shahbaz, M (corresponding author), Univ Engn &amp; Technol, Dept Comp Sci &amp; Engn, GT Rd, Lahore, Pakistan.</t>
  </si>
  <si>
    <t>0840-7789</t>
  </si>
  <si>
    <t>978-1-4799-3099-9</t>
  </si>
  <si>
    <t>CAN CON EL COMP EN</t>
  </si>
  <si>
    <t>Computer Science, Theory &amp; Methods; Engineering, Electrical &amp; Electronic</t>
  </si>
  <si>
    <t>BD4QI</t>
  </si>
  <si>
    <t>WOS:000361017900175</t>
  </si>
  <si>
    <t>Kim, E; Patterson, S</t>
  </si>
  <si>
    <t>Kim, Eunji; Patterson, Shawn, Jr.</t>
  </si>
  <si>
    <t>The Pandemic and Gender Inequality in Academia</t>
  </si>
  <si>
    <t>EQUALITY; CITATION; PATTERNS; WORK</t>
  </si>
  <si>
    <t>Has the pandemic exacerbated gender inequality in academia? We provide real- time evidence by analyzing 1.8 million tweets from approximately 3,000 political scientists, leveraging their use of social media for career advancement. Using automated text analysis and difference-in-differences estimation, we find that although faculty members of both genders were affected by the pandemic, the shift to remote work caused women to tweet less often than their male colleagues about professional accomplishments. We argue that these effects are driven by the increased familial obligations placed on women, as demonstrated by the increase in family-related tweets and the more pronounced effects among junior academics. Our evidence demonstrating the gendered shift in professional visibility during the pandemic provides the opportunity for proactive efforts to address disparities that otherwise may take years to manifest.</t>
  </si>
  <si>
    <t>[Kim, Eunji] Vanderbilt Univ, Polit Sci, 221 Kirkland Hall, Nashville, TN 37235 USA; [Patterson, Shawn, Jr.] Southern Oregon Univ, Polit Sci, Ashland, OR USA</t>
  </si>
  <si>
    <t>Vanderbilt University</t>
  </si>
  <si>
    <t>Kim, E (corresponding author), Vanderbilt Univ, Polit Sci, 221 Kirkland Hall, Nashville, TN 37235 USA.</t>
  </si>
  <si>
    <t>eunji.kim@vanderbilt.edu; pattersos@sou.edu</t>
  </si>
  <si>
    <t>Kim, Eunji/0000-0002-7269-8220</t>
  </si>
  <si>
    <t>PII S1049096521001049</t>
  </si>
  <si>
    <t>10.1017/S1049096521001049</t>
  </si>
  <si>
    <t>XR0UH</t>
  </si>
  <si>
    <t>WOS:000731954800024</t>
  </si>
  <si>
    <t>Ferri, P; Lusiani, M; Pareschi, L</t>
  </si>
  <si>
    <t>Ferri, Paolo; Lusiani, Maria; Pareschi, Luca</t>
  </si>
  <si>
    <t>Shades of theory: A topic modelling of ways of theorizing in accounting history research</t>
  </si>
  <si>
    <t>ACCOUNTING HISTORY</t>
  </si>
  <si>
    <t>accounting history; literature review; theorizing; topic modelling</t>
  </si>
  <si>
    <t>HISTORIOGRAPHY; GOVERNMENT; LANDSCAPE; FUTURE; MARKET</t>
  </si>
  <si>
    <t>The article aims to explore ways of theorizing in accounting history research. The article draws on findings originating from a semi-automated text analysis by means of topic modelling of 1,300 accounting history papers published between 1996 and 2015 across six journals most relevant to the discipline. Findings show the presence of a whole range of ways of theorizing at different levels of abstraction (from narrating to conceptualizing to theorizing settings to grand theorizing). Different ways of theorizing tend to be associated not only with specific research objects but also with specific journal types. Overall, both narrating and grand theorizing are relatively decreasing in favour of mid-range theorizing approaches, which seem to be on the rise.</t>
  </si>
  <si>
    <t>[Ferri, Paolo; Pareschi, Luca] Univ Bologna, Via Capo Lucca 34, I-40126 Bologna, Italy; [Lusiani, Maria] Ca Foscari Univ Venice, Venice, Italy</t>
  </si>
  <si>
    <t>University of Bologna; Universita Ca Foscari Venezia</t>
  </si>
  <si>
    <t>Ferri, P (corresponding author), Univ Bologna, Via Capo Lucca 34, I-40126 Bologna, Italy.</t>
  </si>
  <si>
    <t>p.ferri@unibo.it</t>
  </si>
  <si>
    <t>Lusiani, Maria/0000-0002-5550-8800; PARESCHI, Luca/0000-0002-4402-9329</t>
  </si>
  <si>
    <t>Royal Melbourne Institute of Technology (RMIT) School of Accounting Research Grant Scheme</t>
  </si>
  <si>
    <t>The author(s) disclosed receipt of the following financial support for the research, authorship and/or publication of this article: This work was supported by the Royal Melbourne Institute of Technology (RMIT) School of Accounting Research Grant Scheme 2016.</t>
  </si>
  <si>
    <t>1032-3732</t>
  </si>
  <si>
    <t>1749-3374</t>
  </si>
  <si>
    <t>ACCOUNT HIST</t>
  </si>
  <si>
    <t>Account. Hist.</t>
  </si>
  <si>
    <t>10.1177/1032373220964271</t>
  </si>
  <si>
    <t>DEC 2020</t>
  </si>
  <si>
    <t>TU9SZ</t>
  </si>
  <si>
    <t>WOS:000599912800001</t>
  </si>
  <si>
    <t>Schotel, AL</t>
  </si>
  <si>
    <t>Schotel, Anne Louise</t>
  </si>
  <si>
    <t>Mainstream or Marginalized? How German and Dutch Newspapers Frame LGBTI</t>
  </si>
  <si>
    <t>SOCIAL POLITICS</t>
  </si>
  <si>
    <t>SAME-SEX MARRIAGE; POLITICS; GENDER; RIGHTS; GAY; HOMONORMATIVITY; REPRESENTATION; HOMOSEXUALITY; DIVERSITY; DEBATE</t>
  </si>
  <si>
    <t>Although historically ignored or stigmatized by mainstream media, lesbian, gay, bisexual, transgender, and intersex (LGBTI) people have increasingly become visible. However, increased visibility does not necessarily translate to more inclusive reporting. Comparing framing of LGBTI in Germany and the Netherlands, I ask which frames are assimilative and which pose structural challenges to hegemonic heteronormative notions on gender and sexuality. I apply a combination of automated text analysis of over 15,000 Dutch and German newspaper articles from 2009 to 2019 with critical frame analysis to analyze how LGBTI people are included in public debate. Despite increased visibility, coverage of gender identity and sexuality continues to be depoliticized and assimilative. Comparing two European cases shows which frames are mainstream and which are marginalized.</t>
  </si>
  <si>
    <t>[Schotel, Anne Louise] Univ Amsterdam, Amsterdam Inst Sodal Sci Res AISSR, NL-1001 NB Amsterdam, Netherlands</t>
  </si>
  <si>
    <t>Schotel, AL (corresponding author), Univ Amsterdam, Amsterdam Inst Sodal Sci Res AISSR, NL-1001 NB Amsterdam, Netherlands.</t>
  </si>
  <si>
    <t>a.l.schotel@uva.nl</t>
  </si>
  <si>
    <t>Schotel, Anne Louise/0000-0002-2451-6306</t>
  </si>
  <si>
    <t>1072-4745</t>
  </si>
  <si>
    <t>1468-2893</t>
  </si>
  <si>
    <t>SOC POLIT</t>
  </si>
  <si>
    <t>Soc. Polit.</t>
  </si>
  <si>
    <t>10.1093/sp/jxac004</t>
  </si>
  <si>
    <t>Social Issues; Women's Studies</t>
  </si>
  <si>
    <t>0R7ZS</t>
  </si>
  <si>
    <t>WOS:000785808400001</t>
  </si>
  <si>
    <t>Ceran, B; Kedia, N; Corman, SR; Davulcu, H</t>
  </si>
  <si>
    <t>Pei, J; Silvestri, F; Tang, J</t>
  </si>
  <si>
    <t>Ceran, Betul; Kedia, Nitesh; Corman, Steven R.; Davulcu, Hasan</t>
  </si>
  <si>
    <t>Story Detection Using Generalized Concepts and Relations</t>
  </si>
  <si>
    <t>PROCEEDINGS OF THE 2015 IEEE/ACM INTERNATIONAL CONFERENCE ON ADVANCES IN SOCIAL NETWORKS ANALYSIS AND MINING (ASONAM 2015)</t>
  </si>
  <si>
    <t>IEEE/ACM International Conference on Advances in Social Networks Analysis and Mining (ASONAM)</t>
  </si>
  <si>
    <t>AUG 25-28, 2015</t>
  </si>
  <si>
    <t>Paris, FRANCE</t>
  </si>
  <si>
    <t>IEEE,Assoc Comp Machinery,ACM SIGKDD,IEEE Comp Soc,IEEE TCDE,Springer,Cisco,Telecom ParisTech</t>
  </si>
  <si>
    <t>A major challenge in automated text analysis is that different words are used for related concepts. Analyzing text at the surface level would treat related concepts (i.e. actors, actions, targets, and victims) as different objects, potentially missing common narrative patterns. Shallow parsers reveal semantic roles of words leading to subject-verb-object triplets. We developed a novel algorithm to extract information from triplets by clustering them into generalized concepts by utilizing syntactic criteria based on common contexts and semantic corpus-based statistical criteria based on contextual synonyms. We show that generalized concepts representation of text (1) overcomes surface level differences (which arise when different keywords are used for related concepts) without drift, (2) leads to a higher-level semantic network representation of related stories, and (3) when used as features, they yield a significant 36% boost in performance for the story detection task.</t>
  </si>
  <si>
    <t>[Ceran, Betul; Kedia, Nitesh; Davulcu, Hasan] Arizona State Univ, Sch Comp Informat &amp; Decis Syst Engn, Tempe, AZ 85287 USA; [Corman, Steven R.] Arizona State Univ, Hugh Downs Sch Human Commun, Tempe, AZ 85287 USA</t>
  </si>
  <si>
    <t>Arizona State University; Arizona State University-Tempe; Arizona State University; Arizona State University-Tempe</t>
  </si>
  <si>
    <t>Ceran, B (corresponding author), Arizona State Univ, Sch Comp Informat &amp; Decis Syst Engn, Tempe, AZ 85287 USA.</t>
  </si>
  <si>
    <t>betul@asu.edu; nitesh.kedia@asu.edu; steve.corman@asu.edu; hdavulcu@asu.edu</t>
  </si>
  <si>
    <t>1601 Broadway, 10th Floor, NEW YORK, NY, UNITED STATES</t>
  </si>
  <si>
    <t>978-1-4503-3854-7</t>
  </si>
  <si>
    <t>10.1145/2808797.2809312</t>
  </si>
  <si>
    <t>BE4JN</t>
  </si>
  <si>
    <t>WOS:000371793500144</t>
  </si>
  <si>
    <t>Baturo, A; Dasandi, N; Mikhaylov, SJ</t>
  </si>
  <si>
    <t>Baturo, Alexander; Dasandi, Niheer; Mikhaylov, Slava J.</t>
  </si>
  <si>
    <t>Understanding state preferences with text as data: Introducing the UN General Debate corpus</t>
  </si>
  <si>
    <t>Policy preferences; foreign policy; United Nations; text as data</t>
  </si>
  <si>
    <t>POLICY POSITIONS</t>
  </si>
  <si>
    <t>Every year at the United Nations (UN), member states deliver statements during the General Debate (GD) discussing major issues in world politics. These speeches provide invaluable information on governments' perspectives and preferences on a wide range of issues, but have largely been overlooked in the study of international politics. This paper introduces a new dataset consisting of over 7300 country statements from 1970-2014. We demonstrate how the UN GD corpus (UNGDC) can be used as a resource from which country positions on different policy dimensions can be derived using text analytic methods. The article provides applications of these estimates, demonstrating the contribution the UNGDC can make to the study of international politics.</t>
  </si>
  <si>
    <t>[Baturo, Alexander] Dublin City Univ, Dublin, Ireland; [Dasandi, Niheer] Univ Birmingham, Birmingham, W Midlands, England; [Mikhaylov, Slava J.] Univ Essex, Wivenhoe Pk, Colchester CO4 3SQ, Essex, England</t>
  </si>
  <si>
    <t>Dublin City University; University of Birmingham; University of Essex</t>
  </si>
  <si>
    <t>Mikhaylov, SJ (corresponding author), Univ Essex, Wivenhoe Pk, Colchester CO4 3SQ, Essex, England.</t>
  </si>
  <si>
    <t>s.mikhaylov@essex.ac.uk</t>
  </si>
  <si>
    <t>Baturo, Alexander/0000-0002-1108-5287; Dasandi, Niheer/0000-0002-8708-837X</t>
  </si>
  <si>
    <t>Dublin City University Enhancing Performance Award</t>
  </si>
  <si>
    <t>We acknowledge the receipt of the Dublin City University Enhancing Performance Award.</t>
  </si>
  <si>
    <t>APR-JUN</t>
  </si>
  <si>
    <t>10.1177/2053168017712821</t>
  </si>
  <si>
    <t>FW0TJ</t>
  </si>
  <si>
    <t>gold, Green Submitted, Green Accepted, Green Published</t>
  </si>
  <si>
    <t>WOS:000425008000009</t>
  </si>
  <si>
    <t>Erlich, A; Dantas, SG; Bagozzi, BE; Berliner, D; Palmer-Rubin, B</t>
  </si>
  <si>
    <t>Erlich, Aaron; Dantas, Stefano G.; Bagozzi, Benjamin E.; Berliner, Daniel; Palmer-Rubin, Brian</t>
  </si>
  <si>
    <t>Multi-Label Prediction for Political Text-as-Data</t>
  </si>
  <si>
    <t>text-as-data; multi-label; machine learning; classification; prediction</t>
  </si>
  <si>
    <t>HUMAN-RIGHTS; INFORMATION; CLASSIFICATION; SUPPORT</t>
  </si>
  <si>
    <t>Political scientists increasingly use supervised machine learning to code multiple relevant labels from a single set of texts. The current best practice of individually applying supervised machine learning to each label ignores information on inter-label association(s), and is likely to under-perform as a result. We introduce multi-label prediction as a solution to this problem. After reviewing the multi-label prediction framework, we apply it to code multiple features of (i) access to information requests made to the Mexican government and (ii) country-year human rights reports. We find that multi-label prediction outperforms standard supervised learning approaches, even in instances where the correlations among one's multiple labels are low.</t>
  </si>
  <si>
    <t>[Erlich, Aaron] McGill Univ, Dept Polit Sci, Montreal, PQ, Canada; [Erlich, Aaron] Ctr Study Democrat Citizenship, Montreal, PQ, Canada; [Dantas, Stefano G.] McGill Univ, Dept Elect &amp; Comp Engn, Montreal, PQ, Canada; [Bagozzi, Benjamin E.] Univ Delaware, Dept Polit Sci &amp; Int Relat, Newark, DE 19716 USA; [Berliner, Daniel] London Sch Econ &amp; Polit Sci, Dept Govt, London, England; [Palmer-Rubin, Brian] Marquette Univ, Dept Polit Sci, Milwaukee, WI 53233 USA</t>
  </si>
  <si>
    <t>McGill University; McGill University; University of Delaware; University of London; London School Economics &amp; Political Science; Marquette University</t>
  </si>
  <si>
    <t>Bagozzi, BE (corresponding author), Univ Delaware, Dept Polit Sci &amp; Int Relat, Newark, DE 19716 USA.</t>
  </si>
  <si>
    <t>Erlich, Aaron/AAE-3132-2021</t>
  </si>
  <si>
    <t>Erlich, Aaron/0000-0001-6571-9081; Bagozzi, Benjamin/0000-0002-6233-6453</t>
  </si>
  <si>
    <t>Social Science and Humanities Research Council [430-2018-1069]; Fonds de recherche du Quebec -Societe et culture [253243]; Compute Canada; National Science Foundation [DMS-1737865]; University of Delaware General University Research Fund; LSE Suntory and Toyota International Centres for Economics and Related Disciplines; Marquette University Committee on Research</t>
  </si>
  <si>
    <t>Social Science and Humanities Research Council(Social Sciences and Humanities Research Council of Canada (SSHRC)); Fonds de recherche du Quebec -Societe et culture; Compute Canada; National Science Foundation(National Science Foundation (NSF)); University of Delaware General University Research Fund; LSE Suntory and Toyota International Centres for Economics and Related Disciplines; Marquette University Committee on Research</t>
  </si>
  <si>
    <t>This work was supported by the Social Science and Humanities Research Council [430-2018-1069 to A.E., 430-2018-1069 to S.G.D.], the Fonds de recherche du Quebec -Societe et culture [253243 to A.E., 253243 to S.G.D.], Compute Canada [to A.E. and S.G.D.], the National Science Foundation [DMS-1737865 to B.E.B.], the University of Delaware General University Research Fund [to B.E.B.], the LSE Suntory and Toyota International Centres for Economics and Related Disciplines [to D.B.], and the Marquette University Committee on Research [to B.P.R.].</t>
  </si>
  <si>
    <t>PII S1047198721000152</t>
  </si>
  <si>
    <t>10.1017/pan.2021.15</t>
  </si>
  <si>
    <t>4J8OI</t>
  </si>
  <si>
    <t>Green Published, Green Accepted</t>
  </si>
  <si>
    <t>WOS:000779073200001</t>
  </si>
  <si>
    <t>Smuts, H; Van der Merwe, A</t>
  </si>
  <si>
    <t>Smuts, Hanlie; Van der Merwe, Alta</t>
  </si>
  <si>
    <t>Knowledge Management in Society 5.0: A Sustainability Perspective</t>
  </si>
  <si>
    <t>knowledge management; sustainability; Society 5; 0; triple bottom line; automated content analysis; research agenda</t>
  </si>
  <si>
    <t>DRIVEN DECISION-MAKING; DATA ANALYTICS; BIG DATA; WORK; INFORMATION; INNOVATION; IMPACT; FUTURE</t>
  </si>
  <si>
    <t>Organizations require the means to navigate Society 5.0. This is a knowledge-intensive society where a sustainable balance must be created for social good through a system that integrates cyberspace and physical space. With significant data, information and insight exchange based on knowledge in people and machines, organizations need to make sense of the notion that knowledge assets are the central structuring elements for sustainable development. By considering the key aspects of knowledge management (KM) in Society 5.0 as they relate to sustainable development, organizations may leverage their KM capability and learning agility to successfully address the unique requirements of the new society, environment and goals for sustainable development. In this research, automated content analysis was applied to identify key KM aspects using the Leximancer software. A total of 252 academic papers were analyzed, identifying 10 themes related to key KM concepts in Society 5.0 as they pertain to sustainability. The KM concepts identified were described and mapped to the sustainability triple bottom line. They comprised three primary and three intersecting dimensions, i.e., the environment (planet), society (people) and economic performance (profit) in the socio-economic, eco-efficiency and socio-environmental domains. The most significant themes included knowledge, human, companies, information and system. Secondary themes included innovation, development, resources, social and change.</t>
  </si>
  <si>
    <t>[Smuts, Hanlie; Van der Merwe, Alta] Univ Pretoria, Dept Informat, ZA-0083 Pretoria, South Africa; [Smuts, Hanlie] Knowledge Management South Africa, 59 Woodlands Ave, ZA-2196 Hurlingham Manor, Sandton, South Africa</t>
  </si>
  <si>
    <t>University of Pretoria</t>
  </si>
  <si>
    <t>Smuts, H (corresponding author), Univ Pretoria, Dept Informat, ZA-0083 Pretoria, South Africa.;Smuts, H (corresponding author), Knowledge Management South Africa, 59 Woodlands Ave, ZA-2196 Hurlingham Manor, Sandton, South Africa.</t>
  </si>
  <si>
    <t>hanlie.smuts@up.ac.za; alta.vdm@up.ac.za</t>
  </si>
  <si>
    <t>Smuts, Hanlie/0000-0001-7120-7787</t>
  </si>
  <si>
    <t>10.3390/su14116878</t>
  </si>
  <si>
    <t>1Z9HL</t>
  </si>
  <si>
    <t>WOS:000809125900001</t>
  </si>
  <si>
    <t>Chang, A; Xian, XC; Liu, MT; Zhao, XS</t>
  </si>
  <si>
    <t>Chang, Angela; Xian, Xuechang; Liu, Matthew Tingchi; Zhao, Xinshu</t>
  </si>
  <si>
    <t>Health Communication through Positive and Solidarity Messages Amid the COVID-19 Pandemic: Automated Content Analysis of Facebook Uses</t>
  </si>
  <si>
    <t>INTERNATIONAL JOURNAL OF ENVIRONMENTAL RESEARCH AND PUBLIC HEALTH</t>
  </si>
  <si>
    <t>COVID-19; Facebook; positive psychology; solidarity; anti-epidemic; semantic analysis; natural language processing; automated content analysis</t>
  </si>
  <si>
    <t>DEPRESSION; GRATITUDE; FATALISM; OPTIMISM; GRIT</t>
  </si>
  <si>
    <t>The COVID-19 outbreak has caused significant stress in our lives, which potentially increases frustration, fear, and resentful emotions. Managing stress is complex, but helps to alleviate negative psychological effects. In order to understand how the public coped with stress during the COVID-19 pandemic, we used Macao as a case study and collected 104,827 COVID-19 related posts from Facebook through data mining, from 1 January to 31 December 2020. Divominer, a big-data analysis tool supported by computational algorithm, was employed to identify themes and facilitate machine coding and analysis. A total of 60,875 positive messages were identified, with 24,790 covering positive psychological themes, such as anti-epidemic, solidarity, hope, gratitude, optimism, and grit. Messages that mentioned anti-epidemic, solidarity, and hope were the most prevalent, while different crisis stages, key themes and media elements had various impacts on public involvement. To the best of our knowledge, this is the first-ever study in the Chinese context that uses social media to clarify the awareness of solidarity. Positive messages are needed to empower social media users to shoulder their shared responsibility to tackle the crisis. The findings provide insights into users' needs for improving their subjective well-being to mitigate the negative psychological impact of the pandemic.</t>
  </si>
  <si>
    <t>[Chang, Angela; Xian, Xuechang; Zhao, Xinshu] Univ Macau, Fac Social Sci, Dept Commun, Macau, Peoples R China; [Chang, Angela] Lugano Univ, Inst Commun &amp; Hlth, CH-6900 Lugano, Switzerland; [Xian, Xuechang] Zhaoqing Univ, Dept Commun, Zhaoqing 526060, Peoples R China; [Liu, Matthew Tingchi] Univ Macau, Fac Business Adm, Dept Management &amp; Mkt, Macau, Peoples R China</t>
  </si>
  <si>
    <t>University of Macau; Universita della Svizzera Italiana; Zhaoqing University; University of Macau</t>
  </si>
  <si>
    <t>Chang, A (corresponding author), Univ Macau, Fac Social Sci, Dept Commun, Macau, Peoples R China.;Chang, A (corresponding author), Lugano Univ, Inst Commun &amp; Hlth, CH-6900 Lugano, Switzerland.</t>
  </si>
  <si>
    <t>wychang@um.edu.mo; yb97322@um.edu.mo; matthewl@um.edu.mo; xszhao@um.edu.mo</t>
  </si>
  <si>
    <t>XIAN, XUECHANG/0000-0002-5846-3660</t>
  </si>
  <si>
    <t>University of Macao [CRG2021-00002-ICI, CPG2021-00028FSS, SRG2018-00143-FSS, MYRG2020-00206-FSS, MYRG2018-00062-FSS]; Macao Higher Education Institutions [HSS-UMAC-2020-02, CP-UMAC-2021-05]</t>
  </si>
  <si>
    <t>University of Macao; Macao Higher Education Institutions</t>
  </si>
  <si>
    <t>This study was funded by the University of Macao (CRG2021-00002-ICI), (CPG2021-00028FSS), (SRG2018-00143-FSS), (MYRG2020-00206-FSS) and (MYRG2018-00062-FSS) and Macao Higher Education Institutions (HSS-UMAC-2020-02) and (CP-UMAC-2021-05).</t>
  </si>
  <si>
    <t>1660-4601</t>
  </si>
  <si>
    <t>INT J ENV RES PUB HE</t>
  </si>
  <si>
    <t>Int. J. Environ. Res. Public Health</t>
  </si>
  <si>
    <t>10.3390/ijerph19106159</t>
  </si>
  <si>
    <t>Environmental Sciences; Public, Environmental &amp; Occupational Health</t>
  </si>
  <si>
    <t>Environmental Sciences &amp; Ecology; Public, Environmental &amp; Occupational Health</t>
  </si>
  <si>
    <t>1O7ZA</t>
  </si>
  <si>
    <t>WOS:000801544000001</t>
  </si>
  <si>
    <t>de Wee, G</t>
  </si>
  <si>
    <t>de Wee, Guswin</t>
  </si>
  <si>
    <t>Comparative Policy Analysis and the Science of Conceptual Systems: A Candidate Pathway to a Common Variable</t>
  </si>
  <si>
    <t>FOUNDATIONS OF SCIENCE</t>
  </si>
  <si>
    <t>Comparative policy analysis; Policy analysis; The science of conceptual systems; Text-as-data; Integrative propositional analysis</t>
  </si>
  <si>
    <t>INTEGRATIVE PROPOSITIONAL ANALYSIS; MANAGEMENT; COMPLEXITY; COHERENCE; NETWORKS; MODEL</t>
  </si>
  <si>
    <t>In comparative policy analysis (CPA), a generally accepted historic problem that transcends time is that of identifying common variables. Coupled with this problem is the unanswered challenge of collaboration and interdisciplinary research. Additionally, there is the problem of the rare use of text-as-data in CPA and the fact it is rarely applied, despite the potential demonstrated in other subfields. CPA is multi-disciplinary in nature, and this article explores and proposes a common variable candidate that is found in almost (if not) all policies, using the science of conceptual systems (SOCS) as a pathway to investigate the structure found in policy as a lynchpin in CPA. Furthermore, the article proposes a new text-as-data approach that is less expensive, which could lead to a more accessible method for collaborative and interdisciplinary policy development. We find that the SOCS is uniquely positioned to serve in an alliance fashion in the larger qualitative comparative analysis that supports CPA. Because policies around the world are failing to reach their goals successfully, this article is expected to open a new path of inquiry in CPA, which could be used to support interdisciplinary research for knowledge of and knowledge in policy analysis.</t>
  </si>
  <si>
    <t>[de Wee, Guswin] Nelson Mandela Univ, Publ Management &amp; Leadership, Port Elizabeth, South Africa</t>
  </si>
  <si>
    <t>Nelson Mandela University</t>
  </si>
  <si>
    <t>de Wee, G (corresponding author), Nelson Mandela Univ, Publ Management &amp; Leadership, Port Elizabeth, South Africa.</t>
  </si>
  <si>
    <t>Guswind@mandela.ac.za</t>
  </si>
  <si>
    <t>de Wee, Guswin/0000-0002-1249-1121</t>
  </si>
  <si>
    <t>1233-1821</t>
  </si>
  <si>
    <t>1572-8471</t>
  </si>
  <si>
    <t>FOUND SCI</t>
  </si>
  <si>
    <t>Found. Sci.</t>
  </si>
  <si>
    <t>10.1007/s10699-021-09782-5</t>
  </si>
  <si>
    <t>History &amp; Philosophy Of Science</t>
  </si>
  <si>
    <t>History &amp; Philosophy of Science</t>
  </si>
  <si>
    <t>1J0PC</t>
  </si>
  <si>
    <t>Bronze, Green Published</t>
  </si>
  <si>
    <t>WOS:000630835600003</t>
  </si>
  <si>
    <t>Carter, EB; Carter, BL</t>
  </si>
  <si>
    <t>Baggott Carter, Erin; Carter, Brett L.</t>
  </si>
  <si>
    <t>Propaganda and Protest in Autocracies</t>
  </si>
  <si>
    <t>JOURNAL OF CONFLICT RESOLUTION</t>
  </si>
  <si>
    <t>propaganda; protest; quantitative text analysis; computational social science; autocratic politics</t>
  </si>
  <si>
    <t>Does propaganda reduce the rate of popular protest in autocracies? To answer this question, we draw on an original dataset of state-run newspapers from thirty countries, encompassing six languages and over four million articles. We find that propaganda diminishes the rate of protest, and that its effects persist over time. By increasing the level of pro-regime propaganda by one standard deviation, autocrats have reduced the odds of protest the following day by 15%. The half-life of this effect is between five and ten days, and very little of the initial effect persists after one month. This temporal persistence is remarkably consistent with campaign advertisements in democracies.</t>
  </si>
  <si>
    <t>[Baggott Carter, Erin; Carter, Brett L.] Univ Southern Calif, Dept Polit Sci &amp; Int Relat, 3518 Trousdale Pkwy, Los Angeles, CA 90089 USA</t>
  </si>
  <si>
    <t>University of Southern California</t>
  </si>
  <si>
    <t>Carter, EB (corresponding author), Univ Southern Calif, Dept Polit Sci &amp; Int Relat, 3518 Trousdale Pkwy, Los Angeles, CA 90089 USA.</t>
  </si>
  <si>
    <t>blcarter@usc.edu</t>
  </si>
  <si>
    <t>Carter, Erin/0000-0002-9196-8572</t>
  </si>
  <si>
    <t>Center for International Studies, University of Southern California</t>
  </si>
  <si>
    <t>The author(s) disclosed receipt of the following financial support for the research, authorship, and/or publication of this article: This research was supported by Center for International Studies, University of Southern California.</t>
  </si>
  <si>
    <t>0022-0027</t>
  </si>
  <si>
    <t>1552-8766</t>
  </si>
  <si>
    <t>J CONFLICT RESOLUT</t>
  </si>
  <si>
    <t>J. Confl. Resolut.</t>
  </si>
  <si>
    <t>10.1177/0022002720975090</t>
  </si>
  <si>
    <t>RM9UK</t>
  </si>
  <si>
    <t>WOS:000629724100001</t>
  </si>
  <si>
    <t>Peden, BF; Carroll, DW</t>
  </si>
  <si>
    <t>Peden, Blaine F.; Carroll, David W.</t>
  </si>
  <si>
    <t>Ways of Writing: Linguistic Analysis of Self-Assessment and Traditional Assignments</t>
  </si>
  <si>
    <t>TEACHING OF PSYCHOLOGY</t>
  </si>
  <si>
    <t>LANGUAGE USE; PSYCHOLOGY; COURSES; STYLE</t>
  </si>
  <si>
    <t>Scholars of teaching and learning have endorsed self-assessment assignments as a way to encourage greater reflection by students. However, no studies to date have compared writing in self-assessment with traditional academic assignments. We performed a quantitative text analysis of students' language in self-assessment versus traditional assignments from 3 courses. Self-assessment assignments included more references to cognitive words (i.e., words related to insight) than traditional academic assignments. In addition, self-assessments included more emotion words and pronouns and were linguistically simpler than traditional academic assignments. We conclude that self-assessment assignments encourage students to become more reflective, a goal of the American Psychological Association (2007) curricular guidelines.</t>
  </si>
  <si>
    <t>[Peden, Blaine F.] Univ Wisconsin, Dept Psychol, Eau Claire, WI 54722 USA; [Carroll, David W.] Univ Wisconsin, Superior, WI 54880 USA</t>
  </si>
  <si>
    <t>University of Wisconsin System; University of Wisconsin System</t>
  </si>
  <si>
    <t>Peden, BF (corresponding author), Univ Wisconsin, Dept Psychol, Eau Claire, WI 54722 USA.</t>
  </si>
  <si>
    <t>pedenbf@uwec.edu; dcar-roll@uwsuper.edu</t>
  </si>
  <si>
    <t>0098-6283</t>
  </si>
  <si>
    <t>TEACH PSYCHOL</t>
  </si>
  <si>
    <t>Teach. Psychol.</t>
  </si>
  <si>
    <t>PII 905076695</t>
  </si>
  <si>
    <t>10.1080/00986280802374419</t>
  </si>
  <si>
    <t>Education &amp; Educational Research; Psychology, Multidisciplinary</t>
  </si>
  <si>
    <t>Education &amp; Educational Research; Psychology</t>
  </si>
  <si>
    <t>368SP</t>
  </si>
  <si>
    <t>WOS:000260643100015</t>
  </si>
  <si>
    <t>Calafiore, GC; El Ghaoui, L; Preziosi, A; Russo, L</t>
  </si>
  <si>
    <t>Calafiore, Giuseppe C.; El Ghaoui, Laurent; Preziosi, Alessandro; Russo, Luigi</t>
  </si>
  <si>
    <t>Topic analysis in news via sparse learning: a case study on the 2016 US presidential elections</t>
  </si>
  <si>
    <t>IFAC PAPERSONLINE</t>
  </si>
  <si>
    <t>20th World Congress of the International-Federation-of-Automatic-Control (IFAC)</t>
  </si>
  <si>
    <t>JUL 09-14, 2017</t>
  </si>
  <si>
    <t>Toulouse, FRANCE</t>
  </si>
  <si>
    <t>Int Federat Automat Control,Continental Automot,Occitanie Reg,Toulouse Metropole,CNES,Univ Toulouse III,Paul Sabatier,Inria,CNRS,OPTITRACK,MDPI,ISAE Supaero,iCODE,EECI,Int Journal Automat &amp; Comp,IEEE CAA Journal Automatica Sinica,Moveo</t>
  </si>
  <si>
    <t>Text analytics; news analysis; big data; sparse optimization</t>
  </si>
  <si>
    <t>SELECTION</t>
  </si>
  <si>
    <t>Textual data such as tweets and news is abundant on the web. However, extracting useful information from such a deluge of data is hardly possible for a human. In this paper, we discuss automated text analysis methods based on sparse optimization. In particular, we use sparse PCA and Elastic Net regression for extracting intelligible topics from a big textual corpus and for obtaining time-based signals quantifying the strength of each topic in time. These signals can then be used as regressors for modeling or predicting other related numerical indices. We applied this setup to the analysis of the topics that arose during the 2016 US presidential elections, and we used the topic strength signals in order to model their influence on the election polls. (C) 2017, IFAC (International Federation of Automatic Control) Hosting by Elsevier Ltd. All rights reserved.</t>
  </si>
  <si>
    <t>ginseppe.calafiore@polito.it; elghaoui@berkeley.edu; alessandro.preziosi@polito.it; luigi_russo@me.com</t>
  </si>
  <si>
    <t>Calafiore, Giuseppe/0000-0002-6428-5653</t>
  </si>
  <si>
    <t>2405-8963</t>
  </si>
  <si>
    <t>10.1016/j.ifacol.2017.08.2380</t>
  </si>
  <si>
    <t>Automation &amp; Control Systems</t>
  </si>
  <si>
    <t>FU6LX</t>
  </si>
  <si>
    <t>WOS:000423965200256</t>
  </si>
  <si>
    <t>Cirone, A; Hobbs, W</t>
  </si>
  <si>
    <t>Cirone, Alexandra; Hobbs, William</t>
  </si>
  <si>
    <t>Asymmetric flooding as a tool for foreign influence on social media</t>
  </si>
  <si>
    <t>POLITICAL SCIENCE RESEARCH AND METHODS</t>
  </si>
  <si>
    <t>Social media; disinformation; text and content analysis; Twitter; authoritarian propaganda; 2016 US Election; Russia</t>
  </si>
  <si>
    <t>STRATEGIES</t>
  </si>
  <si>
    <t>Research on Russian troll activity during the 2016 US presidential campaign largely focused on divisive partisan messaging. Here, we document the use of apolitical content-content that could counteract mobilization efforts and escape detection in future campaigns. We argue this resembled techniques used by autocratic regimes domestically, in flooding social media with entertainment content to distract from and displace mobilizing messaging. Using automated text analysis and hand coding to construct a timeline of IRA messaging on Twitter, we find left-leaning trolls posted large volumes of entertainment content in their artificial liberal community and shifted away from political content late in the campaign. Simultaneously, conservative trolls were targeting their community with increases in political content. This suggests the use of apolitical content might be an overlooked strategy to selectively manipulate levels of attention to politics.</t>
  </si>
  <si>
    <t>[Cirone, Alexandra; Hobbs, William] Cornell Univ, Dept Govt, Ithaca, NY 14853 USA; [Hobbs, William] Cornell Univ, Dept Psychol, Ithaca, NY 14853 USA</t>
  </si>
  <si>
    <t>Cornell University; Cornell University</t>
  </si>
  <si>
    <t>Cirone, A (corresponding author), Cornell Univ, Dept Govt, Ithaca, NY 14853 USA.</t>
  </si>
  <si>
    <t>aec287@cornell.edu</t>
  </si>
  <si>
    <t>Cirone, Alexandra/0000-0003-3283-1119</t>
  </si>
  <si>
    <t>2049-8470</t>
  </si>
  <si>
    <t>2049-8489</t>
  </si>
  <si>
    <t>POLIT SCI RES METH</t>
  </si>
  <si>
    <t>Polit. Sci. Res. Meth.</t>
  </si>
  <si>
    <t>10.1017/psrm.2022.9</t>
  </si>
  <si>
    <t>ZZ4YC</t>
  </si>
  <si>
    <t>WOS:000773275300001</t>
  </si>
  <si>
    <t>Minasova, N; Tarkhov, S; Tarkhova, L</t>
  </si>
  <si>
    <t>Yusupova, N; Shakhmametova, G; Mironov, K; Galimova, L</t>
  </si>
  <si>
    <t>Minasova, Natalia; Tarkhov, Sergey; Tarkhova, Liaylia</t>
  </si>
  <si>
    <t>Decision Support in Assessing the Quality of Students' Educational and Scientific Work Based on Automated Text Analysis of the Document</t>
  </si>
  <si>
    <t>PROCEEDINGS OF THE 7TH SCIENTIFIC CONFERENCE ON INFORMATION TECHNOLOGIES FOR INTELLIGENT DECISION MAKING SUPPORT (ITIDS 2019)</t>
  </si>
  <si>
    <t>7th Scientific Conference on Information Technologies for Intelligent Decision Making Support (ITIDS)</t>
  </si>
  <si>
    <t>MAY 28-29, 2019</t>
  </si>
  <si>
    <t>Ufa, RUSSIA</t>
  </si>
  <si>
    <t>Ufa State Aviat Tech Univ,N Caucasus Fed Univ,Ugra Res Inst Informat Technologies,Republ Bashkortostan, Minist Educ,Russian Acad Sci Methodol Artificial Intelligence, Sci Council, Bashkir Branch</t>
  </si>
  <si>
    <t>training; assessment; semantic analysis; text mining</t>
  </si>
  <si>
    <t>The article describes the software product Multifunctional Text Analyzer (MTA), designed for informational decision support in assessing the quality of educational and scientific works. The main algorithm is based on the original method for semantic analysis of both the individual structural components of the educational and scientific texts, and the logical relationships at the substantive part of their sections. The main actions which expert performs during the process of automated analysis of the documents' substantive part are described. The software allows: to evaluate the references at the analyzed document, and quality of using references at the text of the document also; to search for information of interest to the expert contained in the document; to evaluate the quality of the document by analyzing the congruence of the texts to its sections.</t>
  </si>
  <si>
    <t>[Minasova, Natalia; Tarkhov, Sergey] Ufa State Aviat Tech Univ, Dept Comp Sci, Ufa, Russia; [Tarkhova, Liaylia] Bashkir State Agr Univ, Mech &amp; Engn Graph, Ufa, Russia</t>
  </si>
  <si>
    <t>Ufa State Aviation Technical University; Bashkir State Agrarian University</t>
  </si>
  <si>
    <t>Minasova, N (corresponding author), Ufa State Aviat Tech Univ, Dept Comp Sci, Ufa, Russia.</t>
  </si>
  <si>
    <t>minasova@mail.ru; tarkhov@inbox.ru; tarkhova@inbox.ru</t>
  </si>
  <si>
    <t>978-94-6252-728-7</t>
  </si>
  <si>
    <t>Automation &amp; Control Systems; Computer Science, Artificial Intelligence; Operations Research &amp; Management Science; Mathematics, Applied</t>
  </si>
  <si>
    <t>BQ0TP</t>
  </si>
  <si>
    <t>WOS:000573715000015</t>
  </si>
  <si>
    <t>Pantano, E; Dennis, C; Pietro, MD</t>
  </si>
  <si>
    <t>Pantano, Eleonora; Dennis, Charles; Pietro, Michela De</t>
  </si>
  <si>
    <t>Shopping centers revisited: The interplay between consumers' spontaneous online communications and retail planning</t>
  </si>
  <si>
    <t>JOURNAL OF RETAILING AND CONSUMER SERVICES</t>
  </si>
  <si>
    <t>Retailing; Consumer behavior; Brand image; Place attractiveness; Unsolicited consumers&amp;#8217; communications</t>
  </si>
  <si>
    <t>AUTOMATED TEXT ANALYSIS; CENTER IMAGE; STORE; CHOICE; ATTRACTIVENESS; 18TH-CENTURY; INFORMATION; PATRONAGE; VARIETY; SMART</t>
  </si>
  <si>
    <t>This paper revisits shopping centers' characteristics in the light of consumers' choices of actual centers in spontaneous online communications. We argue that modes of shopping centers marketing, which comprise a certain set of attributes to ensure consumers' choice, need to be updated to relate to new specific consumers' needs and choices, taking into account the recent increasing role of technologies, leisure activities and changes in consumer behavior. To this end, the paper considers consumers' unsolicited communications on Twitter as an effective source of insights. Drawing upon 10,544 consumers' tweets relating to the 19 main shopping centers in UK posted in May 2019 analyzed through machine learning algorithms. Results report the interplay between consumers' unsolicited online judgments and retail planning, while suggesting new methods for understanding consumers' insights.</t>
  </si>
  <si>
    <t>[Pantano, Eleonora] Univ Bristol, Sch Management, Bristol, Avon, England; [Dennis, Charles] Middlesex Univ, Business Sch, Dept Mkt Branding &amp; Tourism, London, England; [Pietro, Michela De] Univ Calabria, Dept Phys, Arcavacata Di Rende, Italy</t>
  </si>
  <si>
    <t>University of Bristol; Middlesex University; University of Calabria</t>
  </si>
  <si>
    <t>Pantano, E (corresponding author), Univ Bristol, Sch Management, Bristol, Avon, England.</t>
  </si>
  <si>
    <t>e.pantano@bristol.ac.uk</t>
  </si>
  <si>
    <t>Pantano, Eleonora/0000-0001-9480-3346</t>
  </si>
  <si>
    <t>0969-6989</t>
  </si>
  <si>
    <t>1873-1384</t>
  </si>
  <si>
    <t>J RETAIL CONSUM SERV</t>
  </si>
  <si>
    <t>J. Retail. Consum. Serv.</t>
  </si>
  <si>
    <t>10.1016/j.jretconser.2021.102576</t>
  </si>
  <si>
    <t>SV0QY</t>
  </si>
  <si>
    <t>WOS:000663533300015</t>
  </si>
  <si>
    <t>Whang, T; Lammbrau, M; Joo, HM</t>
  </si>
  <si>
    <t>Whang, Taehee; Lammbrau, Michael; Joo, Hyung-min</t>
  </si>
  <si>
    <t>Talking to Whom? The Changing Audience of North Korean Nuclear Tests</t>
  </si>
  <si>
    <t>SOCIAL SCIENCE QUARTERLY</t>
  </si>
  <si>
    <t>UNITED-STATES; STRATEGIES; POLITICS; WEAPONS; CRISIS; THREAT</t>
  </si>
  <si>
    <t>Objectives. In this study, we develop a model based on big data analysis to find patterns in North Korean nuclear provocations. Methods. Using automated text analysis classification through supervised machine learning techniques, we analyze the North Korean Central News Agency (KCNA) from 1997 to 2013. Results. We find an interesting difference between the Kim Jong-il era and the Kim and Jong-un period, implying a major shift in the nuclear policy of Pyongyang. While Kim Jong-il, who had a firm grip on power, focused on the international audience before conducting nuclear tests, Kim Jong-un during his succession targeted the domestic audience prior to nuclear tests, probably in an attempt to consolidate his precarious power. Conclusion. The machine learning technique allows us to analyze the effect of political communication even in authoritarian governments.</t>
  </si>
  <si>
    <t>[Whang, Taehee] Yonsei Univ, Seoul, South Korea; [Lammbrau, Michael] Mercyhurst Univ, Erie, PA USA; [Joo, Hyung-min] Korea Univ, Seoul, South Korea</t>
  </si>
  <si>
    <t>Yonsei University; Korea University</t>
  </si>
  <si>
    <t>Joo, HM (corresponding author), Korea Univ, Dept Polit Sci &amp; Int Relat, Seoul, South Korea.</t>
  </si>
  <si>
    <t>hjoo@korea.ac.kr</t>
  </si>
  <si>
    <t>Korea University [NARS3270Q-K1507681]; Ministry of Education of the Republic of Korea; National Research Foundation of Korea [NRF-2016S1A3A2925085]</t>
  </si>
  <si>
    <t>Korea University; Ministry of Education of the Republic of Korea(Ministry of Education (MOE), Republic of Korea); National Research Foundation of Korea(National Research Foundation of Korea)</t>
  </si>
  <si>
    <t>The publication of this article is supported by a grant from Korea University (NARS3270Q-K1507681) and the Ministry of Education of the Republic of Korea and the National Research Foundation of Korea (NRF-2016S1A3A2925085). An earlier version of this article was presented at the 2016 annual convention of the International Studies Association (ISA) in Atlanta, the United States.</t>
  </si>
  <si>
    <t>0038-4941</t>
  </si>
  <si>
    <t>1540-6237</t>
  </si>
  <si>
    <t>SOC SCI QUART</t>
  </si>
  <si>
    <t>Soc. Sci. Q.</t>
  </si>
  <si>
    <t>10.1111/ssqu.12441</t>
  </si>
  <si>
    <t>Political Science; Sociology</t>
  </si>
  <si>
    <t>FF2XI</t>
  </si>
  <si>
    <t>WOS:000408759700013</t>
  </si>
  <si>
    <t>Luo, DN; Yang, J; Krstajic, M; Ribarsky, W; Keim, DA</t>
  </si>
  <si>
    <t>Luo, Dongning; Yang, Jing; Krstajic, Milos; Ribarsky, William; Keim, Daniel A.</t>
  </si>
  <si>
    <t>EventRiver: Visually Exploring Text Collections with Temporal References</t>
  </si>
  <si>
    <t>IEEE TRANSACTIONS ON VISUALIZATION AND COMPUTER GRAPHICS</t>
  </si>
  <si>
    <t>Visual analytics; information visualization; topic; event; text; clustering</t>
  </si>
  <si>
    <t>Many text collections with temporal references, such as news corpora and weblogs, are generated to report and discuss real life events. Thus, event-related tasks, such as detecting real life events that drive the generation of the text documents, tracking event evolutions, and investigating reports and commentaries about events of interest, are important when exploring such text collections. To incorporate and leverage human efforts in conducting such tasks, we propose a novel visual analytics approach named EventRiver. EventRiver integrates event-based automated text analysis and visualization to reveal the events motivating the text generation and the long term stories they construct. On the visualization, users can interactively conduct tasks such as event browsing, tracking, association, and investigation. A working prototype of EventRiver has been implemented for exploring news corpora. A set of case studies, experiments, and a preliminary user test have been conducted to evaluate its effectiveness and efficiency.</t>
  </si>
  <si>
    <t>[Luo, Dongning; Yang, Jing; Ribarsky, William] Univ N Carolina, Dept Comp Sci, Charlotte, NC 28223 USA; [Krstajic, Milos; Keim, Daniel A.] Univ Konstanz, Dept Comp &amp; Informat Sci, D-78457 Constance, Germany</t>
  </si>
  <si>
    <t>University of North Carolina; University of North Carolina Charlotte; University of Konstanz</t>
  </si>
  <si>
    <t>Luo, DN (corresponding author), Univ N Carolina, Dept Comp Sci, 9201 Univ City Blvd, Charlotte, NC 28223 USA.</t>
  </si>
  <si>
    <t>dluo2@uncc.edu; Jing.Yang@uncc.edu; ribarsky@uncc.edu; Daniel.Keim@uni-konstanz.de</t>
  </si>
  <si>
    <t>Keim, Daniel/X-7749-2019</t>
  </si>
  <si>
    <t>US Department of Homeland Security [2008-ST-108-000002]; US National Science Foundation (NSF) [IIS-0915528]</t>
  </si>
  <si>
    <t>US Department of Homeland Security(United States Department of Homeland Security (DHS)); US National Science Foundation (NSF)(National Science Foundation (NSF))</t>
  </si>
  <si>
    <t>This paper is partially supported by the US Department of Homeland Security under Grant Award Number 2008-ST-108-000002 and the US National Science Foundation (NSF) under grant number IIS-0915528. The authors also thank Dr. Hangzai Luo and Dr. Jianping Fan for their help on data collection and preprocessing. The views and conclusions contained in this document are those of the authors and should not be interpreted as necessarily representing the official policies, either expressed or implied, of the US Department of Homeland Security and NSF.</t>
  </si>
  <si>
    <t>IEEE COMPUTER SOC</t>
  </si>
  <si>
    <t>LOS ALAMITOS</t>
  </si>
  <si>
    <t>10662 LOS VAQUEROS CIRCLE, PO BOX 3014, LOS ALAMITOS, CA 90720-1314 USA</t>
  </si>
  <si>
    <t>1077-2626</t>
  </si>
  <si>
    <t>1941-0506</t>
  </si>
  <si>
    <t>IEEE T VIS COMPUT GR</t>
  </si>
  <si>
    <t>IEEE Trans. Vis. Comput. Graph.</t>
  </si>
  <si>
    <t>10.1109/TVCG.2010.225</t>
  </si>
  <si>
    <t>Computer Science, Software Engineering</t>
  </si>
  <si>
    <t>844UW</t>
  </si>
  <si>
    <t>WOS:000296775400012</t>
  </si>
  <si>
    <t>Treen, E; Yu, YZJ</t>
  </si>
  <si>
    <t>Treen, Emily; Yu, Yunzhijun</t>
  </si>
  <si>
    <t>Empathy and EGO-drive in the B2B salesforce: Impacts on job satisfaction</t>
  </si>
  <si>
    <t>B2B sales; Job satisfaction; Linguistic inquiry and word count (LIWC); Content -analysis; Empathy; Ego -drive</t>
  </si>
  <si>
    <t>ADAPTIVE SELLING BEHAVIOR; CUSTOMER ORIENTATION; SALESPERSON PERFORMANCE; TRAIT COMPETITIVENESS; PERSON-ORGANIZATION; VALUE CREATION; TEXT ANALYSIS; SALESPEOPLE; METAANALYSIS; SUCCESS</t>
  </si>
  <si>
    <t>It has long been assumed that empathy and ego-drive are two fundamental characteristics of effective salespeople. Taking a wholistic view of sales effectiveness to include job satisfaction in sales positions, this research assesses the relationship between salesperson empathy and ego-drive and sales job satisfaction. While evidence suggests that high empathy and high ego-drive are predictors of sales performance, this does not always translate to job satisfaction based on our findings. Using the automated text analysis tool, Linguistic Inquiry and Word Count (LIWC) to analyze company reviews written by B2B salespeople, our results show that B2B salespeople who are most satisfied with their jobs possess high levels of empathy but low levels of ego-drive.</t>
  </si>
  <si>
    <t>[Treen, Emily; Yu, Yunzhijun] Simon Fraser Univ, Beedie Sch Business, Dept Mkt, 500 Granville St, Vancouver, BC V6C 1W6, Canada</t>
  </si>
  <si>
    <t>Simon Fraser University</t>
  </si>
  <si>
    <t>Treen, E (corresponding author), Simon Fraser Univ, Beedie Sch Business, Dept Mkt, 500 Granville St, Vancouver, BC V6C 1W6, Canada.</t>
  </si>
  <si>
    <t>emily_treen@sfu.ca; yunzhijun_yu@sfu.ca</t>
  </si>
  <si>
    <t>10.1016/j.indmarman.2022.08.001</t>
  </si>
  <si>
    <t>5E2DN</t>
  </si>
  <si>
    <t>WOS:000865437500002</t>
  </si>
  <si>
    <t>Petruzzellis, L; Colladon, AF; Visentin, M; Chebat, JC</t>
  </si>
  <si>
    <t>Petruzzellis, Luca; Colladon, Andrea Fronzetti; Visentin, Marco; Chebat, Jean-Charles</t>
  </si>
  <si>
    <t>Tell me a story about yourself: The words of shopping experience and self-satisfaction</t>
  </si>
  <si>
    <t>Shopping experience; Self-satisfaction; Self-identity; Text analysis; Semantic brand score</t>
  </si>
  <si>
    <t>AUTOMATED TEXT ANALYSIS; CUSTOMER SATISFACTION; BEHAVIORAL INTENTIONS; IMAGE CONGRUENCE; ENVIRONMENT; ATTITUDES; PATRONAGE; IMPACT; MALLS; MODEL</t>
  </si>
  <si>
    <t>In this paper we investigate the verbal expression of shopping experience obtained by a sample of customers asked to freely verbalize how they felt when entering a store. Using novel tools of Text Mining and Social Network Analysis, we analyzed the interviews to understand the connection between the emotions aroused during the shopping experience, satisfaction and the way participants link these concepts to self-satisfaction and self-identity. The results show a prominent role of emotions in the discourse about the shopping experience before purchasing and an inward-looking connection to the self. Our results also suggest that modern retail environment should enhance the hedonic shopping experience in terms of fun, fantasy, moods, and emotions.</t>
  </si>
  <si>
    <t>[Petruzzellis, Luca] Univ Bari Aldo Moro, Dept Econ Management &amp; Business, Largo Abbazia Santa Scolast 53, I-70124 Bari, Italy; [Colladon, Andrea Fronzetti] Univ Perugia, Dept Engn, Via G Duranti 93, I-06125 Perugia, Italy; [Colladon, Andrea Fronzetti] Kozminski Univ, Dept Management, Jagiellonska 57-59, Warsaw, Poland; [Visentin, Marco] Univ Bologna Alma Mater Studiorum, Dept Management, Via Capo Lucca 34, I-40126 Bologna, Italy; [Chebat, Jean-Charles] HEC Montreal, Montreal, PQ, Canada</t>
  </si>
  <si>
    <t>Universita degli Studi di Bari Aldo Moro; University of Perugia; Kozminski University; University of Bologna; Universite de Montreal; HEC Montreal</t>
  </si>
  <si>
    <t>Visentin, M (corresponding author), Univ Bologna Alma Mater Studiorum, Dept Management, Via Capo Lucca 34, I-40126 Bologna, Italy.</t>
  </si>
  <si>
    <t>luca.petruzzellis@uniba.it; andrea.fronzetticolladon@unipg.it; marco.visentin@unibo.it</t>
  </si>
  <si>
    <t>Fronzetti Colladon, Andrea/H-6773-2012</t>
  </si>
  <si>
    <t>Fronzetti Colladon, Andrea/0000-0002-5348-9722; Visentin, Marco/0000-0003-2943-6484; Petruzzellis, Luca/0000-0002-7452-2077</t>
  </si>
  <si>
    <t>10.1016/j.jretconser.2021.102703</t>
  </si>
  <si>
    <t>AUG 2021</t>
  </si>
  <si>
    <t>UR7VY</t>
  </si>
  <si>
    <t>WOS:000696953300018</t>
  </si>
  <si>
    <t>Magaloni, B; Franco-Vivanco, E; Melo, V</t>
  </si>
  <si>
    <t>Magaloni, Beatriz; Franco-Vivanco, Edgar; Melo, Vanessa</t>
  </si>
  <si>
    <t>Killing in the Slums: Social Order, Criminal Governance, and Police Violence in Rio de Janeiro</t>
  </si>
  <si>
    <t>AMERICAN POLITICAL SCIENCE REVIEW</t>
  </si>
  <si>
    <t>ORGANIZED-CRIME; DICTATORSHIP; MILITIAS</t>
  </si>
  <si>
    <t>State interventions against organized criminal groups (OCGs) sometimes work to improve security, but often exacerbate violence. To understand why, this article offers a theory about criminal governance in five types of criminal regimes-Insurgent, Bandit, Symbiotic, Predatory, and Split. These differ according to whether criminal groups confront or collude with state actors, abuse or cooperate with the community, and hold a monopoly or contest territory with rival OCGs. Police interventions in these criminal regimes pose different challenges and are associated with markedly different local security outcomes. We provide evidence of this theory by using a multimethod research design combining quasi-experimental statistical analyses, automated text analysis, extensive qualitative research, and a large-N survey in the context of Rio de Janeiro's Pacifying Police Units (UPPs), which sought to reclaim control of the favelas from criminal organizations.</t>
  </si>
  <si>
    <t>[Magaloni, Beatriz] Stanford Univ, Dept Polit Sci, Stanford, CA 94305 USA; [Franco-Vivanco, Edgar] Univ Michigan, Ann Arbor, MI 48109 USA; [Melo, Vanessa] Stanford Univ, Stanford, CA 94305 USA; [Melo, Vanessa] Univ Calif Los Angeles, Dept Anthropol, Los Angeles, CA 90024 USA</t>
  </si>
  <si>
    <t>Stanford University; University of Michigan System; University of Michigan; Stanford University; University of California System; University of California Los Angeles</t>
  </si>
  <si>
    <t>Magaloni, B (corresponding author), Stanford Univ, Dept Polit Sci, Stanford, CA 94305 USA.</t>
  </si>
  <si>
    <t>magaloni@stanford.edu; efrancov@umich.edu; vanessa.melo@stanford.edu</t>
  </si>
  <si>
    <t>Stanford's Global Development Project; Institute for Research in the Social Sciences</t>
  </si>
  <si>
    <t>We thank residents of Rio's favelas, whose identity will be kept anonymous, for trusting us to share their experiences. We also thank Mayor Leonardo Nogueira, Colonel Paulo Henrique, Secretary Mariano Beltrame, Colonel Alexandre Leite, Captain Luis Augusto, Terine Husek Coelho, Jose Luiz de Souza Lima, Jailson de Souza, Eliana Souza, Mariluce Maria ' de Souza, Cleber Arau ' jo dos Santos, and Marcus Faustini. We thank comments from Robert Blair, Carles Boix, Alberto Diaz-Cayeros, Jonathan Furszyfer, Dorothy Kronick, Horacio Larreguy, Jonathan Mummolo, Luis Rodriguez, Gustavo Robles, Sarah Thomson, Harold Trinkunas, Cesar Vargas, and Alice Wang. We thank the Military Police, the Secretary of Security, and Disque Denuncia for sharing valuable data with us. Wethank Veriene Melo, who conducted many interviews with us, and Stephanie Gienez, who facilitated initial exploratory work. We acknowledge Stanford's Global Development Project and the Institute for Research in the Social Sciences for financial support. Replication files are available at the American Political Science Review Dataverse: https://doi.org/10.7910/DVN/7PZHF6.</t>
  </si>
  <si>
    <t>0003-0554</t>
  </si>
  <si>
    <t>1537-5943</t>
  </si>
  <si>
    <t>AM POLIT SCI REV</t>
  </si>
  <si>
    <t>Am. Polit. Sci. Rev.</t>
  </si>
  <si>
    <t>PII S0003055419000856</t>
  </si>
  <si>
    <t>10.1017/S0003055419000856</t>
  </si>
  <si>
    <t>LG3JD</t>
  </si>
  <si>
    <t>WOS:000528000400016</t>
  </si>
  <si>
    <t>Pitt, C</t>
  </si>
  <si>
    <t>Pitt, Christine</t>
  </si>
  <si>
    <t>Gender and the CMO: do the differences make a difference?</t>
  </si>
  <si>
    <t>JOURNAL OF STRATEGIC MARKETING</t>
  </si>
  <si>
    <t>Gender; Chief Marketing Officer; CMO; LIWC</t>
  </si>
  <si>
    <t>CHIEF MARKETING OFFICERS; TEXT ANALYSIS; LANGUAGE USE; PERSONALITY; WORDS; PERSPECTIVE; HERSTORY</t>
  </si>
  <si>
    <t>Despite efforts to address the lack of female representation in executive leadership roles, the number of women in leadership roles is still low in comparison to men. Data in the form of online interviews were collected for a sample of 69 CMOs from the World's Most Influential CMO's report by Forbes Magazine and analyzed using the automated text analysis software, LIWC, employing the dimensions of Analytic, Clout, Authentic, and Tone. A series of ANOVAs was conducted to determine the impact of gender on these dimensions. Clout and Authentic were significantly impacted by the gender of the CMO. The paper considers two gender communication theories that could potentially explain these differences. The paper concludes by discussing managerial implications, acknowledging the limitations, and identifying avenues for future research.</t>
  </si>
  <si>
    <t>[Pitt, Christine] Royal Inst Technol KTH, Dept Ind Econ &amp; Management, Stockholm, Sweden</t>
  </si>
  <si>
    <t>Royal Institute of Technology</t>
  </si>
  <si>
    <t>Pitt, C (corresponding author), Royal Inst Technol KTH, Dept Ind Econ &amp; Management, Stockholm, Sweden.</t>
  </si>
  <si>
    <t>christine.pitt@indek.kth.se</t>
  </si>
  <si>
    <t>Pitt, Christine/0000-0002-2343-9361</t>
  </si>
  <si>
    <t>0965-254X</t>
  </si>
  <si>
    <t>1466-4488</t>
  </si>
  <si>
    <t>J STRATEG MARK</t>
  </si>
  <si>
    <t>J. Strateg. Mark.</t>
  </si>
  <si>
    <t>MAY 19</t>
  </si>
  <si>
    <t>10.1080/0965254X.2019.1694567</t>
  </si>
  <si>
    <t>RX1JF</t>
  </si>
  <si>
    <t>hybrid, Green Submitted</t>
  </si>
  <si>
    <t>WOS:000498901100001</t>
  </si>
  <si>
    <t>Joksimovic, S; Baker, RS; Ocumpaugh, J; Andres, JML; Tot, I; Wang, EY; Dawson, S</t>
  </si>
  <si>
    <t>Assoc Computat Linguist</t>
  </si>
  <si>
    <t>Joksimovic, Srecko; Baker, Ryan S.; Ocumpaugh, Jaclyn; Andres, Juan Miguel L.; Tot, Ivan; Wang, Elle Yuan; Dawson, Shane</t>
  </si>
  <si>
    <t>Automated Identification of Verbally Abusive Behaviors in Online Discussions</t>
  </si>
  <si>
    <t>THIRD WORKSHOP ON ABUSIVE LANGUAGE ONLINE</t>
  </si>
  <si>
    <t>3rd Workshop on Abusive Language Online</t>
  </si>
  <si>
    <t>AUG 01, 2019</t>
  </si>
  <si>
    <t>Florence, ITALY</t>
  </si>
  <si>
    <t>UCLA,Google,Facebook,Element AI,Aylien</t>
  </si>
  <si>
    <t>LANGUAGE; CLASSIFICATION; EMOTIONS</t>
  </si>
  <si>
    <t>Discussion forum participation represents a crucial support for learning and often the only way of supporting social interactions in online settings. However, learner behavior varies considerably in these forums, including positive behaviors such as sharing new ideas or asking thoughtful questions, but also verbally abusive behaviors, which could have disproportionate detrimental effects. To provide means for mitigating potential negative effects on course participation and learning, we developed an automated classifier for identifying communication that show linguistic patterns associated with hostility in online forums. In so doing, we employ several well-established automated text analysis tools and build on common practices for handling highly imbalanced datasets and reducing sensitivity to overfitting. Although still in its infancy, our approach shows promising results (AUC ROC=0.74) towards establishing a robust detector of abusive behaviors. We provide an overview of the classification (linguistic and contextual) features most indicative of online aggression.</t>
  </si>
  <si>
    <t>[Joksimovic, Srecko; Dawson, Shane] Univ South Australia, Adelaide, SA, Australia; [Baker, Ryan S.; Ocumpaugh, Jaclyn; Andres, Juan Miguel L.] Univ Penn, Philadelphia, PA 19104 USA; [Tot, Ivan] Univ Def Belgrade, Belgrade, Serbia; [Wang, Elle Yuan] Arizona State Univ, Tempe, AZ 85287 USA</t>
  </si>
  <si>
    <t>University of South Australia; University of Pennsylvania; Arizona State University; Arizona State University-Tempe</t>
  </si>
  <si>
    <t>Joksimovic, S (corresponding author), Univ South Australia, Adelaide, SA, Australia.</t>
  </si>
  <si>
    <t>srecko.joksimovic@unisa.edu.au; rybaker@upenn.edu; jlocumpaugh@gmail.com; miglimjapandres@gmail.com; Ivan.tot@va.mod.gov.rs; elle.wang@asu.edu; shane.dawson@unisa.edu.au</t>
  </si>
  <si>
    <t>Ivan, Tot/AAS-7352-2021; Dawson, Shane/F-3946-2013</t>
  </si>
  <si>
    <t>Ivan, Tot/0000-0002-5862-9042; Dawson, Shane/0000-0003-2435-2193</t>
  </si>
  <si>
    <t>ASSOC COMPUTATIONAL LINGUISTICS-ACL</t>
  </si>
  <si>
    <t>STROUDSBURG</t>
  </si>
  <si>
    <t>209 N EIGHTH STREET, STROUDSBURG, PA 18360 USA</t>
  </si>
  <si>
    <t>978-1-950737-43-7</t>
  </si>
  <si>
    <t>Computer Science, Artificial Intelligence; Computer Science, Information Systems; Communication; Computer Science, Interdisciplinary Applications; Linguistics</t>
  </si>
  <si>
    <t>Computer Science; Communication; Linguistics</t>
  </si>
  <si>
    <t>BP0YM</t>
  </si>
  <si>
    <t>WOS:000538480400005</t>
  </si>
  <si>
    <t>Sagarzazu, I; Kluver, H</t>
  </si>
  <si>
    <t>Sagarzazu, Inaki; Kluver, Heike</t>
  </si>
  <si>
    <t>Coalition Governments and Party Competition: Political Communication Strategies of Coalition Parties</t>
  </si>
  <si>
    <t>PARLIAMENTARY DEMOCRACIES; POLICY; REPRESENTATION; DETERMINANTS; OUTCOMES; TEXTS</t>
  </si>
  <si>
    <t>Coalition parties have to reconcile two competing logics: they need to demonstrate unity to govern together, but also have to emphasize their own profile to succeed in elections. We argue that the electoral cycle explains whether unity or differentiation prevails. While differentiation dominates at the beginning and the end of the legislative term in close proximity to elections, compromise dominates the middle of the term when coalition governments focus on enacting a common policy agenda. To test our theoretical claims, we draw on an innovative quantitative text analysis of more than 21,000 press releases published by coalition parties from 2000 until 2010.</t>
  </si>
  <si>
    <t>[Sagarzazu, Inaki] Univ Glasgow, Comparat Polit, 40 Bute Gardens, Glasgow G12 8RT, Lanark, Scotland; [Kluver, Heike] Univ Hamburg, Dept Social Sci, Comparat Polit, Allende Pl 1, D-20146 Hamburg, Germany</t>
  </si>
  <si>
    <t>University of Glasgow; University of Hamburg</t>
  </si>
  <si>
    <t>Sagarzazu, I (corresponding author), Univ Glasgow, Comparat Polit, 40 Bute Gardens, Glasgow G12 8RT, Lanark, Scotland.</t>
  </si>
  <si>
    <t>inaki.sagarzazu@glasgow.ac.uk; heike.kluever@uni-hamburg.de</t>
  </si>
  <si>
    <t>10.1017/psrm.2015.56</t>
  </si>
  <si>
    <t>EQ6PE</t>
  </si>
  <si>
    <t>WOS:000398203900008</t>
  </si>
  <si>
    <t>Liess, A; Simon, W; Yutsis, M; Piemme, KA; Owen, JE; Golant, M; Giese-Davis, J</t>
  </si>
  <si>
    <t>Liess, Anna; Simon, Wendy; Yutsis, Maya; Piemme, Karen Altree; Owen, Jason E.; Golant, Mitch; Giese-Davis, Janine</t>
  </si>
  <si>
    <t>Detecting emotional expression in face-to-face and online breast cancer support groups</t>
  </si>
  <si>
    <t>JOURNAL OF CONSULTING AND CLINICAL PSYCHOLOGY</t>
  </si>
  <si>
    <t>Article; Proceedings Paper</t>
  </si>
  <si>
    <t>25th Annual Meeting of the Society-of-Behavioral-Medicine</t>
  </si>
  <si>
    <t>MAR 24-27, 2004</t>
  </si>
  <si>
    <t>Baltimore, MD</t>
  </si>
  <si>
    <t>Soc Behav Med</t>
  </si>
  <si>
    <t>emotional expression; text analysis; breast cancer; group therapy; video coding</t>
  </si>
  <si>
    <t>GROUP-THERAPY; WOMEN; JUDGMENTS; TRIAL</t>
  </si>
  <si>
    <t>Accurately detecting emotional expression in women with primary breast cancer participating in support groups may be important for therapists and researchers. In 2 small studies (N = 20 and N = 16), the authors examined whether video coding, human text coding, and automated text analysis provided consistent estimates of the level of emotional expression. In Study 1, the authors compared coding from videotapes and text transcripts of face-to-face groups. In Study 2, the authors examined transcripts of online synchronous groups. The authors found that human text coding significantly overestimated Positive Affect and underestimated Defensive/Hostile Affect compared with video coding. They found correlations were low for Positive Affect but moderate for negative affect between Linguistic Inquiry Word Count (LIWC) and video coding. The implications of utilizing text-only detection of emotion are discussed.</t>
  </si>
  <si>
    <t>[Liess, Anna; Simon, Wendy; Yutsis, Maya; Piemme, Karen Altree; Giese-Davis, Janine] Stanford Univ, Sch Med, Stanford, CA 94305 USA; [Owen, Jason E.] Loma Linda Univ, Dept Psychol, Loma Linda, CA 92350 USA; [Golant, Mitch] Wellness Community Natl, Santa Monica, CA USA</t>
  </si>
  <si>
    <t>Stanford University; Loma Linda University</t>
  </si>
  <si>
    <t>Giese-Davis, J (corresponding author), Dept Psychiat &amp; Behav Sci, 401 Quarry Rd,Room 2318,MC 5718, Stanford, CA 94305 USA.</t>
  </si>
  <si>
    <t>jgiese@stanford.edu</t>
  </si>
  <si>
    <t>Simon, Wendy/0000-0003-4824-6264</t>
  </si>
  <si>
    <t>NATIONAL INSTITUTE ON AGING [P01AG018784] Funding Source: NIH RePORTER; NIA NIH HHS [AG18784] Funding Source: Medline</t>
  </si>
  <si>
    <t>NATIONAL INSTITUTE ON AGING(United States Department of Health &amp; Human ServicesNational Institutes of Health (NIH) - USANIH National Institute on Aging (NIA)); NIA NIH HHS(United States Department of Health &amp; Human ServicesNational Institutes of Health (NIH) - USANIH National Institute on Aging (NIA))</t>
  </si>
  <si>
    <t>0022-006X</t>
  </si>
  <si>
    <t>1939-2117</t>
  </si>
  <si>
    <t>J CONSULT CLIN PSYCH</t>
  </si>
  <si>
    <t>J. Consult. Clin. Psychol.</t>
  </si>
  <si>
    <t>10.1037/0022-006X.76.3.517</t>
  </si>
  <si>
    <t>307NX</t>
  </si>
  <si>
    <t>WOS:000256326700016</t>
  </si>
  <si>
    <t>Fang, X; Wang, TF</t>
  </si>
  <si>
    <t>Fang, Xing; Wang, Tianfu</t>
  </si>
  <si>
    <t>Using Natural Language Processing to Identify Effective Influencers</t>
  </si>
  <si>
    <t>INTERNATIONAL JOURNAL OF MARKET RESEARCH</t>
  </si>
  <si>
    <t>influencer marketing; social media; online retailing; natural language processing; personality</t>
  </si>
  <si>
    <t>SOCIAL MEDIA; PERSONALITY; IDENTIFICATION; NETWORKS; IMPACT</t>
  </si>
  <si>
    <t>Identifying the right influencers for brands is often the starting point for a successful influencer campaign. However, influencer identification is understudied, and most previous studies have only discussed visible characteristics of influencers and their social networks, overlooking content-based metrics. Combining interdisciplinary theories and techniques from marketing, linguistics, and computer science, we propose a data-driven automated text analysis framework to identify characteristics of effective influencers using influencer posts. Specifically, we propose a model that incorporates influencer personality traits captured by natural language processing, accounting for traditional covariates, such as network structure and follower engagement. In addition, we use a dataset that attributes influencer social media activities to customer purchases to address fake engagement and showcase our automated textual analysis. The proposed framework can help marketers develop influencer profiles and predict optimal influencers for their campaigns.</t>
  </si>
  <si>
    <t>[Fang, Xing] Tongji Univ, Mkt, Shanghai, Peoples R China; [Wang, Tianfu] Peking Univ, Sch Journalism &amp; Commun, 5 Yiheyuan Rd, Beijing 100871, Peoples R China</t>
  </si>
  <si>
    <t>Tongji University; Peking University</t>
  </si>
  <si>
    <t>Wang, TF (corresponding author), Peking Univ, Sch Journalism &amp; Commun, 5 Yiheyuan Rd, Beijing 100871, Peoples R China.</t>
  </si>
  <si>
    <t>tianfuwang@pku.edu.cn</t>
  </si>
  <si>
    <t>Wang, Tianfu/0000-0002-0271-4889</t>
  </si>
  <si>
    <t>1470-7853</t>
  </si>
  <si>
    <t>2515-2173</t>
  </si>
  <si>
    <t>INT J MARKET RES</t>
  </si>
  <si>
    <t>Int. J. Market Res.</t>
  </si>
  <si>
    <t>10.1177/14707853221101565</t>
  </si>
  <si>
    <t>3Q3UK</t>
  </si>
  <si>
    <t>WOS:000798240400001</t>
  </si>
  <si>
    <t>Madonsela, S</t>
  </si>
  <si>
    <t>Madonsela, Stanley</t>
  </si>
  <si>
    <t>Word-formation strategies and processes in the creation of synsets for the African wordnet</t>
  </si>
  <si>
    <t>SOUTHERN AFRICAN LINGUISTICS AND APPLIED LANGUAGE STUDIES</t>
  </si>
  <si>
    <t>The African wordnet (AWN) provides South African indigenous languages with a platform to access a machine-readable lexical database organised by meaning. The creation of the African wordnet was based on the Princeton wordnet. As in the case of the Princeton wordnet, the African wordnet groups African language words into sets of synonyms along with short definitions and usage examples, as well as records relations between synonyms. This article examines a number of synsets in order to identify the word-formation processes used by various linguists in constructing the AWN. Since the English Princeton wordnet was used as the basis for the lexical database in the creation of the African wordnet, various word-formation strategies had to be used to account for lexical items that are not lexicalised in the African languages. Access to the created synsets was gained via a web browser, which is an automated text analysis application.</t>
  </si>
  <si>
    <t>[Madonsela, Stanley] Univ South Africa, Pretoria, South Africa</t>
  </si>
  <si>
    <t>University of South Africa</t>
  </si>
  <si>
    <t>Madonsela, S (corresponding author), Univ South Africa, Pretoria, South Africa.</t>
  </si>
  <si>
    <t>madonfs@unisa.ac.za</t>
  </si>
  <si>
    <t>South African National Human Language Technology (HLT) Network; Department of Arts and Culture; Women in Research Fund (University of South Africa)</t>
  </si>
  <si>
    <t>The author acknowledges the South African National Human Language Technology (HLT) Network, the Department of Arts and Culture and the Women in Research Fund (University of South Africa) for providing funding in the various phases of the AWN project.</t>
  </si>
  <si>
    <t>NATL INQUIRY SERVICES CENTRE PTY LTD</t>
  </si>
  <si>
    <t>GRAHAMSTOWN</t>
  </si>
  <si>
    <t>19 WORCESTER STREET, PO BOX 377, GRAHAMSTOWN 6140, SOUTH AFRICA</t>
  </si>
  <si>
    <t>1607-3614</t>
  </si>
  <si>
    <t>1727-9461</t>
  </si>
  <si>
    <t>SO AFR LINGUIST APPL</t>
  </si>
  <si>
    <t>South. Afr. Linguist. Appl. Lang.</t>
  </si>
  <si>
    <t>10.2989/16073614.2017.1373368</t>
  </si>
  <si>
    <t>FT0GO</t>
  </si>
  <si>
    <t>WOS:000422801500005</t>
  </si>
  <si>
    <t>Ferreira, C; Lam, J; Pitt, L; Caruana, A; Brown, T</t>
  </si>
  <si>
    <t>Ferreira, Caitlin; Lam, Joey; Pitt, Leyland; Caruana, Albert; Brown, Terrence</t>
  </si>
  <si>
    <t>Contrasting compulsive behaviour: Computerized text analysis of compulsion narratives</t>
  </si>
  <si>
    <t>JOURNAL OF HEALTH PSYCHOLOGY</t>
  </si>
  <si>
    <t>addiction; compulsive behaviour; computerized text analysis; LIWC; personality</t>
  </si>
  <si>
    <t>5-FACTOR MODEL; LANGUAGE USE; PREVALENCE; PERSONALITY; ADDICTION; GAMBLER; ADULTS; WORDS</t>
  </si>
  <si>
    <t>Those who gamble compulsively, and those who shop or buy in a compulsive manner share a number of common characteristics, stemming from similar impulse-control issues. As such, it is predicted that a lexical analysis of personal narratives of compulsion would share similarities. Using secondary data from an online mental health forum, Psychforums, the research analyzed narratives of compulsive gambling (n = 199) and compulsive buying (n = 196) using the automated text analysis tool, LIWC. The results indicated that compulsive buying narratives rated significantly higher in clout and emotional tone and significantly lower in authenticity, with no significant differences noted in analytical thinking between the two compulsion narratives. Recommendations for future research include that demographic variables be incorporated and that narratives sourced from different online platforms should be contrasted.</t>
  </si>
  <si>
    <t>[Ferreira, Caitlin] Univ Cape Town, ZA-7701 Cape Town, South Africa; [Ferreira, Caitlin] Lulea Univ Technol, Lulea, Sweden; [Lam, Joey; Pitt, Leyland] Simon Fraser Univ, Burnaby, BC, Canada; [Pitt, Leyland] Hanken Sch Econ, Helsinki, Finland; [Caruana, Albert] Univ Malta, Msida, MSD, Malta; [Brown, Terrence] KTH Royal Inst Technol, Stockholm, Sweden</t>
  </si>
  <si>
    <t>University of Cape Town; Lulea University of Technology; Simon Fraser University; Hanken School of Economics; University of Malta; Royal Institute of Technology</t>
  </si>
  <si>
    <t>Ferreira, C (corresponding author), Univ Cape Town, ZA-7701 Cape Town, South Africa.</t>
  </si>
  <si>
    <t>caitlin.ferreira@uct.ac.za</t>
  </si>
  <si>
    <t>Ferreira, Caitlin/0000-0001-9575-6676</t>
  </si>
  <si>
    <t>1359-1053</t>
  </si>
  <si>
    <t>1461-7277</t>
  </si>
  <si>
    <t>J HEALTH PSYCHOL</t>
  </si>
  <si>
    <t>J. Health Psychol.</t>
  </si>
  <si>
    <t>10.1177/13591053211017207</t>
  </si>
  <si>
    <t>3A1AL</t>
  </si>
  <si>
    <t>WOS:000826997100011</t>
  </si>
  <si>
    <t>Nielsen, RA</t>
  </si>
  <si>
    <t>Nielsen, Richard A.</t>
  </si>
  <si>
    <t>Women's Authority in Patriarchal Social Movements: The Case of Female Salafi Preachers</t>
  </si>
  <si>
    <t>AMERICAN JOURNAL OF POLITICAL SCIENCE</t>
  </si>
  <si>
    <t>GENDER; ISLAM; QUOTAS; POWER</t>
  </si>
  <si>
    <t>How do women gain authority in the public sphere, especially in contexts where patriarchal norms are prevalent? I argue that the leaders of patriarchal social movements face pragmatic incentives to expand women's authority roles when seeking new movement members. Women authorities help patriarchal movements by making persuasive, identity-based arguments in favor of patriarchy that men cannot, and by reaching new audiences that men cannot. I support this argument by examining the rise of online female preachers in the Islamist Salafi movement, using interviews, Twitter analysis, and automated text analysis of 21,000 texts by 172 men and 43 women on the Salafi-oriented website saaid.net. To show the theory's generality, I also apply it to the contemporary white nationalist movement in the United States. The findings illustrate how movements that aggressively enforce traditional gender roles for participants can nevertheless increase female authority for pragmatic political reasons.</t>
  </si>
  <si>
    <t>[Nielsen, Richard A.] MIT, Dept Polit Sci, 77 Massachusetts Ave, Cambridge, MA 02139 USA</t>
  </si>
  <si>
    <t>Massachusetts Institute of Technology (MIT)</t>
  </si>
  <si>
    <t>Nielsen, RA (corresponding author), MIT, Dept Polit Sci, 77 Massachusetts Ave, Cambridge, MA 02139 USA.</t>
  </si>
  <si>
    <t>rnielsen@mit.edu</t>
  </si>
  <si>
    <t>Carnegie Corporation of New York</t>
  </si>
  <si>
    <t>I appreciate comments on earlier versions from Amaney Jamal, Tarek Masoud, Marc Lynch, Mirjam Kunkler, Ana Weeks, Marsin Alshamary, Rebecca Nielsen, Bruce Rutherford, Zehra Arat, Henri Lauziere, Aaron Rock-Singer, Ari Schriber, and Malika Zhegal, and participants at the NYU Center for Data Science, the University of Connecticut, the Northeast Middle East Politics Working Group, the 2016 AALIMS conference, the 2016 MESA conference, and the Salafiyya Workshop held at Harvard in March 2016. Marsin Alshamary provided expert research assistance for the Twitter analysis. This publication was made possible by a grant from the Carnegie Corporation of New York, supporting me as an Andrew Carnegie Fellow. The statements made and views expressed are solely the responsibility of the author.</t>
  </si>
  <si>
    <t>0092-5853</t>
  </si>
  <si>
    <t>1540-5907</t>
  </si>
  <si>
    <t>AM J POLIT SCI</t>
  </si>
  <si>
    <t>Am. J. Polit. Sci.</t>
  </si>
  <si>
    <t>10.1111/ajps.12459</t>
  </si>
  <si>
    <t>KB1LA</t>
  </si>
  <si>
    <t>WOS:000481186200001</t>
  </si>
  <si>
    <t>Rauh, C</t>
  </si>
  <si>
    <t>Rauh, Christian</t>
  </si>
  <si>
    <t>Communicating supranational governance? The salience of EU affairs in the German Bundestag, 1991-2013</t>
  </si>
  <si>
    <t>European integration; national parliaments; politicization; salience; text analysis</t>
  </si>
  <si>
    <t>EUROPEAN INTEGRATION; NATIONAL PARLIAMENTS; POLITICIZATION; UNION; OPINION; ISSUE; VISIBILITY; POLITICS; SUPPORT; PARTIES</t>
  </si>
  <si>
    <t>Against democratic deficits of European Union (EU) governance, recent literature emphasizes the communicative function of national parliaments. Yet, arguments from the broader EU politicization literature have been only rarely applied to public parliamentary debates. This article integrates arguments about supranational authority and partisan competition as key drivers of debates on the EU and tests respective implications by an automated text analysis that retrieves EU references in all 1,393 plenary debates of the German Bundestag during 1991-2013. A panel analysis identifies authority transfers as the strongest predictor for EU salience in the plenary. EU references furthermore increase with supranational policy output, public EU visibility, and a differentiating public opinion. With regard to partisan emphasis, mainstream and particularly governing parties push European issues in the German Bundestag.</t>
  </si>
  <si>
    <t>WZB Berlin Social Sci Ctr, D-10785 Berlin, Germany</t>
  </si>
  <si>
    <t>Rauh, C (corresponding author), WZB Berlin Social Sci Ctr, Reichpietschufer 50, D-10785 Berlin, Germany.</t>
  </si>
  <si>
    <t>christian.rauh@wzb.eu</t>
  </si>
  <si>
    <t>Rauh, Christian/AAG-9839-2019; Rauh, Christian/AFV-2446-2022</t>
  </si>
  <si>
    <t xml:space="preserve">Rauh, Christian/0000-0001-9357-9506; </t>
  </si>
  <si>
    <t>10.1177/1465116514551806</t>
  </si>
  <si>
    <t>CC1RD</t>
  </si>
  <si>
    <t>WOS:000350119000006</t>
  </si>
  <si>
    <t>Chung, YL; Hsu, PY; Huang, SH</t>
  </si>
  <si>
    <t>Chung, Yi-Liang; Hsu, Ping-Yu; Huang, Shih-Hsiang</t>
  </si>
  <si>
    <t>Num-Symbolic Homophonic Social Net-Words</t>
  </si>
  <si>
    <t>INFORMATION</t>
  </si>
  <si>
    <t>text analysis; homophonic; user-generated content; net-word</t>
  </si>
  <si>
    <t>CHINESE; NEOLOGISM</t>
  </si>
  <si>
    <t>Many excellent studies about social networks and text analyses can be found in the literature, facilitating the rapid development of automated text analysis technology. Due to the lack of natural separators in Chinese, the text numbers and symbols also have their original literal meaning. Thus, combining Chinese characters with numbers and symbols in user-generated content is a challenge for the current analytic approaches and procedures. Therefore, we propose a new hybrid method for detecting blended numeric and symbolic homophony Chinese neologisms (BNShCNs). Interpretation of the words' actual semantics was performed according to their independence and relative position in context. This study obtained a shortlist using a probability approach from internet-collected user-generated content; subsequently, we evaluated the shortlist by contextualizing word-embedded vectors for BNShCN detection. The experiments show that the proposed method efficiently extracted BNShCNs from user-generated content.</t>
  </si>
  <si>
    <t>[Chung, Yi-Liang; Hsu, Ping-Yu] Natl Cent Univ, Dept Business Adm, 300 Zhongda Rd, Taoyuan 320317, Taiwan; [Huang, Shih-Hsiang] PwC Business Consulting Serv Taiwan Ltd, 27F,333,Sec 1,Keelung Rd, Taipei 110208, Taiwan</t>
  </si>
  <si>
    <t>Chung, YL (corresponding author), Natl Cent Univ, Dept Business Adm, 300 Zhongda Rd, Taoyuan 320317, Taiwan.</t>
  </si>
  <si>
    <t>richard@g.ncu.edu.tw; pyhsu@mgt.ncu.edu.tw; steven.sh.huang@pwc.com</t>
  </si>
  <si>
    <t>Chung, Yi Liang/GRJ-5199-2022</t>
  </si>
  <si>
    <t>2078-2489</t>
  </si>
  <si>
    <t>Information</t>
  </si>
  <si>
    <t>10.3390/info13040174</t>
  </si>
  <si>
    <t>0U8ZH</t>
  </si>
  <si>
    <t>WOS:000787935600001</t>
  </si>
  <si>
    <t>Tolochko, P; Boomgaarden, HG</t>
  </si>
  <si>
    <t>Tolochko, Petro; Boomgaarden, Hajo G.</t>
  </si>
  <si>
    <t>Determining Political Text Complexity: Conceptualizations, Measurements, and Application</t>
  </si>
  <si>
    <t>linguistic complexity; political communication; automated text analysis</t>
  </si>
  <si>
    <t>LINGUISTIC COMPLEXITY; SYNTACTIC COMPLEXITY; KNOWLEDGE; NETWORKS</t>
  </si>
  <si>
    <t>Language is of major importance in communicating politics to the people. Political texts, however, vary in their use of language beyond their particular contents. Some texts are structurally and linguistically more complex than others. Text complexity, in turn, has an impact on audiences' abilities to process and acquire information. Yet, the measures used to operationalize textual complexity are vastly different across studies. This study analyzes whether various complexity metrics measure similar underlying constructs and develops an approach to determine the complexity of texts. The current article provides evidence that text complexity is a multidimensional construct and thus should be studied more carefully. It subsequently validates this approach by applying it to a sample of political newspaper articles. The approach should inform future studies on the structure and effects of linguistic complexity on political communication and beyond.</t>
  </si>
  <si>
    <t>[Tolochko, Petro; Boomgaarden, Hajo G.] Univ Vienna, Vienna, Austria</t>
  </si>
  <si>
    <t>Tolochko, P (corresponding author), Univ Vienna, Vienna, Austria.</t>
  </si>
  <si>
    <t>petro.tolochko@univie.ac.at; hajo.boomgaarden@univie.ac.at</t>
  </si>
  <si>
    <t>Boomgaarden, Hajo G./0000-0002-5260-1284; Tolochko, Petro/0000-0001-5971-8816</t>
  </si>
  <si>
    <t>WOS:000475772800070</t>
  </si>
  <si>
    <t>Koh, E; Hong, H; Seah, J</t>
  </si>
  <si>
    <t>Koh, Elizabeth; Hong, Helen; Seah, Jimmy</t>
  </si>
  <si>
    <t>An analytic frame and multi-method approach to measure teamwork competency</t>
  </si>
  <si>
    <t>2014 14TH IEEE INTERNATIONAL CONFERENCE ON ADVANCED LEARNING TECHNOLOGIES (ICALT)</t>
  </si>
  <si>
    <t>IEEE International Conference on Advanced Learning Technologies</t>
  </si>
  <si>
    <t>14th IEEE International Conference on Advanced Learning Technologies (ICALT) - Advanced Technologies for Supporting Open Access to Formal and Informal Learning</t>
  </si>
  <si>
    <t>JUL 07-10, 2014</t>
  </si>
  <si>
    <t>Athens, GREECE</t>
  </si>
  <si>
    <t>IEEE,IEEE Comp Soc,IEEE Tech Comm Learning Technol</t>
  </si>
  <si>
    <t>Teamwork; collaboration; 21st century skills; measurement</t>
  </si>
  <si>
    <t>FACE-TO-FACE; COLLABORATION</t>
  </si>
  <si>
    <t>Teamwork is gaining importance as a competency for the 21st century learner. Yet, it is a difficult multi-dimensional concept to measure. Past research has adopted various models and methods to measure it. This exploratory study develops an analytic frame for teamwork competency. It comprises six dimensions and includes both the cognitive and affective aspects of teamwork. A multi-method approach is proposed to measure the dimensions using manual and semi-automated text analysis, event log analysis as well as survey methodology. Its advantages include fairness and efficiency. This measurement approach is based on a collaborative learning setting with 3-4 member teams collaborating using synchronous chat. This allows the measurement of teamwork in naturalistic student group settings. Also, this approach intends to be transportable which facilitates adoption in various subjects.</t>
  </si>
  <si>
    <t>[Koh, Elizabeth; Hong, Helen] Nanyang Technol Univ, Natl Inst Educ, Singapore 639798, Singapore; [Seah, Jimmy] Poi Ching Sch, Singapore, Singapore</t>
  </si>
  <si>
    <t>Nanyang Technological University &amp; National Institute of Education (NIE) Singapore; Nanyang Technological University; National Institute of Education (NIE) Singapore</t>
  </si>
  <si>
    <t>Koh, E (corresponding author), Nanyang Technol Univ, Natl Inst Educ, Singapore 639798, Singapore.</t>
  </si>
  <si>
    <t>elizabeth.koh@nie.edu.sg</t>
  </si>
  <si>
    <t>Koh, Elizabeth/ABC-7246-2020; Koh, Elizabeth/AGG-8381-2022</t>
  </si>
  <si>
    <t>Koh, Elizabeth/0000-0002-2808-8687; Koh, Elizabeth/0000-0002-2808-8687</t>
  </si>
  <si>
    <t>Education Research Funding Programme, National Institute of Education (NIE); Nanyang Technological University, Singapore</t>
  </si>
  <si>
    <t>Education Research Funding Programme, National Institute of Education (NIE); Nanyang Technological University, Singapore(Nanyang Technological University)</t>
  </si>
  <si>
    <t>This paper refers to data from the research project Exploring Teamwork Beliefs and Competencies in Technology-enabled 21st Century Classrooms (0ER62/12EK), funded by the Education Research Funding Programme, National Institute of Education (NIE), Nanyang Technological University, Singapore. The views expressed in this paper are the authors' and do not necessarily represent the views of NIE.</t>
  </si>
  <si>
    <t>2161-3761</t>
  </si>
  <si>
    <t>978-1-4799-4038-7</t>
  </si>
  <si>
    <t>IEEE INT CONF ADV LE</t>
  </si>
  <si>
    <t>10.1109/ICALT.2014.82</t>
  </si>
  <si>
    <t>Computer Science, Information Systems; Engineering, Electrical &amp; Electronic</t>
  </si>
  <si>
    <t>BB8WZ</t>
  </si>
  <si>
    <t>WOS:000347713100078</t>
  </si>
  <si>
    <t>Ovadek, M</t>
  </si>
  <si>
    <t>Ovadek, Michal</t>
  </si>
  <si>
    <t>Popular tribunes and their agendas: topic modelling Slovak presidents' speeches 1993-2020</t>
  </si>
  <si>
    <t>EAST EUROPEAN POLITICS</t>
  </si>
  <si>
    <t>Slovakia; presidents; political speech; quantitative text analysis; non-negative matrix factorisation</t>
  </si>
  <si>
    <t>Since its birth as an independent republic in 1993, Slovakia has been served by five different presidents. Due to limited competences, the presidents' have often relied on political speech as their principal tool to influence political developments. However, text as a source of data has been largely neglected in existing scholarship on Central European presidents. In this exploratory study, I classify the content of presidential speeches using a topic model and analyse topical patterns over time and across different presidents. I find that topical variation can provide useful insights into relevant issues such as agenda shifts or intra-executive conflict.</t>
  </si>
  <si>
    <t>[Ovadek, Michal] Katholieke Univ Leuven, Ctr Legal Theory &amp; Empir Jurisprudence, Leuven, Belgium</t>
  </si>
  <si>
    <t>KU Leuven</t>
  </si>
  <si>
    <t>Ovadek, M (corresponding author), Katholieke Univ Leuven, Ctr Legal Theory &amp; Empir Jurisprudence, Leuven, Belgium.</t>
  </si>
  <si>
    <t>michal.ovadek@kuleuven.be</t>
  </si>
  <si>
    <t>Ovádek, Michal/AAO-7383-2021</t>
  </si>
  <si>
    <t>Ovádek, Michal/0000-0002-2552-2580</t>
  </si>
  <si>
    <t>2159-9165</t>
  </si>
  <si>
    <t>2159-9173</t>
  </si>
  <si>
    <t>EAST EUR POLITICS</t>
  </si>
  <si>
    <t>East Eur. Politics</t>
  </si>
  <si>
    <t>APR 3</t>
  </si>
  <si>
    <t>10.1080/21599165.2020.1756785</t>
  </si>
  <si>
    <t>SI3NZ</t>
  </si>
  <si>
    <t>WOS:000533218000001</t>
  </si>
  <si>
    <t>Velasquez, NF; Fields, DA; Olsen, D; Martin, T; Shepherd, MC; Strommer, A; Kafai, YB</t>
  </si>
  <si>
    <t>Sprague, RH</t>
  </si>
  <si>
    <t>Velasquez, Nicole Forsgren; Fields, Deborah A.; Olsen, David; Martin, Taylor; Shepherd, Mark C.; Strommer, Anna; Kafai, Yasmin B.</t>
  </si>
  <si>
    <t>Novice Programmers Talking about Projects: What Automated Text Analysis Reveals about Online Scratch Users' Comments</t>
  </si>
  <si>
    <t>2014 47TH HAWAII INTERNATIONAL CONFERENCE ON SYSTEM SCIENCES (HICSS)</t>
  </si>
  <si>
    <t>Proceedings of the Annual Hawaii International Conference on System Sciences</t>
  </si>
  <si>
    <t>47th Annual Hawaii International Conference on System Sciences</t>
  </si>
  <si>
    <t>JAN 06-09, 2014</t>
  </si>
  <si>
    <t>Waikoloa, HI</t>
  </si>
  <si>
    <t>Univ Hawaii, Shidler Coll Business,IEEE Comp Soc</t>
  </si>
  <si>
    <t>DECEPTION</t>
  </si>
  <si>
    <t>In this paper we examine the possibilities of applying predictive analysis to users' written communication via comments in an open-ended online social networking forum: Scratch.mitedu. Scratch is primarily used by youth ages 8-16 years to program software like games, animations, and stories; their social interactions take place around commenting, remixing, and sharing computer programs (called projects). This exploratory work contributes to work in educational data mining by broadly describing and comparing comments about projects versus other topics in Scratch. Referencing communication accommodation theory, we found that user comments about projects exhibited different linguistic cues than other comments, and these cues were successfully used to classify comment topic. Further, results also suggest that project comments embody richer language than other comments. This suggests several future avenues for research on youth's online comments about programming and other technical projects that may reveal educational opportunities in creating and sharing projects.</t>
  </si>
  <si>
    <t>[Velasquez, Nicole Forsgren; Fields, Deborah A.; Olsen, David; Martin, Taylor; Shepherd, Mark C.; Strommer, Anna] Utah State Univ, 2830 Old Main Hill, Logan, UT 84322 USA; [Kafai, Yasmin B.] Univ Penn, Philadelphia, PA 19104 USA</t>
  </si>
  <si>
    <t>Utah System of Higher Education; Utah State University; University of Pennsylvania</t>
  </si>
  <si>
    <t>Velasquez, NF (corresponding author), Utah State Univ, 2830 Old Main Hill, Logan, UT 84322 USA.</t>
  </si>
  <si>
    <t>nicolefv@usu.edu; deborah.fields@usu.edu; david.olsen@usu.edu; taylor.martin@usu.edu; mark.shep@aggiemail.usu.edu; anna.strommer@aggiemail.usu.edu; kafai@upenn.edu</t>
  </si>
  <si>
    <t>Fields, Deborah/GXZ-6816-2022</t>
  </si>
  <si>
    <t>Fields, Deborah/0000-0003-1627-9512</t>
  </si>
  <si>
    <t>1060-3425</t>
  </si>
  <si>
    <t>978-1-4799-2504-9</t>
  </si>
  <si>
    <t>P ANN HICSS</t>
  </si>
  <si>
    <t>10.1109/HICSS.2014.209</t>
  </si>
  <si>
    <t>Computer Science, Information Systems; Computer Science, Theory &amp; Methods</t>
  </si>
  <si>
    <t>BB5FW</t>
  </si>
  <si>
    <t>WOS:000343806601091</t>
  </si>
  <si>
    <t>Lee, JK</t>
  </si>
  <si>
    <t>Lee, Jeffrey K.</t>
  </si>
  <si>
    <t>Emotional Expressions and Brand Status</t>
  </si>
  <si>
    <t>JOURNAL OF MARKETING RESEARCH</t>
  </si>
  <si>
    <t>emotional expression; status; reference groups; text analysis; computer vision; social media</t>
  </si>
  <si>
    <t>CONSUMER CHOICE; LANGUAGE; PRESTIGE; PRODUCT; WORK; CONSUMPTION; REVIEWS; IMAGE</t>
  </si>
  <si>
    <t>This project investigates emotionality by brands on social media. First, a field data set of over 200,000 text and images posts by brands across two major platforms is analyzed. Using recent automated text analysis (Study 1a) and computer vision methods (Studies 1b and 1c), the author provides initial documentation of a negative relationship between brand emotionality and status. Exploring this relationship further, in Studies 2, 3, and 4, the author finds that brands can leverage this association, reducing emotionality in brand communications to increase perceived brand status. This strategy is effective because reduced emotionality is associated with high-status communication norms, which evoke high-status reference groups. This finding is moderated by the status context of the brand (Study 2) and the product type (Study 4).</t>
  </si>
  <si>
    <t>[Lee, Jeffrey K.] Amer Univ, Kogod Sch Business, Washington, DC 20016 USA</t>
  </si>
  <si>
    <t>American University</t>
  </si>
  <si>
    <t>Lee, JK (corresponding author), Amer Univ, Kogod Sch Business, Washington, DC 20016 USA.</t>
  </si>
  <si>
    <t>jefflee@american.edu</t>
  </si>
  <si>
    <t>0022-2437</t>
  </si>
  <si>
    <t>1547-7193</t>
  </si>
  <si>
    <t>J MARKETING RES</t>
  </si>
  <si>
    <t>J. Mark. Res.</t>
  </si>
  <si>
    <t>10.1177/00222437211037340</t>
  </si>
  <si>
    <t>WX9LI</t>
  </si>
  <si>
    <t>WOS:000718909600009</t>
  </si>
  <si>
    <t>Golbeck, J</t>
  </si>
  <si>
    <t>Thomson, R; Dancy, C; Hyder, A; Bisgin, H</t>
  </si>
  <si>
    <t>Golbeck, Jennifer</t>
  </si>
  <si>
    <t>Predicting Alcoholism Recovery from Twitter</t>
  </si>
  <si>
    <t>SOCIAL, CULTURAL, AND BEHAVIORAL MODELING, SBP-BRIMS 2018</t>
  </si>
  <si>
    <t>11th International Conference on Social Computing, Behavioral-Cultural Modeling, and Prediction (SBP) / Conference of the Behavioral-Representation-in-Modeling-and-Simulation- Society (BRiMS)</t>
  </si>
  <si>
    <t>JUL 10-13, 2018</t>
  </si>
  <si>
    <t>Washington, DC</t>
  </si>
  <si>
    <t>Behav Representat Modeling &amp; Simulat Soc</t>
  </si>
  <si>
    <t>COPING STYLE; PERSONALITY; DEPENDENCE; RELAPSE; TRAITS</t>
  </si>
  <si>
    <t>We show that social media data, in the form of Twitter profiles, can be used to automatically and accurately predict whether or not an alcoholic entering treatment will achieve and maintain sobriety. This analysis is based on a dataset of 270 Twitter (225 in the training set and 45 in the test set) users who announced that they were attending their first Alcoholics Anonymous meeting and, subsequently, their sobriety or return to drinking. Our model uses a tree-based machine learning approach to make predictions over a feature set developed from automated text analysis, social network analysis, and a quantified estimation of relevant factors identified by the addiction research community. The model correctly predicts recovery status after 90 days with 80% accuracy and ROC AUC of 0.815. We describe how this data works together to produce a model, and discuss the opportunities and challenges resulting from the ability to make these types of predictions.</t>
  </si>
  <si>
    <t>[Golbeck, Jennifer] Univ Maryland, College Pk, MD 20742 USA</t>
  </si>
  <si>
    <t>University System of Maryland; University of Maryland College Park</t>
  </si>
  <si>
    <t>Golbeck, J (corresponding author), Univ Maryland, College Pk, MD 20742 USA.</t>
  </si>
  <si>
    <t>jgolbeck@umd.edu</t>
  </si>
  <si>
    <t>978-3-319-93372-6; 978-3-319-93371-9</t>
  </si>
  <si>
    <t>10.1007/978-3-319-93372-6_28</t>
  </si>
  <si>
    <t>Computer Science, Artificial Intelligence; Computer Science, Information Systems; Computer Science, Software Engineering; Computer Science, Theory &amp; Methods; Social Sciences, Mathematical Methods; Social Sciences, Interdisciplinary</t>
  </si>
  <si>
    <t>Computer Science; Mathematical Methods In Social Sciences; Social Sciences - Other Topics</t>
  </si>
  <si>
    <t>BP4IE</t>
  </si>
  <si>
    <t>WOS:000552600600028</t>
  </si>
  <si>
    <t>El Masri, YH; Baird, JA; Graesser, A</t>
  </si>
  <si>
    <t>El Masri, Yasmine H.; Baird, Jo-Anne; Graesser, Art</t>
  </si>
  <si>
    <t>Language effects in international testing: the case of PISA 2006 science items</t>
  </si>
  <si>
    <t>ASSESSMENT IN EDUCATION-PRINCIPLES POLICY &amp; PRACTICE</t>
  </si>
  <si>
    <t>Science assessment; PISA; international comparison; language bias; test transadaptation</t>
  </si>
  <si>
    <t>ACADEMIC LANGUAGE; CONSTRUCT COMPARABILITY; SCIENTIFIC LITERACY; ENGLISH; TEXT; ASSESSMENTS; INSTRUCTION; DISCOURSE; EDUCATION; GRAPHS</t>
  </si>
  <si>
    <t>We investigate the extent to which language versions (English, French and Arabic) of the same science test are comparable in terms of item difficulty and demands. We argue that language is an inextricable part of the scientific literacy construct, be it intended or not by the examiner. This argument has considerable implications on methodologies used to address the equivalence of multiple language versions of the same assessment, including in the context of international assessment where cross-cultural fairness is a concern. We also argue that none of the available statistical or qualitative techniques are capable of teasing out the language variable and neutralising its potential effects on item difficulty and demands. Exploring the use of automated text analysis tools at the quality control stage may be successful in addressing some of these challenges.</t>
  </si>
  <si>
    <t>[El Masri, Yasmine H.; Baird, Jo-Anne] Univ Oxford, Dept Educ, Oxford, England; [Graesser, Art] Univ Memphis, Dept Psychol, Interdisciplinary Res, Memphis, TN 38152 USA; [Graesser, Art] Univ Memphis, Inst Intelligent Syst, Memphis, TN 38152 USA</t>
  </si>
  <si>
    <t>University of Oxford; University of Memphis; University of Memphis</t>
  </si>
  <si>
    <t>El Masri, YH (corresponding author), Univ Oxford, Dept Educ, Oxford, England.</t>
  </si>
  <si>
    <t>yasmine.elmasri@education.ox.ac.uk</t>
  </si>
  <si>
    <t>Doctor of Philosophy (DPhil) thesis programme at the University of Oxford in the UK</t>
  </si>
  <si>
    <t>This research was carried out under the auspices of a Doctor of Philosophy (DPhil) thesis programme at the University of Oxford in the UK. The authors would like to thank Professor Pauline Rea-Dickens for the invaluable comments on an earlier version of this manuscript.</t>
  </si>
  <si>
    <t>0969-594X</t>
  </si>
  <si>
    <t>1465-329X</t>
  </si>
  <si>
    <t>ASSESS EDUC</t>
  </si>
  <si>
    <t>Assess. Educ.</t>
  </si>
  <si>
    <t>10.1080/0969594X.2016.1218323</t>
  </si>
  <si>
    <t>EJ0VL</t>
  </si>
  <si>
    <t>WOS:000392928900002</t>
  </si>
  <si>
    <t>Alschner, W; Seiermann, J; Skougarevskiy, D</t>
  </si>
  <si>
    <t>Alschner, Wolfgang; Seiermann, Julia; Skougarevskiy, Dmitriy</t>
  </si>
  <si>
    <t>Text of Trade Agreements (ToTA)A Structured Corpus for the Text-as-Data Analysis of Preferential Trade Agreements</t>
  </si>
  <si>
    <t>JOURNAL OF EMPIRICAL LEGAL STUDIES</t>
  </si>
  <si>
    <t>With multilateral negotiations at the World Trade Organization (WTO) in deadlock, rulemaking on international economic governance has shifted to preferential trade agreements (PTAs). To facilitate the scholarly investigation of the fast-growing universe of PTAs, this article introduces a machine-readable and structured full text corpus of 448 WTO-notified trade agreements stored on a Github repositorythe Text of Trade Agreements (ToTA) corpus. The article (1) provides a summary analysis of the ToTA corpus, (2) illustrates how text-as-data techniques can be used to investigate PTA design using ToTA, including through an interactive website accompanying this research, and (3) concludes with an overview of research applications involving this PTA text corpus in economics, political science, and law. The current codebook is attached herein as an appendix. The dataset, codebook, and code, as updated, are available at . https://github.com/mappingtreaties/tota.</t>
  </si>
  <si>
    <t>[Skougarevskiy, Dmitriy] European Univ St Petersburg, Inst Rule Law, Gagarinskaya Ul 6-1, St Petersburg 191187, Russia; [Alschner, Wolfgang] Univ Ottawa, Common Law Sect, Ottawa, ON, Canada; [Seiermann, Julia] UNCTAD, Geneva, Switzerland</t>
  </si>
  <si>
    <t>European University at Saint Petersburg; University of Ottawa</t>
  </si>
  <si>
    <t>Skougarevskiy, D (corresponding author), European Univ St Petersburg, Inst Rule Law, Gagarinskaya Ul 6-1, St Petersburg 191187, Russia.</t>
  </si>
  <si>
    <t>dskougrevskiy@eu.spb.ru</t>
  </si>
  <si>
    <t>Skougarevskiy, Dmitriy/AAG-4908-2019</t>
  </si>
  <si>
    <t>Skougarevskiy, Dmitriy/0000-0002-4022-6210</t>
  </si>
  <si>
    <t>Swiss National Science Foundation (SNSF) project Convergence Versus Divergence? Text-as-Data and Network Analysis of International Economic Law Treaties and Tribunals [162379]</t>
  </si>
  <si>
    <t>Swiss National Science Foundation (SNSF) project Convergence Versus Divergence? Text-as-Data and Network Analysis of International Economic Law Treaties and Tribunals</t>
  </si>
  <si>
    <t>The views expressed in this article are those of the authors and do not necessarily reflect the views of the United Nations or its officials or member states. We thank Veronika Zhirnova and Kseniia Tumasova for research assistance and gratefully acknowledge the funding support of the Swiss National Science Foundation (SNSF) project Convergence Versus Divergence? Text-as-Data and Network Analysis of International Economic Law Treaties and Tribunals (Grant Number 162379).</t>
  </si>
  <si>
    <t>1740-1453</t>
  </si>
  <si>
    <t>1740-1461</t>
  </si>
  <si>
    <t>J EMPIR LEGAL STUD</t>
  </si>
  <si>
    <t>J. Empir Leg. Stud</t>
  </si>
  <si>
    <t>10.1111/jels.12189</t>
  </si>
  <si>
    <t>GQ3KP</t>
  </si>
  <si>
    <t>WOS:000441562900007</t>
  </si>
  <si>
    <t>Arcila-Calderon, C; Barbosa-Caro, E; Cabezuelo-Lorenzo, F</t>
  </si>
  <si>
    <t>Arcila-Calderon, Carlos; Barbosa-Caro, Eduar; Cabezuelo-Lorenzo, Francisco</t>
  </si>
  <si>
    <t>Big data techniques: Large-scale text analysis for scientific and journalistic research</t>
  </si>
  <si>
    <t>PROFESIONAL DE LA INFORMACION</t>
  </si>
  <si>
    <t>Spanish</t>
  </si>
  <si>
    <t>Data; Big data; Data mining; Machine learning; Topic modeling; Sentiment analysis</t>
  </si>
  <si>
    <t>This paper conceptualizes the term big data and describes its relevance in social research and journalistic practices. We explain large-scale text analysis techniques such as automated content analysis, data mining, machine learning, topic modeling, and sentiment analysis, which may help scientific discovery in social sciences and news production in journalism. We explain the required e-infrastructure for big data analysis with the use of cloud computing and we asses the use of the main packages and libraries for information retrieval and analysis in commercial software and programming languages such as Python or R.</t>
  </si>
  <si>
    <t>[Arcila-Calderon, Carlos] Univ Salamanca, Fac Ciencias Sociales, Campus Miguel Unamuno,Edificio FES, Salamanca 37071, Spain; [Barbosa-Caro, Eduar] Univ Norte, Via Puerto Colombia,Km 5, Barranquilla, Colombia; [Cabezuelo-Lorenzo, Francisco] Univ Valladolid, Fac Ciencias Sociales Jurid &amp; Comunicac, Plaza Univ 1, Segovia 40005, Colombia</t>
  </si>
  <si>
    <t>University of Salamanca; Universidad del Norte</t>
  </si>
  <si>
    <t>Arcila-Calderon, C (corresponding author), Univ Salamanca, Fac Ciencias Sociales, Campus Miguel Unamuno,Edificio FES, Salamanca 37071, Spain.</t>
  </si>
  <si>
    <t>carcila@usal.es; eduarbarbosacc@gmail.com; cabezuelo@hmca.uva.es</t>
  </si>
  <si>
    <t>Caro, Eduar Barbosa/U-4373-2017; Calderón, Carlos Arcila/M-7254-2019; Calderón, Carlos Arcila/D-3178-2012; CABEZUELO-LORENZO, Francisco/AAN-6010-2020</t>
  </si>
  <si>
    <t>Caro, Eduar Barbosa/0000-0003-0297-8224; Calderón, Carlos Arcila/0000-0002-2636-2849; CABEZUELO-LORENZO, Francisco/0000-0002-9380-3552</t>
  </si>
  <si>
    <t>EPI</t>
  </si>
  <si>
    <t>BARCELONA</t>
  </si>
  <si>
    <t>APARTADO 32 280, BARCELONA, 08080, SPAIN</t>
  </si>
  <si>
    <t>1386-6710</t>
  </si>
  <si>
    <t>PROF INFORM</t>
  </si>
  <si>
    <t>Prof. Inf.</t>
  </si>
  <si>
    <t>JUL-AUG</t>
  </si>
  <si>
    <t>10.3145/epi.2016.jul.12</t>
  </si>
  <si>
    <t>Communication; Information Science &amp; Library Science</t>
  </si>
  <si>
    <t>DU1AW</t>
  </si>
  <si>
    <t>Green Accepted, Bronze</t>
  </si>
  <si>
    <t>WOS:000381938600012</t>
  </si>
  <si>
    <t>Kimmons, R</t>
  </si>
  <si>
    <t>Kimmons, Royce</t>
  </si>
  <si>
    <t>Open to all? Nationwide evaluation of high-priority web accessibility considerations among higher education websites</t>
  </si>
  <si>
    <t>JOURNAL OF COMPUTING IN HIGHER EDUCATION</t>
  </si>
  <si>
    <t>Web accessibility; Search engine optimization; Openness; Data mining; Web scraping</t>
  </si>
  <si>
    <t>This study seeks to evaluate the basic Priority 1 web accessibility of all college and university websites in the US (n = 3141). Utilizing web scraping and automated content analysis, the study establishes that even in the case of high-priority, simple-to-address accessibility requirements, colleges and universities generally fail to make their sites accessible. Results should be used to determine reasonable and simple steps for moving toward accessible design in institutional websites, which is necessary to ensure that institutional resources can be open and useable by all.</t>
  </si>
  <si>
    <t>[Kimmons, Royce] Brigham Young Univ, 150J MCKB, Provo, UT 84602 USA</t>
  </si>
  <si>
    <t>Brigham Young University</t>
  </si>
  <si>
    <t>Kimmons, R (corresponding author), Brigham Young Univ, 150J MCKB, Provo, UT 84602 USA.</t>
  </si>
  <si>
    <t>roycekimmons@gmail.com</t>
  </si>
  <si>
    <t>Kimmons, Royce/0000-0001-7744-2315</t>
  </si>
  <si>
    <t>233 SPRING ST, NEW YORK, NY 10013 USA</t>
  </si>
  <si>
    <t>1042-1726</t>
  </si>
  <si>
    <t>1867-1233</t>
  </si>
  <si>
    <t>J COMPUT HIGH EDUC</t>
  </si>
  <si>
    <t>J. Comput. High. Educ.</t>
  </si>
  <si>
    <t>10.1007/s12528-017-9151-3</t>
  </si>
  <si>
    <t>FN1NE</t>
  </si>
  <si>
    <t>WOS:000415756100003</t>
  </si>
  <si>
    <t>Pagliari, S; Young, KL</t>
  </si>
  <si>
    <t>Pagliari, Stefano; Young, Kevin L.</t>
  </si>
  <si>
    <t>Exploring information exchange among interest groups: a text-reuse approach</t>
  </si>
  <si>
    <t>Text-as-data; interest groups; coalitions; online consultations; European Union</t>
  </si>
  <si>
    <t>LOBBYING COALITIONS; US; CONSULTATIONS; PREFERENCES; DECISION; FRIENDS</t>
  </si>
  <si>
    <t>The presence of communication channels plays a key role in how interest groups engage in EU policymaking. However, the capacity of researchers to explain these patterns is constrained by the informal and opaque nature of such interaction. In this paper we develop a novel text-as-data approach which maps the informal patterns of information exchange among the stakeholders that engage with EU policymaking by detecting instances of text reuse among the comment letters submitted by these groups to the same policy proposal. We use this approach to analyse a novel dataset of publicly available comments to a wide a range of EU policies. We find that there are significant differences between the structure of information exchange networks and more formal lobbying coalitions in the EU, as well as between the groups that engage in these forms of coordination.</t>
  </si>
  <si>
    <t>[Pagliari, Stefano] Univ London, Dept Int Polit, London, England; [Young, Kevin L.] UMass Amherst, Dept Econ, Amherst, MA USA</t>
  </si>
  <si>
    <t>University of London; University of Massachusetts System; University of Massachusetts Amherst</t>
  </si>
  <si>
    <t>Pagliari, S (corresponding author), Univ London, Dept Int Polit, London, England.</t>
  </si>
  <si>
    <t>stefano.pagliari@city.ac.uk</t>
  </si>
  <si>
    <t>Pagliari, Stefano/0000-0003-0612-5296</t>
  </si>
  <si>
    <t>NOV 1</t>
  </si>
  <si>
    <t>10.1080/13501763.2020.1817132</t>
  </si>
  <si>
    <t>OS0FT</t>
  </si>
  <si>
    <t>WOS:000589840500006</t>
  </si>
  <si>
    <t>Kessler, SH; Schmidt-Weitmann, S</t>
  </si>
  <si>
    <t>Kessler, Sabrina Heike; Schmidt-Weitmann, Sabine</t>
  </si>
  <si>
    <t>Diseases and Emotions: An Automated Content Analysis of Health Narratives in Inquiries to an Online Health Consultation Service</t>
  </si>
  <si>
    <t>HEALTH COMMUNICATION</t>
  </si>
  <si>
    <t>INTERNET; EXPERIENCE; ILLNESS; SHAME</t>
  </si>
  <si>
    <t>The internet is increasingly used as a source of health-related information by individuals making a medical decision. Online consultation services offer a safe and anonymous time- and place-independent space in which users can ask health-related questions combined with related individual health narratives, including associated emotions. Research on emotions in health narratives and medical communication is still at an early stage. This study investigates the users of an online consultation service themselves and the content of their inquiries related to health narratives, queried diseases, and the emotions expressed. An automated content analysis of all online inquiries to the University Hospital Zurich from 09/08/1999 to 07/06/2018 was conducted (N =?55,476 inquiries). The majority of users were female. Over time, however, significantly more men and older adults began to submit inquiries. The wide variety of medical inquiries submitted to the service extended across all categories in the International Statistical Classification of Diseases and correlated with the statistical incidence of diseases in Switzerland. In line with theoretical assumptions about mood management and mood adjustment, users? health narratives most frequently expressed negative emotions like suffering, fear, worry, and shame. The results find support for a close link between health narratives and emotions. By providing an anonymous space where users can talk about diseases that may be a source of stigma or shame, online consultation services can empower patients and promote health literacy through the provision of individualized health information.</t>
  </si>
  <si>
    <t>[Kessler, Sabrina Heike] Univ Zurich, Dept Commun &amp; Media Res, Zurich, Switzerland; [Schmidt-Weitmann, Sabine] Univ Zurich, Inst Primary Care, Zurich, Switzerland</t>
  </si>
  <si>
    <t>Kessler, SH (corresponding author), Univ Zurich, Dept Commun &amp; Media Res, Zurich, Switzerland.;Kessler, SH (corresponding author), Univ Zurich, Sci Crisis &amp; Risk Commun, Zurich, Switzerland.</t>
  </si>
  <si>
    <t>sabrinaheike.kessler@uzh.ch</t>
  </si>
  <si>
    <t>Kessler, Sabrina/T-5573-2018</t>
  </si>
  <si>
    <t>Kessler, Sabrina/0000-0003-1858-7041; Schmidt-Weitmann, Sabine/0000-0002-0709-7971</t>
  </si>
  <si>
    <t>1041-0236</t>
  </si>
  <si>
    <t>1532-7027</t>
  </si>
  <si>
    <t>HEALTH COMMUN</t>
  </si>
  <si>
    <t>Health Commun.</t>
  </si>
  <si>
    <t>JAN 28</t>
  </si>
  <si>
    <t>10.1080/10410236.2019.1673950</t>
  </si>
  <si>
    <t>OCT 2019</t>
  </si>
  <si>
    <t>Communication; Health Policy &amp; Services</t>
  </si>
  <si>
    <t>Communication; Health Care Sciences &amp; Services</t>
  </si>
  <si>
    <t>PM4CF</t>
  </si>
  <si>
    <t>WOS:000489442700001</t>
  </si>
  <si>
    <t>Horne, J; Recker, M; Michelfelder, I; Jay, J; Kratzer, J</t>
  </si>
  <si>
    <t>Horne, Jannic; Recker, Malte; Michelfelder, Ingo; Jay, Jason; Kratzer, Jan</t>
  </si>
  <si>
    <t>Exploring entrepreneurship related to the sustainable development goals - mapping new venture activities with semi-automated content analysis</t>
  </si>
  <si>
    <t>JOURNAL OF CLEANER PRODUCTION</t>
  </si>
  <si>
    <t>Entrepreneurship; Sustainable development goals; Startups; Content analysis</t>
  </si>
  <si>
    <t>BUSINESS MODEL; FIRMS</t>
  </si>
  <si>
    <t>It is widely agreed that humanity faces major sustainability challenges that require immediate action. The Sustainable Development Goals (SDG) are the most recent political call for action in this direction. In this study, we examine what role entrepreneurship in Germany plays in achieving the German SDGs. Thus, we pick up the discussion on sustainable entrepreneurship as a lever for change and search for empirical evidence that entrepreneurs in Germany identify and develop opportunities along the entire SDG spectrum. For our study, we examined a total of 193 venture competitions in Germany, collected data on a total of 588 rewarded ventures and used a semi-automated content analysis process to allocate those ventures to the main 17 SDGs based on their business activities. With our work offer a scalable and repeatable approach to map SDG related activity of new ventures, and we provide a detailed analysis of Germany's entrepreneurship landscape along the 17 SDGs. We found a very heterogeneous distribution of entrepreneurial activities along the goals, but also significant correlations between multiple goals that are frequently addressed jointly. Contrasting entrepreneurial activity along the SDGs with the national overall SDG performance of Germany we identified multiple SDGs that are rarely addressed by entrepreneurs despite strong needs for improvements. The identified patterns constitute a starting point for additional research on the potential of SDG related entrepreneurship and they direct policy makers and entrepreneurs where they can make the largest contribution to the SDGs. (c) 2019 Elsevier Ltd. All rights reserved.</t>
  </si>
  <si>
    <t>[Horne, Jannic; Recker, Malte; Kratzer, Jan] TU Berlin, Dept Technol &amp; Management, Chair Entrepreneurship &amp; Innovat Management, Str 17 Juni 135, D-10623 Berlin, Germany; [Michelfelder, Ingo; Jay, Jason] MIT, Sloan Sch Management, 100 Main St,Bldg E62, Cambridge, MA 02142 USA; [Kratzer, Jan] Natl Res Univ Higher Sch Econ, 20 Myasnitskaya Ulitsa, Moscow, Russia</t>
  </si>
  <si>
    <t>Technical University of Berlin; Massachusetts Institute of Technology (MIT); HSE University (National Research University Higher School of Economics)</t>
  </si>
  <si>
    <t>Recker, M (corresponding author), TU Berlin, Dept Technol &amp; Management, Chair Entrepreneurship &amp; Innovat Management, Str 17 Juni 135, D-10623 Berlin, Germany.</t>
  </si>
  <si>
    <t>jannic.horne@campus.tu-berlin.de; malte.recker@campus.tu-berlin.de; imichel@mit.edu; jjay@mit.edu; jan.kratzer@tu-berlin.de</t>
  </si>
  <si>
    <t>Kratzer, Jan/AAX-2463-2020</t>
  </si>
  <si>
    <t>Horne, Jannic/0000-0003-3265-0713</t>
  </si>
  <si>
    <t>Fritz-Thyssen Stiftung</t>
  </si>
  <si>
    <t>This research was supported in parts by the Fritz-Thyssen Stiftung.</t>
  </si>
  <si>
    <t>0959-6526</t>
  </si>
  <si>
    <t>1879-1786</t>
  </si>
  <si>
    <t>J CLEAN PROD</t>
  </si>
  <si>
    <t>J. Clean Prod.</t>
  </si>
  <si>
    <t>JAN 1</t>
  </si>
  <si>
    <t>10.1016/j.jclepro.2019.118052</t>
  </si>
  <si>
    <t>Green &amp; Sustainable Science &amp; Technology; Engineering, Environmental; Environmental Sciences</t>
  </si>
  <si>
    <t>Science &amp; Technology - Other Topics; Engineering; Environmental Sciences &amp; Ecology</t>
  </si>
  <si>
    <t>JF2UC</t>
  </si>
  <si>
    <t>WOS:000491240100062</t>
  </si>
  <si>
    <t>Hosch-Dayican, B; Amrit, C; Aarts, K; Dassen, A</t>
  </si>
  <si>
    <t>Hosch-Dayican, Bengue; Amrit, Chintan; Aarts, Kees; Dassen, Adrie</t>
  </si>
  <si>
    <t>How Do Online Citizens Persuade Fellow Voters? Using Twitter During the 2012 Dutch Parliamentary Election Campaign</t>
  </si>
  <si>
    <t>online political participation; campaigning; Twitter; automated content analysis</t>
  </si>
  <si>
    <t>SOCIAL MEDIA; POLITICS; PARTY; PARTICIPATION; INFORMATION; INTERNET; COMMUNICATION; MOBILIZATION; VOLATILITY; MEMBERSHIP</t>
  </si>
  <si>
    <t>This article explores how Twitter was used by voters to participate in electoral campaigning during the Dutch election campaign of 2012. New social media networks like Twitter are believed to be efficient tools of communication between electoral candidates and voters during electoral campaign periods. Yet only few studies have been conducted so far to discover in what way the content of online discussions is being used for campaigning. In particular, there have been very few studies of electoral campaigning, which study the content of the social media messages sent by citizens. In order to understand the extent to which citizens utilize Twitter in different forms of electoral campaigningthat is, persuading followers about voting for a particular party or to conduct negative campaigning, we conducted an automated content analysis of a large corpus of tweets collected during the Dutch parliamentary election campaign of 2012. Our findings show that citizens participate significantly in online electoral campaigning on Twitter, whereas they differ from professional users in the style of campaigning. Persuasive campaigning is observed to a lesser extent among citizens than among politicians, while citizens more commonly use negative campaigning. Moreover, qualitative content analysis of campaigning tweets by citizens has revealed that expressions of emotions and opinions make up a large majority of negative tweets, indicating that citizens regard Twitter more as an outlet for expressing discontent than as a medium for negative campaigning.</t>
  </si>
  <si>
    <t>[Hosch-Dayican, Bengue] Tech Univ Dortmund, D-44221 Dortmund, Germany; [Amrit, Chintan] Univ Twente, Sch Management &amp; Governance, Dept Ind Engn &amp; Business Informat Syst, POB 217, NL-7500 AE Enschede, Netherlands; [Aarts, Kees] Univ Twente, Polit Sci, POB 217, NL-7500 AE Enschede, Netherlands; [Dassen, Adrie] Saxion Univ Appl Sci, Deventer, Netherlands</t>
  </si>
  <si>
    <t>Dortmund University of Technology; University of Twente; University of Twente; Saxion University of Applied Sciences</t>
  </si>
  <si>
    <t>Hosch-Dayican, B (corresponding author), Tech Univ Dortmund, D-44221 Dortmund, Germany.</t>
  </si>
  <si>
    <t>bengue.dayican@yu-dortmund.de; c.amrit@utwente.nl; c.w.a.m.aarts@utwente.nl; a.dassen@saxion.nl</t>
  </si>
  <si>
    <t>Amrit, Chintan/AAO-7994-2020</t>
  </si>
  <si>
    <t>Amrit, Chintan/0000-0002-6310-3248; Aarts, Kees/0000-0002-3367-4031</t>
  </si>
  <si>
    <t>Netherlands Organisation for Scientific Research (NWO) [480-11-010]</t>
  </si>
  <si>
    <t>The authors disclosed receipt of the following financial support for the research, authorship, and/or publication of this article: This study is part of a larger project funded by the The Netherlands Organisation for Scientific Research (NWO Grant number 480-11-010).</t>
  </si>
  <si>
    <t>10.1177/0894439314558200</t>
  </si>
  <si>
    <t>DF8EY</t>
  </si>
  <si>
    <t>WOS:000371591300001</t>
  </si>
  <si>
    <t>Seemiller, C</t>
  </si>
  <si>
    <t>Seemiller, Corey</t>
  </si>
  <si>
    <t>PREPARING LEADERS OF TOMORROW: AN ANALYSIS OF LEADERSHIP COMPETENCIES WITHIN ACCREDITED ACADEMIC PROGRAM LEARNING OUTCOMES</t>
  </si>
  <si>
    <t>JOURNAL OF LEADERSHIP STUDIES</t>
  </si>
  <si>
    <t>TAXONOMY; MODEL</t>
  </si>
  <si>
    <t>The Council for Higher Education Accreditation, U.S. Department of Education, and the Association of Specialized and Professional Accreditors provide the overarching affiliation and organization of 83 U.S. higher education academic accrediting agencies and associated 605 undergraduate and graduate academic programs. The present study explored if, and to what extent, each of the 60 Student Leadership Competencies was embedded in the language of the learning outcomes of the 605 programs. Results of a quantitative text analysis of the 36,327 learning outcomes across all 605 accredited programs show each of the competencies appearing in at least one learning outcome. The competencies of Evaluation, Verbal Communication, and Ethics emerged as the most prevalent.</t>
  </si>
  <si>
    <t>[Seemiller, Corey] Wright State Univ, Leadership Studies Educ &amp; Org, 3640 Colonel Glenn Highway, Dayton, OH 45435 USA</t>
  </si>
  <si>
    <t>Wright State University Dayton</t>
  </si>
  <si>
    <t>Seemiller, C (corresponding author), Wright State Univ, Leadership Studies Educ &amp; Org, 3640 Colonel Glenn Highway, Dayton, OH 45435 USA.</t>
  </si>
  <si>
    <t>corey.seemiller@wright.edu</t>
  </si>
  <si>
    <t>1935-2611</t>
  </si>
  <si>
    <t>1935-262X</t>
  </si>
  <si>
    <t>J LEADERSH STUD</t>
  </si>
  <si>
    <t>J. Leadersh. Stud.</t>
  </si>
  <si>
    <t>10.1002/jls.21737</t>
  </si>
  <si>
    <t>SR3MI</t>
  </si>
  <si>
    <t>WOS:000652737000001</t>
  </si>
  <si>
    <t>Bianchi, N; Carretta, A; Farina, V; Fiordelisi, F</t>
  </si>
  <si>
    <t>Bianchi, Nicola; Carretta, Alessandro; Farina, Vincenzo; Fiordelisi, Franco</t>
  </si>
  <si>
    <t>Does espoused risk culture pay? Evidence from European banks</t>
  </si>
  <si>
    <t>JOURNAL OF BANKING &amp; FINANCE</t>
  </si>
  <si>
    <t>Risk culture; Performancel; Banking; Text analysis; Stability</t>
  </si>
  <si>
    <t>A poor risk culture was one of the causes of the financial crisis. Surprisingly, there is no evidence of the link between risk culture and bank stability. Using a large sample of European banks from 2004 to 2017, our paper shows that a sound risk culture leads to better performance. Our research design is based on three steps. First, we developed a new Sound Risk Culture Indicator based on the Financial Stability Board (2014) risk culture framework. Second, we estimated this new metric by applying Quantitative Text Analysis. Third, we used an IV 2SLS panel data approach to establish a causal link between bank risk culture and profitability. (C) 2020 Published by Elsevier B.V.</t>
  </si>
  <si>
    <t>[Bianchi, Nicola] Organismo Agenti &amp; Mediatori OAM, Via Galilei 3, I-00185 Rome, Italy; [Carretta, Alessandro; Farina, Vincenzo] Univ Roma Tor Vergata, Via Columbia 2, I-00133 Rome, Italy; [Fiordelisi, Franco] Essex Univ, Wivenhoe Campus, Colchester CO4 3SQ, Essex, England</t>
  </si>
  <si>
    <t>University of Rome Tor Vergata; University of Essex</t>
  </si>
  <si>
    <t>Fiordelisi, F (corresponding author), Essex Univ, Wivenhoe Campus, Colchester CO4 3SQ, Essex, England.</t>
  </si>
  <si>
    <t>nicola.bianchi@organismo-am.it; alessandro.carretta@uniroma2.it; vincenzo.farina@uniroma2.it; franco.fiordelisi@essex.ac.uk</t>
  </si>
  <si>
    <t>; FARINA, VINCENZO/L-9511-2018</t>
  </si>
  <si>
    <t>FIORDELISI, Franco/0000-0002-8761-7243; FARINA, VINCENZO/0000-0001-9919-2759</t>
  </si>
  <si>
    <t>0378-4266</t>
  </si>
  <si>
    <t>1872-6372</t>
  </si>
  <si>
    <t>J BANK FINANC</t>
  </si>
  <si>
    <t>J. Bank Financ.</t>
  </si>
  <si>
    <t>10.1016/j.jbankfin.2020.105767</t>
  </si>
  <si>
    <t>Business, Finance; Economics</t>
  </si>
  <si>
    <t>PC2PU</t>
  </si>
  <si>
    <t>WOS:000596849900014</t>
  </si>
  <si>
    <t>Libel, T</t>
  </si>
  <si>
    <t>Libel, Tamir</t>
  </si>
  <si>
    <t>Rethinking strategic culture: A computational (social science) discursive-institutionalist approach</t>
  </si>
  <si>
    <t>JOURNAL OF STRATEGIC STUDIES</t>
  </si>
  <si>
    <t>Strategic culture; international relations theory; social sciences methodology; computational social science; quantitative text analysis</t>
  </si>
  <si>
    <t>EPISTEMIC COMMUNITIES; IDEAS; CONTEXT; ORDER; TEXT; 4TH</t>
  </si>
  <si>
    <t>The strategic culture approach has been suffering from a prolonged theoretical stalemate, despite a surge in case studies, which culminated in the Johnston-Gray debate and subsequent schism. The present paper outlines a new approach designed to overcome this deadlock, and consists of three arguments. First, the three previous generations of strategic culture studies have failed to explain how strategic culture influences behaviour. Second, aligning strategic culture theory-building with discursive institutionalism offers a way to overcome this fundamental fallacy. Third, a research programme for strategic culture should draw on computational social science to enable it to present and test middle-range theories.</t>
  </si>
  <si>
    <t>[Libel, Tamir] Barcelona Inst Int Studies IBEI, Barcelona, Spain</t>
  </si>
  <si>
    <t>Libel, T (corresponding author), Barcelona Inst Int Studies IBEI, Barcelona, Spain.</t>
  </si>
  <si>
    <t>tamirlibelphd@gmail.com</t>
  </si>
  <si>
    <t>Libel, Tamir/0000-0002-5141-7418</t>
  </si>
  <si>
    <t>0140-2390</t>
  </si>
  <si>
    <t>1743-937X</t>
  </si>
  <si>
    <t>J STRATEGIC STUD</t>
  </si>
  <si>
    <t>J. Strateg. Stud.</t>
  </si>
  <si>
    <t>JUL 28</t>
  </si>
  <si>
    <t>10.1080/01402390.2018.1545645</t>
  </si>
  <si>
    <t>MZ0PZ</t>
  </si>
  <si>
    <t>WOS:000558827000004</t>
  </si>
  <si>
    <t>Blaxill, L</t>
  </si>
  <si>
    <t>Blaxill, Luke</t>
  </si>
  <si>
    <t>Quantifying the language of British politics, 1880-1910</t>
  </si>
  <si>
    <t>HISTORICAL RESEARCH</t>
  </si>
  <si>
    <t>HISTORY; GLADSTONE; CRISIS</t>
  </si>
  <si>
    <t>Historians influenced by the linguistic turn' currently study political language almost exclusively qualitatively, through sharply focused case studies. This approach has many strengths but has limited power to examine national long-term political change over such vast discourses as general election campaigns. This article contends that electronic quantitative text analysis methods (inspired by corpus linguistics) could potentially reshape historians' understanding of the language of British electoral politics by providing a powerful ability holistically to assess the typicality, scope and power of key issues, ideologies, personalities and ideas across huge texts. It presents three supporting case studies on Irish Home Rule, imperialism and William Gladstone where a multi-million word corpus' of election speeches from this period is interrogated by computer.</t>
  </si>
  <si>
    <t>Kings Coll London, London, England</t>
  </si>
  <si>
    <t>University of London; King's College London</t>
  </si>
  <si>
    <t>Blaxill, L (corresponding author), Kings Coll London, London, England.</t>
  </si>
  <si>
    <t>0950-3471</t>
  </si>
  <si>
    <t>1468-2281</t>
  </si>
  <si>
    <t>HIST RES</t>
  </si>
  <si>
    <t>Hist. Res.</t>
  </si>
  <si>
    <t>10.1111/1468-2281.12011</t>
  </si>
  <si>
    <t>129QR</t>
  </si>
  <si>
    <t>WOS:000317857400007</t>
  </si>
  <si>
    <t>Senninger, R; Finke, D; Blom-Hansen, J</t>
  </si>
  <si>
    <t>Senninger, Roman; Finke, Daniel; Blom-Hansen, Jens</t>
  </si>
  <si>
    <t>Coordination inside government administrations: Lessons from the EU Commission</t>
  </si>
  <si>
    <t>GOVERNANCE-AN INTERNATIONAL JOURNAL OF POLICY ADMINISTRATION AND INSTITUTIONS</t>
  </si>
  <si>
    <t>INTERNATIONAL-RELATIONS</t>
  </si>
  <si>
    <t>How can interdepartmental coordination in large political-administrative systems be organized? This question has vexed scholars and practitioners for more than 100 years. Two perspectives-one that features hierarchical direction and one hallmarked by horizontal negotiation-dominate the scholarly debate. However, we know surprisingly little about how interdepartmental coordination is handled in practice. This article presents an empirical study in an entire political-administrative system, the EU Commission, and examines whether interdepartmental coordination is hierarchical or negotiated. Our study is based on almost 6,000 cases and original measures of departmental policy expertise derived from quantitative text analysis. Our results indicate that interdepartmental coordination is primarily driven by concerns of administrative turfs and thus lend support to the negotiated coordination perspective.</t>
  </si>
  <si>
    <t>[Senninger, Roman; Finke, Daniel; Blom-Hansen, Jens] Aarhus Univ, Aarhus, Denmark</t>
  </si>
  <si>
    <t>Senninger, R (corresponding author), Aarhus Univ, Aarhus, Denmark.</t>
  </si>
  <si>
    <t>Finke, Daniel/0000-0002-9028-8188; Senninger, Roman/0000-0003-2254-145X</t>
  </si>
  <si>
    <t>Danish Government Independent Research Fund [6109-000183]</t>
  </si>
  <si>
    <t>Danish Government Independent Research Fund</t>
  </si>
  <si>
    <t>Danish Government Independent Research Fund, Grant/Award Number: 6109-000183</t>
  </si>
  <si>
    <t>0952-1895</t>
  </si>
  <si>
    <t>1468-0491</t>
  </si>
  <si>
    <t>GOVERNANCE</t>
  </si>
  <si>
    <t>Governance-Int. J. Policy Adm. I.</t>
  </si>
  <si>
    <t>10.1111/gove.12525</t>
  </si>
  <si>
    <t>AUG 2020</t>
  </si>
  <si>
    <t>SX3PG</t>
  </si>
  <si>
    <t>WOS:000556811200001</t>
  </si>
  <si>
    <t>Baturo, A; Mikhaylov, S</t>
  </si>
  <si>
    <t>Baturo, Alexander; Mikhaylov, Slava</t>
  </si>
  <si>
    <t>Reading the Tea Leaves: Medvedev's Presidency through Political Rhetoric of Federal and Sub-National Actors</t>
  </si>
  <si>
    <t>EUROPE-ASIA STUDIES</t>
  </si>
  <si>
    <t>LEADERSHIP; POSITIONS; DEMOCRACY; PITFALLS; TEXTS; ELITE</t>
  </si>
  <si>
    <t>In the absence of public information on the inner workings of the Russian political regime, especially during Medvedev's presidency, outside observers often have to rely on politicians' unguarded comments or subjective analysis. Instead, we turn to quantitative text analysis of political rhetoric. Treating governors as a quasi-expert panel, we argue that policy positions revealed in regional legislative addresses explain how elites perceived the distribution of power between Putin and Medvedev. We find that governors moved from a neutral position in 2009 to a clearly pro-Putin position in 2011, and that policy initiatives advocated by Medvedev all but evaporated from the rhetoric of governors in 2012.</t>
  </si>
  <si>
    <t>[Baturo, Alexander] Dublin City Univ, Sch Law &amp; Govt, Dublin 9, Ireland; [Mikhaylov, Slava] UCL, Dept Polit Sci, London WC1H 9QU, England</t>
  </si>
  <si>
    <t>Dublin City University; University of London; University College London</t>
  </si>
  <si>
    <t>Baturo, A (corresponding author), Dublin City Univ, Sch Law &amp; Govt, Dublin 9, Ireland.</t>
  </si>
  <si>
    <t>alex.baturo@dcu.ie; s.mikhaylov@ucl.ac.uk</t>
  </si>
  <si>
    <t>Baturo, Alexander/0000-0002-1108-5287; Jankin, Slava/0000-0001-6915-177X</t>
  </si>
  <si>
    <t>0966-8136</t>
  </si>
  <si>
    <t>1465-3427</t>
  </si>
  <si>
    <t>EUROPE-ASIA STUD</t>
  </si>
  <si>
    <t>Eur.-Asia Stud.</t>
  </si>
  <si>
    <t>10.1080/09668136.2014.926716</t>
  </si>
  <si>
    <t>Area Studies; Economics; Political Science</t>
  </si>
  <si>
    <t>AM9GK</t>
  </si>
  <si>
    <t>WOS:000340188700006</t>
  </si>
  <si>
    <t>Chen, HL; Huang, X; Li, ZY</t>
  </si>
  <si>
    <t>Chen, Honglin; Huang, Xia; Li, Zhiyong</t>
  </si>
  <si>
    <t>A content analysis of Chinese news coverage on COVID-19 and tourism</t>
  </si>
  <si>
    <t>Tourism crisis; COVID-19; news coverage; content analysis; Gephi</t>
  </si>
  <si>
    <t>News coverage plays a significant role in the tourism industry. 2019 Coronavirus Disease (COVID-19) has severely affected the tourism-related businesses and has been featured in Chinese news coverage. This research studied 499 newspaper articles through automated content analysis. Nine key themes were identified, including COVID-19's impact on tourism, people's sentiment, control of tourism activities and cultural venues, the role of the hospitality industry, national command and local response, tourism disputes and solutions, corporate self-improvement strategies, government assistance, and post-crisis tourism product. This research provides insights into future investigations of the tourism crisis related to an epidemic.</t>
  </si>
  <si>
    <t>[Chen, Honglin; Huang, Xia; Li, Zhiyong] Sichuan Univ, Sch Tourism, Chengdu, Peoples R China</t>
  </si>
  <si>
    <t>Sichuan University</t>
  </si>
  <si>
    <t>Li, ZY (corresponding author), Sichuan Univ, Sch Tourism, Chengdu, Peoples R China.</t>
  </si>
  <si>
    <t>sculzy@scu.edu.cn</t>
  </si>
  <si>
    <t>Li, Zhiyong/C-2804-2018</t>
  </si>
  <si>
    <t>Li, Zhiyong/0000-0001-7167-9071</t>
  </si>
  <si>
    <t>Sichuan Province Science and Technology Plan Project [2019YFS0078]; Sichuan University [2019hhs-13]</t>
  </si>
  <si>
    <t>Sichuan Province Science and Technology Plan Project; Sichuan University(Sichuan University)</t>
  </si>
  <si>
    <t>This work was supported by Sichuan Province Science and Technology Plan Project (to LI Zhiyong) [grant number 2019YFS0078]; Sichuan University(to LI Zhiyong) [grant number 2019hhs-13].</t>
  </si>
  <si>
    <t>JAN 17</t>
  </si>
  <si>
    <t>10.1080/13683500.2020.1763269</t>
  </si>
  <si>
    <t>YI3AT</t>
  </si>
  <si>
    <t>WOS:000536979500001</t>
  </si>
  <si>
    <t>Drutman, L; Hopkins, DJ</t>
  </si>
  <si>
    <t>Drutman, Lee; Hopkins, Daniel J.</t>
  </si>
  <si>
    <t>The Inside View: Using the Enron E-mail Archive to Understand Corporate Political Attention</t>
  </si>
  <si>
    <t>LEGISLATIVE STUDIES QUARTERLY</t>
  </si>
  <si>
    <t>CAMPAIGN CONTRIBUTIONS; MONEY; LOBBY; BIAS</t>
  </si>
  <si>
    <t>For decades, scholars have debated the role of corporations in American politics. To date, they have relied on either interviews or publicly disclosed spending and lobbying reports. This article presents new methods and data that enable us to consider the internal processes of corporate political attention instead. Aided by automated content analysis, this article uses more than 250,000 internal e-mails from Enron to observe its political attention between 1999 and 2002. These e-mails depict Enron's employees as focused on monitoring and formally participating in political processes, including bureaucratic processes. Only a small fraction of their political attention focused on elections.</t>
  </si>
  <si>
    <t>[Drutman, Lee] Sunlight Fdn, Washington, DC USA; [Drutman, Lee] Univ Calif, Washington Ctr, Washington, DC USA; [Hopkins, Daniel J.] Georgetown Univ, Washington, DC 20057 USA</t>
  </si>
  <si>
    <t>Georgetown University</t>
  </si>
  <si>
    <t>Drutman, L (corresponding author), Sunlight Fdn, Washington, DC USA.</t>
  </si>
  <si>
    <t>ldrutman@gmail.com; dh335@georgetown.edu</t>
  </si>
  <si>
    <t>0362-9805</t>
  </si>
  <si>
    <t>1939-9162</t>
  </si>
  <si>
    <t>LEGIS STUD QUART</t>
  </si>
  <si>
    <t>Legis. Stud. Q.</t>
  </si>
  <si>
    <t>10.1111/lsq.12001</t>
  </si>
  <si>
    <t>073PI</t>
  </si>
  <si>
    <t>WOS:000313754600002</t>
  </si>
  <si>
    <t>Mochtak, M</t>
  </si>
  <si>
    <t>Mochtak, Michal</t>
  </si>
  <si>
    <t>Understanding Electoral Violence through Complex Textual Data: OSCE Monitoring Missions in Different Contexts</t>
  </si>
  <si>
    <t>STUDIES IN CONFLICT &amp; TERRORISM</t>
  </si>
  <si>
    <t>ELECTIONS; CONFLICT</t>
  </si>
  <si>
    <t>The article analyzes more than twenty years of evidence on electoral violence as reported by Organization for Security and Cooperation in Europe (OSCE) monitoring mission reports. It identifies prevailing trends of electoral violence in the OSCE participating states in order to better understand how the phenomenon is understood and framed by the leading international monitoring organizations in the region. The analysis utilizes a unique approach based on automated content analysis employing counting algorithms and latent semantic indexing. The results of the analysis show how electoral violence differs throughout the region while highlighting the qualitative variations in regional patterns of the reported incidents of election-related violence.</t>
  </si>
  <si>
    <t>[Mochtak, Michal] Univ Luxembourg, Inst Polit Sci, Esch Sur Alzette, Luxembourg</t>
  </si>
  <si>
    <t>University of Luxembourg</t>
  </si>
  <si>
    <t>Mochtak, M (corresponding author), Univ Luxembourg, Inst Polit Sci, Maison Sci Humaines, 11 Porte Sci, L-4366 Esch Sur Alzette, Luxembourg.</t>
  </si>
  <si>
    <t>michal.mochtak@uni.lu</t>
  </si>
  <si>
    <t>Mochtak, Michal/0000-0001-5598-5642</t>
  </si>
  <si>
    <t>1057-610X</t>
  </si>
  <si>
    <t>1521-0731</t>
  </si>
  <si>
    <t>STUD CONFL TERROR</t>
  </si>
  <si>
    <t>Stud. Confl. Terror.</t>
  </si>
  <si>
    <t>AUG 3</t>
  </si>
  <si>
    <t>10.1080/1057610X.2019.1575036</t>
  </si>
  <si>
    <t>MAR 2019</t>
  </si>
  <si>
    <t>SM6LH</t>
  </si>
  <si>
    <t>WOS:000465818400001</t>
  </si>
  <si>
    <t>Organizational crisis-denial strategy: The effect of denial on public framing</t>
  </si>
  <si>
    <t>Crisis framing; Crisis-response strategy; Denial; Automated content analysis; Crisis communication; Twitter</t>
  </si>
  <si>
    <t>By applying a framing perspective, this study explores the effect of a crisis-denial strategy on public response. The online public framing of a specific crisis is compared with the crisis-denial frame provided by the organization. An automated semantic-network analysis is used to identify frames embedded in the public and organizational communication. The Max Havelaar crisis revealed that denial strategy is not always unsuccessful and would advance a more complex understanding. Moreover, the framing perspective and the semantic-network approach prove to be useful to analyze crisis-response strategies. (C) 2014 Elsevier Inc. All rights reserved.</t>
  </si>
  <si>
    <t>[van der Meer, Toni G. L. A.] Univ Amsterdam, Amsterdam Sch Commun Res, NL-1012 CX Amsterdam, Netherlands</t>
  </si>
  <si>
    <t>10.1016/j.pubrev.2014.02.005</t>
  </si>
  <si>
    <t>AJ8WU</t>
  </si>
  <si>
    <t>WOS:000337989600018</t>
  </si>
  <si>
    <t>Duval, D; Jacob, S; Montigny, E; Ouimet, M</t>
  </si>
  <si>
    <t>Duval, Dominic; Jacob, Steve; Montigny, Eric; Ouimet, Mathieu</t>
  </si>
  <si>
    <t>Media coverage of reports published by the Quebec Ombudsman: an automated content analysis</t>
  </si>
  <si>
    <t>INTERNATIONAL REVIEW OF ADMINISTRATIVE SCIENCES</t>
  </si>
  <si>
    <t>administrative reports; media coverage; ombudsman; Public Protector</t>
  </si>
  <si>
    <t>SENTIMENT; PARTY</t>
  </si>
  <si>
    <t>This article examines media coverage of reports published by the Quebec Ombudsman, a body that upholds the rights of citizens and that goes by the name of 'Public Protector'. A large part of the Quebec Ombudsman's mandate is to conduct investigations and issue recommendations following infringements by Quebec's administrative apparatus that affect one or several citizens. These infringements are reported to the ombudsman by citizens, which means that it must be visible to the public. Such visibility relies, to a great extent, on the media, hence the importance of analysing the Quebec Ombudsman's media coverage, a subject that has received little attention in the academic literature. Our article reveals that media coverage of the ombudsman's reports is inconsistent. We also observe that, on average, newspaper articles adopt a more negative tone than the reports themselves. However, contrary to our expectations, reports with a more negative tone are not necessarily given more media coverage. The best predictor of the presence or absence of media coverage and tone congruence between reports and articles appears to be the presence of a press release issued by the ombudsman. Points for practitioners This article examines media coverage of reports published by the Quebec Ombudsman. Based on an automated content analysis, it appears that the media coverage of the reports is not explained by the tone used in the documents published by the Quebec Ombudsman. Reports that are more negative are not necessarily given greater coverage by journalists than positive reports. Direct communication efforts with the media (e.g. a press conference and the publication of a press release) are more likely to lead to media coverage.</t>
  </si>
  <si>
    <t>[Duval, Dominic] Univ Quebec, Dept Social &amp; Publ Commun, Montreal, PQ, Canada; [Jacob, Steve] Univ Laval, Ctr Publ Policy Anal CAPP, Quebec City, PQ, Canada; [Montigny, Eric; Ouimet, Mathieu] Univ Laval, Dept Polit Sci, Quebec City, PQ, Canada</t>
  </si>
  <si>
    <t>University of Quebec; University of Quebec Montreal; Laval University; Laval University</t>
  </si>
  <si>
    <t>Duval, D (corresponding author), Univ Quebec Montreal, Dept Commun Sociale &amp; Publ, 405 Rue St Catherine Est, Montreal, PQ H2L 2C4, Canada.</t>
  </si>
  <si>
    <t>duval.dominic.2@uqam.ca</t>
  </si>
  <si>
    <t>Quebec Ombudsman; Fonds de recherche du Quebec - Societe et Culture (FRQ-SC); Research Chair on Democracy and Parliamentary Institutions at Universite Laval</t>
  </si>
  <si>
    <t>We would like to thank the Quebec Ombudsman and specifically Mr Michel Clavet, the Fonds de recherche du Quebec - Societe et Culture (FRQ-SC) and the Research Chair on Democracy and Parliamentary Institutions at Universite Laval for funding this research.</t>
  </si>
  <si>
    <t>0020-8523</t>
  </si>
  <si>
    <t>1461-7226</t>
  </si>
  <si>
    <t>INT REV ADM SCI</t>
  </si>
  <si>
    <t>Int. Rev. Adm. Sci.</t>
  </si>
  <si>
    <t>10.1177/0020852319870241</t>
  </si>
  <si>
    <t>SK9LR</t>
  </si>
  <si>
    <t>WOS:000497096900001</t>
  </si>
  <si>
    <t>Al-Smadi, M; Al-Ayyoub, M; Al-Sarhan, H; Jararweh, Y</t>
  </si>
  <si>
    <t>Raicu, I; Rana, O; Buyya, R</t>
  </si>
  <si>
    <t>AL-Smadi, Mohammed; Al-Ayyoub, Mahmoud; Al-Sarhan, Huda; Jararweh, Yaser</t>
  </si>
  <si>
    <t>Using Aspect-Based Sentiment Analysis to Evaluate Arabic News Affect on Readers</t>
  </si>
  <si>
    <t>2015 IEEE/ACM 8TH INTERNATIONAL CONFERENCE ON UTILITY AND CLOUD COMPUTING (UCC)</t>
  </si>
  <si>
    <t>International Conference on Utility and Cloud Computing</t>
  </si>
  <si>
    <t>IEEE/ACM 8th International Conference on Utility and Cloud Computing (UCC)</t>
  </si>
  <si>
    <t>DEC 07-10, 2015</t>
  </si>
  <si>
    <t>Limassol, CYPRUS</t>
  </si>
  <si>
    <t>Univ Cyprus,ACM,IEEE,IEEE Comp Soc,TCSC IEEE,Sighpc,Pass Success,Cyprus your Heart,Austrian,Fuseami</t>
  </si>
  <si>
    <t>The rapid increase in digital information has raised great challenges especially when it comes to automated content analysis. The adoption of social media as a communication channel for political views demands automated methods for posts' tone analysis, sentiment analysis, and emotional affect. This paper proposes a novel approach of using aspect-based sentiment analysis in evaluating Arabic news posts affect on readers. The approach adopts several phases of text processing, features selection, and text classification. Two widely used classifiers, namely Conditional Random Fields (CRF) and J48, are tested. Experimentation results show that J48 outperforms CRF in aspect terms extraction whereas CRF is slightly better in aspect terms polarity identification.</t>
  </si>
  <si>
    <t>[AL-Smadi, Mohammed; Al-Ayyoub, Mahmoud; Al-Sarhan, Huda; Jararweh, Yaser] Jordan Univ Sci &amp; Technol, Irbid, Jordan</t>
  </si>
  <si>
    <t>Jordan University of Science &amp; Technology</t>
  </si>
  <si>
    <t>Al-Smadi, M (corresponding author), Jordan Univ Sci &amp; Technol, Irbid, Jordan.</t>
  </si>
  <si>
    <t>smadi.mohammed@gmail.com; malayyoub@gmail.com; huda.nimer@gmail.com; yaser.amd@gmail.com</t>
  </si>
  <si>
    <t>Jararweh, Yaser/ABE-6543-2021</t>
  </si>
  <si>
    <t>Jararweh, Yaser/0000-0002-4403-3846; AL-Smadi, Mohammad/0000-0002-7808-6962</t>
  </si>
  <si>
    <t>2373-6860</t>
  </si>
  <si>
    <t>978-0-7695-5697-0</t>
  </si>
  <si>
    <t>INT CONF UTIL CLOUD</t>
  </si>
  <si>
    <t>10.1109/UCC.2015.78</t>
  </si>
  <si>
    <t>Computer Science, Information Systems; Computer Science, Software Engineering</t>
  </si>
  <si>
    <t>BF1YZ</t>
  </si>
  <si>
    <t>WOS:000380446800065</t>
  </si>
  <si>
    <t>Corciolani, M; Gistri, G; Pace, S</t>
  </si>
  <si>
    <t>Corciolani, Matteo; Gistri, Giacomo; Pace, Stefano</t>
  </si>
  <si>
    <t>Legitimacy struggles in palm oil controversies: An institutional perspective</t>
  </si>
  <si>
    <t>Palm oil; Legitimacy struggles; Pragmatic legitimacy; Moral legitimacy; Linguistic strategies; Automated content analysis</t>
  </si>
  <si>
    <t>SUSTAINABLE CONSUMPTION; CONSTRUAL-LEVEL; TEXT ANALYSIS; GOVERNANCE; CSR; STRATEGIES; FRAMEWORK; MARKETS</t>
  </si>
  <si>
    <t>Palm oil is an ingredient largely used in the food, energy and cosmetics industries. However, it is subject to controversies related to its being considered unhealthy and responsible for deforestation, greenhouse gas emissions and human rights abuses. Nevertheless, palm oil is a rare topic of discussion in the literature on legitimacy struggles. Based on an automated content analysis of 3713 global newspaper articles, downloaded from LexisNexis covering the period 1979-2017, we longitudinally examined the evolution of palm oil discussions over time. With this method, we were able to focus on both the content and the style of communication. We thus obtained critical insights about how often different themes are mentioned in discussions on the palm oil market (i.e. the economic, environmental, health and social impacts of palm oil) and how three specific linguistic strategies are implemented by the media (i.e. a focus on promotion vs. prevention motivations, the adoption of analytic vs. narrative writing styles and references to specific vs. general stakeholders). In this way, we could better understand how different types of legitimacy have been emerging over time and in which geographic areas they have been most significant. In general, we show that pragmatic legitimacy is losing importance in favour of moral legitimacy and, more specifically, that pragmatic legitimacy remains the key for palm oil-producing countries, while moral legitimacy is more significant for palm oil-consuming countries. This study serves as a starting point for research on palm oil legitimacy struggles. Additionally, it offers useful insights for practitioners, policy makers and researchers in evaluating the status of the palm oil debate. (C) 2018 Elsevier Ltd. All rights reserved.</t>
  </si>
  <si>
    <t>[Corciolani, Matteo] Univ Pisa, Dept Econ &amp; Management, Via Ridolfi 10, I-56124 Pisa, Italy; [Gistri, Giacomo] Univ Macerata, Dept Polit Sci Commun &amp; Int Relat, Via Don Minzoni 22a, I-62100 Macerata, Italy; [Pace, Stefano] Kedge Business Sch, Rue Antoine Bourdelle,Domaine Luminy BP 921, F-13288 Marseille 9, France</t>
  </si>
  <si>
    <t>University of Pisa; University of Macerata; Kedge Business School</t>
  </si>
  <si>
    <t>Corciolani, M (corresponding author), Univ Pisa, Dept Econ &amp; Management, Via Ridolfi 10, I-56124 Pisa, Italy.</t>
  </si>
  <si>
    <t>matteo.corciolani@unipi.it</t>
  </si>
  <si>
    <t>Gistri, Giacomo/G-1733-2018</t>
  </si>
  <si>
    <t>Gistri, Giacomo/0000-0003-2988-9758</t>
  </si>
  <si>
    <t>MAR 1</t>
  </si>
  <si>
    <t>10.1016/j.jclepro.2018.12.103</t>
  </si>
  <si>
    <t>HK4SD</t>
  </si>
  <si>
    <t>WOS:000457952500094</t>
  </si>
  <si>
    <t>Nunez-Mir, GC; Iannone, BV; Curtis, K; Fei, SL</t>
  </si>
  <si>
    <t>Nunez-Mir, Gabriela C.; Iannone, Basil V., III; Curtis, Keeli; Fei, Songlin</t>
  </si>
  <si>
    <t>Evaluating the evolution of forest restoration research in a changing world: a big literature review</t>
  </si>
  <si>
    <t>NEW FORESTS</t>
  </si>
  <si>
    <t>Automated content analysis (ACA); Big literature; Biodiversity; Cyclic development; Degraded; Literature review</t>
  </si>
  <si>
    <t>ECOSYSTEM SERVICES; ECOLOGICAL RESTORATION; CLIMATE-CHANGE; TEXT ANALYSIS; BIODIVERSITY; PERSPECTIVES; ENHANCEMENT; FRAMEWORK; SOFTWARE; AMAZONIA</t>
  </si>
  <si>
    <t>In a rapidly changing world, characterized by novel ecological scenarios and fluctuating socioeconomic and ecological demands, ecological restoration practices must constantly adapt to emerging issues and circumstances. Restoration ecology, the scientific discipline that informs ecological restoration, must therefore evolve and expand its focus to address this need. To describe and evaluate the evolution of research pertaining to the ecological restoration of forests within the field of forestry, we performed a review of all 29,766 abstracts published over the last 35 years (1980-2014) in 15 leading forestry journals using automated content analysis, a machine learning-based tool for automated review of large volumes of literature (big literature). We found not only a 50-fold increase in the prominence of restoration ecology in forestry literature from 2000 to 2013, but also an evolution in the focus of forest restoration research. This evolution is likely in response to emerging topics and issues affecting forest restoration, such as exotic species, altered disturbance regimes, degraded tropical forests, and ecosystem services. Our results also revealed a pattern of cyclic development, in which research in the 1990s was focused on constructing theoretical frameworks, in the 2000s research appeared to be concentrated on restoration practices and programs, while in the 2010s research revisited established theoretical frameworks, possibly indicating a conceptual expansion. Our study highlighted gaps in research on important topics and emerging challenges, such as global climate change, genetic considerations, landscape-level factors, and restoring degraded systems, thus pointing the way for new and necessary research directions.</t>
  </si>
  <si>
    <t>[Nunez-Mir, Gabriela C.; Iannone, Basil V., III; Curtis, Keeli; Fei, Songlin] Purdue Univ, Dept Forestry &amp; Nat Resources, W Lafayette, IN 47907 USA</t>
  </si>
  <si>
    <t>Purdue University System; Purdue University; Purdue University West Lafayette Campus</t>
  </si>
  <si>
    <t>Nunez-Mir, GC (corresponding author), Purdue Univ, Dept Forestry &amp; Nat Resources, W Lafayette, IN 47907 USA.</t>
  </si>
  <si>
    <t>gnunezmi@purdue.edu</t>
  </si>
  <si>
    <t>Lobo, Diele/I-9106-2012; Nunez-Mir, Gabriela/GXE-9963-2022; Nunez-Mir, Gabriela/ABD-5360-2020</t>
  </si>
  <si>
    <t>Nunez-Mir, Gabriela/0000-0003-2426-3393; Fei, Songlin/0000-0003-2772-0166</t>
  </si>
  <si>
    <t>NSF Macrosystems Biology Program [1241932]</t>
  </si>
  <si>
    <t>NSF Macrosystems Biology Program(National Science Foundation (NSF))</t>
  </si>
  <si>
    <t>This research was supported by the NSF Macrosystems Biology Program Grant No. 1241932. Special thanks to two anonymous reviewers and Dr. Douglass Jacobs, whose comments greatly helped improved this paper.</t>
  </si>
  <si>
    <t>0169-4286</t>
  </si>
  <si>
    <t>1573-5095</t>
  </si>
  <si>
    <t>NEW FOREST</t>
  </si>
  <si>
    <t>New For.</t>
  </si>
  <si>
    <t>5-6</t>
  </si>
  <si>
    <t>10.1007/s11056-015-9503-7</t>
  </si>
  <si>
    <t>CU1BL</t>
  </si>
  <si>
    <t>WOS:000363253900004</t>
  </si>
  <si>
    <t>Raber, F; Krueger, A</t>
  </si>
  <si>
    <t>Raber, Frederic; Krueger, Antonio</t>
  </si>
  <si>
    <t>Deriving privacy settings for location sharing: Are context factors always the best choice?</t>
  </si>
  <si>
    <t>2018 IEEE SYMPOSIUM ON PRIVACY-AWARE COMPUTING (PAC)</t>
  </si>
  <si>
    <t>2nd IEEE Symposium on Privacy-Aware Computing (PAC)</t>
  </si>
  <si>
    <t>SEP 26-28, 2018</t>
  </si>
  <si>
    <t>IEEE,IEEE Comp Soc,IEEE Comp Soc, Tech Comm Secur &amp; Privacy</t>
  </si>
  <si>
    <t>privacy; machine learning; location sharing; user modeling; adaptation</t>
  </si>
  <si>
    <t>INFORMATION PRIVACY</t>
  </si>
  <si>
    <t>Research has observed context factors like occasion and time as influential factors for predicting whether or not to share a location with online friends. In other domains like social networks, personality was also found to play an important role. Furthermore, users are seeking a fine-grained disclosement policy that also allows them to display an obfuscated location, like the center of the current city, to some of their friends. In this paper, we observe which context factors and personality measures can be used to predict the correct privacy level out of seven privacy levels, which include obfuscation levels like center of the street or current city. Our results show that a prediction is possible with a precision 20% better than a constant value. We will give design indications to determine which context factors should be recorded, and how much the precision can be increased if personality and privacy measures are recorded using either a questionnaire or automated text analysis.</t>
  </si>
  <si>
    <t>[Raber, Frederic; Krueger, Antonio] DFKI, Saarland Informat Campus, Saarbrucken, Germany</t>
  </si>
  <si>
    <t>German Research Center for Artificial Intelligence (DFKI)</t>
  </si>
  <si>
    <t>Raber, F (corresponding author), DFKI, Saarland Informat Campus, Saarbrucken, Germany.</t>
  </si>
  <si>
    <t>frederic.raber@dfki.de; krueger@dfki.de</t>
  </si>
  <si>
    <t>978-1-5386-8442-9</t>
  </si>
  <si>
    <t>10.1109/PAC.2018.00015</t>
  </si>
  <si>
    <t>BM2RM</t>
  </si>
  <si>
    <t>WOS:000461375700009</t>
  </si>
  <si>
    <t>Kananovich, V</t>
  </si>
  <si>
    <t>Kananovich, Volha</t>
  </si>
  <si>
    <t>Framing the Taxation-Democratization Link: An Automated Content Analysis of Cross-National Newspaper Data</t>
  </si>
  <si>
    <t>taxation; democratization; news; media framing; computer-assisted text analysis; supervised machine learning</t>
  </si>
  <si>
    <t>DEMOCRACY; FRAMES; TEXT; NEWS</t>
  </si>
  <si>
    <t>Taxpaying constitutes a major opportunity for citizens to relate to their governments. Although it is true that paying taxes is a responsibility, it also entitles citizens to claim control over government spending, which may facilitate a greater democratization of a country's political regime. Consistent with this reasoning, a growing body of scholarship has documented a positive relationship between the size of tax revenues extracted by the state and the adherence of the country's regime to democratic values. What has been left underexplored is the role in this relationship of the media, a commonly available and relied-upon source of information about taxpaying for the public. This study offers a first contribution in this direction, by exploring the relationship between the nature of the political regime and the rhetorical construction of the concept of a taxpayer in the national press. Based on an automated content analysis of articles (N=24,969) published by ninety-two newspapers and news agencies in fifty-one countries using a set of pretrained and validated machine-learning algorithms, the study demonstrates that the less democratic a state is, the more likely it is for the national press to frame a taxpayer as a subordinate in a hierarchical relationship with the state, by discussing taxpaying in tax collection, rather than public spending, terms. The study furthers a more nuanced understanding of the place of the media in the taxation-democratization link and demonstrates the applicability of the supervised machine-learning approach to classifying frames in large cross-national samples of newspaper data.</t>
  </si>
  <si>
    <t>[Kananovich, Volha] Univ Iowa, Sch Journalism &amp; Mass Commun, Iowa City, IA USA</t>
  </si>
  <si>
    <t>Kananovich, V (corresponding author), Univ Iowa, E331 Adler Journalism Bldg, Iowa City, IA 52242 USA.</t>
  </si>
  <si>
    <t>volha-kananovich@uiowa.edu</t>
  </si>
  <si>
    <t>Kananovich, Volha/0000-0001-9208-7489</t>
  </si>
  <si>
    <t>10.1177/1940161218771893</t>
  </si>
  <si>
    <t>GF9DV</t>
  </si>
  <si>
    <t>WOS:000432277200006</t>
  </si>
  <si>
    <t>Hendrickx, J; Van Remoortere, A</t>
  </si>
  <si>
    <t>Hendrickx, Jonathan; Van Remoortere, Annelien</t>
  </si>
  <si>
    <t>Assessing News Content Diversity in Flanders: An Empirical Study at DPG Media</t>
  </si>
  <si>
    <t>JOURNALISM STUDIES</t>
  </si>
  <si>
    <t>News diversity; content diversity; media diversity; automated text comparison; media concentration; media consolidation</t>
  </si>
  <si>
    <t>NEWSPAPERS; HOMOGENIZATION; PERCEPTIONS; HOMOGENEITY; CRISIS; ONLINE; PRINT</t>
  </si>
  <si>
    <t>In this paper, we outline a content analysis of 541,083 national and international news articles, all published between 2018 and 2020 in the print and online versions of the two newspapers of the biggest private media company in Flanders (Belgium). Through automated text analysis, we assess articles for their internal content overlap, which has been linked by scholarship to possible negative effects of increased media market consolidation. Results reveal that while the overall content overlap between the two newspapers has remained stable, one of the two titles has copy-pasted articles from the other one increasingly, while also recycling content more frequently across its own newspaper and website. These findings are positioned in Flanders' small and highly concentrated media market and subsequently contextualised in a broader perspective of news diversity within media markets and societies.</t>
  </si>
  <si>
    <t>[Hendrickx, Jonathan] Vrije Univ Brussel, Imec SMIT, Ixelles, Belgium; [Van Remoortere, Annelien] Univ Antwerp, Middenveld Politiek M2P, Media, Antwerp, Belgium</t>
  </si>
  <si>
    <t>Vrije Universiteit Brussel; University of Antwerp</t>
  </si>
  <si>
    <t>Hendrickx, J (corresponding author), Vrije Univ Brussel, Imec SMIT, Ixelles, Belgium.</t>
  </si>
  <si>
    <t>Jonathan.hendrickx@vub.be</t>
  </si>
  <si>
    <t>Hendrickx, Jonathan/0000-0003-2802-2802</t>
  </si>
  <si>
    <t>Research Foundation Flanders [S008817N]</t>
  </si>
  <si>
    <t>Research Foundation Flanders(FWO)</t>
  </si>
  <si>
    <t>This work was supported by Research Foundation Flanders: [Grant Number S008817N].</t>
  </si>
  <si>
    <t>1461-670X</t>
  </si>
  <si>
    <t>1469-9699</t>
  </si>
  <si>
    <t>JOURNALISM STUD</t>
  </si>
  <si>
    <t>Journal. Stud.</t>
  </si>
  <si>
    <t>DEC 10</t>
  </si>
  <si>
    <t>10.1080/1461670X.2021.1987299</t>
  </si>
  <si>
    <t>OCT 2021</t>
  </si>
  <si>
    <t>XQ8BF</t>
  </si>
  <si>
    <t>WOS:000705195400001</t>
  </si>
  <si>
    <t>What Words Are Worth: National Science Foundation Grant Abstracts Indicate Award Funding</t>
  </si>
  <si>
    <t>grant funding; big text data; National Science Foundation; open data; automated text analysis</t>
  </si>
  <si>
    <t>LINGUISTIC ANALYSIS; READABILITY; DECEPTION</t>
  </si>
  <si>
    <t>Can word patterns from grant abstracts predict National Science Foundation (NSF) funding? In an analysis of over 7.4 million words covering 19,569 proposals, this article presents evidence that the writing style of NSF grant abstracts corresponds to the amount of money received for the award. The data describe a clear relationship between word patterns and funding magnitude: Grant abstracts that are longer than the average abstract, contain fewer common words, and are written with more verbal certainty receive more money from the NSF (approximately $372 per one-word increase). While such language patterns correspond to award amount, they largely contradict the NSF's call to communicate science in a plain manner, suggesting an inconsistency between the injunctive norms of the NSF and the descriptive norms of science writing. Broadly, the results support a tradition of research that uses big text data to evaluate social and psychological dynamics.</t>
  </si>
  <si>
    <t>[Markowitz, David M.] Univ Oregon, Sch Journalism &amp; Commun, Allen Hall, Eugene, OR 97401 USA</t>
  </si>
  <si>
    <t>Markowitz, DM (corresponding author), Univ Oregon, Sch Journalism &amp; Commun, Allen Hall, Eugene, OR 97401 USA.</t>
  </si>
  <si>
    <t>10.1177/0261927X18824859</t>
  </si>
  <si>
    <t>HW1CV</t>
  </si>
  <si>
    <t>WOS:000466421200001</t>
  </si>
  <si>
    <t>Sachdeva, S; McCaffrey, S</t>
  </si>
  <si>
    <t>ASSOC COMP MACHINERY</t>
  </si>
  <si>
    <t>Sachdeva, Sonya; McCaffrey, Sarah</t>
  </si>
  <si>
    <t>Using Social Media to Predict Air Pollution during California Wildfires</t>
  </si>
  <si>
    <t>SMSOCIETY'18: PROCEEDINGS OF THE 9TH INTERNATIONAL CONFERENCE ON SOCIAL MEDIA AND SOCIETY</t>
  </si>
  <si>
    <t>9th International Conference on Social Media and Society (SMSociety)</t>
  </si>
  <si>
    <t>JUL 18-20, 2018</t>
  </si>
  <si>
    <t>Copenhagen Business Sch, Ctr Business Data Analyt, Copenhagen, DENMARK</t>
  </si>
  <si>
    <t>Ryerson Univ,Ted Rogers Sch Management,SocialMediaLab.ca</t>
  </si>
  <si>
    <t>Copenhagen Business Sch, Ctr Business Data Analyt</t>
  </si>
  <si>
    <t>social media; wildfire; smoke; air pollution; automated text analysis</t>
  </si>
  <si>
    <t>CLIMATE-CHANGE</t>
  </si>
  <si>
    <t>Wildfires have significant effects on human populations worldwide. Smoke pollution, in particular, from either prescribed burns or uncontrolled wildfires, can have profound health impacts, such as reducing birth weight in children and aggravating respiratory and cardiovascular conditions. Scarcity in the measurements of particulate matter responsible for these public health issues makes addressing the problem of smoke dispersion challenging, especially when fires occur in remote regions. Previous research has shown that in the case of the 2014 King fire in California, crowdsourced data can be useful in estimating particulate pollution from wildfire smoke. In this paper, we show that the previous model continues to provide good estimates when extended statewide to cover several wildfires over an entire season in California. Moreover, adding the semantic information contained in the social media data to the predictive model significantly increases model accuracy, indicating a confluence of social and spatio-temporal data.</t>
  </si>
  <si>
    <t>[Sachdeva, Sonya] US Forest Serv, Northern Res Stn, Evanston, IL 60201 USA; [McCaffrey, Sarah] US Forest Serv, Rocky Mt Res Stn, Ft Collins, CO USA</t>
  </si>
  <si>
    <t>United States Department of Agriculture (USDA); United States Forest Service; United States Department of Agriculture (USDA); United States Forest Service</t>
  </si>
  <si>
    <t>Sachdeva, S (corresponding author), US Forest Serv, Northern Res Stn, Evanston, IL 60201 USA.</t>
  </si>
  <si>
    <t>sonyasachdeva@fs.fed.us; smccaffrey@fs.fed.us</t>
  </si>
  <si>
    <t>978-1-4503-6334-1</t>
  </si>
  <si>
    <t>10.1145/3217804.3217946</t>
  </si>
  <si>
    <t>Computer Science, Information Systems; Communication; Psychology, Social</t>
  </si>
  <si>
    <t>Computer Science; Communication; Psychology</t>
  </si>
  <si>
    <t>BS9FW</t>
  </si>
  <si>
    <t>WOS:000780411100053</t>
  </si>
  <si>
    <t>Vignoli, V</t>
  </si>
  <si>
    <t>Vignoli, Valerio</t>
  </si>
  <si>
    <t>Where are the doves? Explaining party support for military operations abroad in Italy</t>
  </si>
  <si>
    <t>Military operations; political parties; Italy; parliamentary debates; Wordfish</t>
  </si>
  <si>
    <t>INTERNATIONAL CONFLICT BEHAVIOR; FOREIGN-POLICY; PUBLIC-OPINION; CONSTRAINTS; POSITIONS; SYSTEM; INITIATION; DEMOCRACY; POLITICS; IMPACT</t>
  </si>
  <si>
    <t>Since the end of the Cold War, Italy has radically transformed its foreign and security policy, participating in several Military Operations Abroad (MOA) across the world. A few qualitative studies have already analysed how Italian parties debated and voted on this issue, underlining a bipartisan consensus between centre-left and centre-right parties, based on a common humanitarian narrative. This article provides a substantial methodological contribution to this research agenda, explaining party support in Italy for the six most relevant MOAs during the so-called ?Second Republic? (1994?2013), through the employment of automated text analysis and linear regression models. In line with existing literature on the party politics of military interventions, the findings indicate a curvilinear distribution of support across the left?right axis, the strong impact of government?opposition dynamics and the interaction between international legitimacy of the specific operation and ideological leaning.</t>
  </si>
  <si>
    <t>[Vignoli, Valerio] Univ Milan, Dept Social &amp; Polit Sci, Milan, Italy</t>
  </si>
  <si>
    <t>Vignoli, V (corresponding author), Univ Milan, Dept Social &amp; Polit Sci, Milan, Italy.</t>
  </si>
  <si>
    <t>valerio.vignoli@unimi.it</t>
  </si>
  <si>
    <t>NOV 9</t>
  </si>
  <si>
    <t>10.1080/01402382.2019.1667164</t>
  </si>
  <si>
    <t>MT6QN</t>
  </si>
  <si>
    <t>WOS:000490699100001</t>
  </si>
  <si>
    <t>Markowitz, DM; Shulman, HC</t>
  </si>
  <si>
    <t>Markowitz, David M.; Shulman, Hillary C.</t>
  </si>
  <si>
    <t>The predictive utility of word familiarity for online engagements and funding</t>
  </si>
  <si>
    <t>PROCEEDINGS OF THE NATIONAL ACADEMY OF SCIENCES OF THE UNITED STATES OF AMERICA</t>
  </si>
  <si>
    <t>processing fluency; automated text analysis; common words; jargon; field studies</t>
  </si>
  <si>
    <t>FLUENCY; NEED</t>
  </si>
  <si>
    <t>Metacognitive frameworks such as processing fluency often suggest people respond more favorably to simple and common language versus complex and technical language. It is easier for people to process information that is simple and nontechnical compared to complex information, therefore leading to more engagement with targets. In two studies covering 12 field samples (total n = 1,064,533), we establish and replicate this simpler-is-better phenomenon by demonstrating people engage more with nontechnical language when giving their time and attention (e.g., simple online language tends to receive more social engagements). However, people respond to complex language when giving their money (e.g., complex language within charitable giving campaigns and grant abstracts tend to receive more money). This evidence suggests people engage with the heuristic of complex language differently depending on a time or money target. These results underscore language as a lens into social and psychological processes and computational methods to measure text patterns at scale.</t>
  </si>
  <si>
    <t>[Markowitz, David M.] Univ Oregon, Sch Journalism &amp; Commun, Eugene, OR 97403 USA; [Shulman, Hillary C.] Ohio State Univ, Sch Commun, Columbus, OH 43210 USA</t>
  </si>
  <si>
    <t>University of Oregon; University System of Ohio; Ohio State University</t>
  </si>
  <si>
    <t>Markowitz, DM (corresponding author), Univ Oregon, Sch Journalism &amp; Commun, Eugene, OR 97403 USA.</t>
  </si>
  <si>
    <t>Shulman, Hillary/AAN-8625-2021</t>
  </si>
  <si>
    <t>Shulman, Hillary/0000-0001-7525-8119; Markowitz, David/0000-0002-7159-7014</t>
  </si>
  <si>
    <t>NATL ACAD SCIENCES</t>
  </si>
  <si>
    <t>2101 CONSTITUTION AVE NW, WASHINGTON, DC 20418 USA</t>
  </si>
  <si>
    <t>0027-8424</t>
  </si>
  <si>
    <t>1091-6490</t>
  </si>
  <si>
    <t>P NATL ACAD SCI USA</t>
  </si>
  <si>
    <t>Proc. Natl. Acad. Sci. U. S. A.</t>
  </si>
  <si>
    <t>e2026045118</t>
  </si>
  <si>
    <t>10.1073/pnas.2026045118</t>
  </si>
  <si>
    <t>Multidisciplinary Sciences</t>
  </si>
  <si>
    <t>Science &amp; Technology - Other Topics</t>
  </si>
  <si>
    <t>SD4EA</t>
  </si>
  <si>
    <t>WOS:000651325500007</t>
  </si>
  <si>
    <t>Wignell, P; Tan, S; O'Halloran, KL; Chai, K</t>
  </si>
  <si>
    <t>Wignell, Peter; Tan, Sabine; O'Halloran, Kay L.; Chai, Kevin</t>
  </si>
  <si>
    <t>The Twittering Presidents An analysis of tweets from @BarackObama and @realDonaldTrump</t>
  </si>
  <si>
    <t>JOURNAL OF LANGUAGE AND POLITICS</t>
  </si>
  <si>
    <t>multimodal discourse analysis; social media; US politics; Twitter; systemic functional linguistics</t>
  </si>
  <si>
    <t>TRUMP; CAMPAIGNS; POLITICS; CLINTON; AGE</t>
  </si>
  <si>
    <t>This paper uses a Systemic Functional Multimodal Discourse Analysis (SF-MDA) approach to analyse tweets from the Twitter accounts of Presidents Barack Obama (@Barack Obama) and Donald Trump (@realDonaldTrump). The tweets were posted during the last nine months of President Obama's effective presidency and the first nine months of President Trump's presidency. The tweets are analysed using automated text analysis which is interpreted through an SF-MDA lens, supplemented by manual analysis. The analysis examines ideational and interpersonal emphasis in the tweets with the aim of showing how the composition and content construct a view of how each president and his presidency are presented to the public. The findings suggest marked contrasts in presidential style with President Trump foregrounding the interpersonal while President Obama foregrounds the ideational. Where President Trump presents as self-promoting, autocratic, opinionated and igniting discord in his tweets, President Obama presents as democratic, moderate, restrained and seeking social harmony.</t>
  </si>
  <si>
    <t>[Wignell, Peter; Tan, Sabine; Chai, Kevin] Curtin Univ, Bentley, WA, Australia; [O'Halloran, Kay L.] Univ Liverpool, Liverpool, Merseyside, England</t>
  </si>
  <si>
    <t>Curtin University; University of Liverpool</t>
  </si>
  <si>
    <t>O'Halloran, KL (corresponding author), Univ Liverpool, Sch Arts, Dept Commun &amp; Media, 19-23 Abercromby Sq, Liverpool L69 7ZG, Merseyside, England.</t>
  </si>
  <si>
    <t>JOHN BENJAMINS PUBLISHING CO</t>
  </si>
  <si>
    <t>PO BOX 36224, 1020 ME AMSTERDAM, NETHERLANDS</t>
  </si>
  <si>
    <t>1569-2159</t>
  </si>
  <si>
    <t>1569-9862</t>
  </si>
  <si>
    <t>J LANG POLIT</t>
  </si>
  <si>
    <t>J. Lang. Polit.</t>
  </si>
  <si>
    <t>10.1075/jlp.19046.wig</t>
  </si>
  <si>
    <t>RC2XW</t>
  </si>
  <si>
    <t>WOS:000632669100001</t>
  </si>
  <si>
    <t>Marzi, C; Pardelli, G; Sassi, M</t>
  </si>
  <si>
    <t>Farace, DJ; Frantzen, J</t>
  </si>
  <si>
    <t>Marzi, Claudia; Pardelli, Gabriella; Sassi, Manuela</t>
  </si>
  <si>
    <t>A Terminology Based Re-Definition of Grey Literature</t>
  </si>
  <si>
    <t>TRANSPARENCY IN GREY LITERATURE: GREY TECH APPROACHES TO HIGH TECH ISSUES</t>
  </si>
  <si>
    <t>GL Conference Series</t>
  </si>
  <si>
    <t>12th International Conference on Grey Literature</t>
  </si>
  <si>
    <t>DEC 06-07, 2010</t>
  </si>
  <si>
    <t>Natl Techn Lib, Prague, CZECH REPUBLIC</t>
  </si>
  <si>
    <t>Narodni Technicka Knihovna,British Lib,Centrum Vedecko Technickych Informacil,FLICC FEDLINK,EBSCO Informat Serv,Int Council Sci &amp; Techn Informat,Informat Int Assoc,Inst Informat Sci &amp; Techn, Ctr Natl Rech Sci,Law Lib Congress,New York Acad Med</t>
  </si>
  <si>
    <t>Natl Techn Lib</t>
  </si>
  <si>
    <t>Grey Literature definition; GL Conference corpus; Terminology extraction</t>
  </si>
  <si>
    <t>The conventionally accepted definition of Grey Literature, as Information produced and distributed by non-commercial publishing, does not take into consideration either the increasing availability of forms of grey knowledge, or the growing importance of computer-based encoding and management as the standard mode of creating and developing grey literature. Semi-automated terminological analysis of almost twenty years of terminological creativity in the proceedings of eleven GL International Conferences offers the opportunity to pave the way to a bottom-up redefinition of Grey Literature stemming from attested terminological creativity and lexical innovation. In this paper, we focus on a set of automatically-acquired terms obtained by subjecting our reference Corpus to a number of pre-processing steps of automated text analysis, such as concordances, frequency lists and lexical association scores. Acquired terms allow us to throw in sharp relief developing trends and important shifts of emphasis in the current understanding of the notion of Grey Literature.</t>
  </si>
  <si>
    <t>[Marzi, Claudia; Pardelli, Gabriella; Sassi, Manuela] CNR, Natl Res Council, Inst Computat Linguist Antonio Zampolli, I-56100 Pisa, Italy</t>
  </si>
  <si>
    <t>Consiglio Nazionale delle Ricerche (CNR); Istituto di Linguistica Computazionale A. Zampolli (ILC-CNR)</t>
  </si>
  <si>
    <t>claudia.marzi@ilc.cnr.it; gabriella.pardelli@ilc.cnr.it; manuela.sassi@ilc.cnr.it</t>
  </si>
  <si>
    <t>Pardelli, Gabriella/B-9141-2015; Pardelli, Gabriella/Z-4698-2019; Marzi, Claudia/C-8034-2012</t>
  </si>
  <si>
    <t>Marzi, Claudia/0000-0002-3427-2827; Gabriella, Pardelli/0000-0003-0610-1550; SASSI, MANUELA/0000-0002-4315-841X</t>
  </si>
  <si>
    <t>TEXTRELEASE</t>
  </si>
  <si>
    <t>GL PROGRAM &amp; CONFERENCE BUREAU, JAVASTRAAT 194-HS, AMSTERDAM, 1095 CP, NETHERLANDS</t>
  </si>
  <si>
    <t>1386-2316</t>
  </si>
  <si>
    <t>978-90-77484-16-6</t>
  </si>
  <si>
    <t>GL CONFERENCE SER</t>
  </si>
  <si>
    <t>BTV49</t>
  </si>
  <si>
    <t>WOS:000288186600002</t>
  </si>
  <si>
    <t>Rhidenour, KB; Blackburn, K; Barrett, AK; Taylor, S</t>
  </si>
  <si>
    <t>Rhidenour, Kayla B.; Blackburn, Kate; Barrett, Ashley K.; Taylor, Savanna</t>
  </si>
  <si>
    <t>Mediating Medical Marijuana: Exploring How Veterans Discuss Their Stigmatized Substance Use on Reddit</t>
  </si>
  <si>
    <t>POSTTRAUMATIC-STRESS-DISORDER; PROBLEMATIC INTERNET USE; SOCIAL SUPPORT; MENTAL-HEALTH; HELP-SEEKING; ONLINE; COMMUNICATION; FACILITATORS; PREDICTORS; DISCLOSURE</t>
  </si>
  <si>
    <t>This paper uses SIDE theory and an information seeking lens to examine the types of information and support messages (N = 126,977 posts) veterans seek on the social networking site Reddit regarding medical marijuana use. A combination of automated text analysis strategies paired with thematic analysis produced eight themes: Doctor Patient Conversations, Drug Test, Legality, Legal Policy, Prescription Drug Use/Other Substance Use, Point of View, Reasons for Use, and V.A. Findings reveal that a large portion of veterans discuss how medical marijuana can be used to self-medicate for a number of issues, including PTSD, anxiety, and sleep deprivation. Results also highlighted missing topics within veterans' conversations about medical marijuana use. For instance, veterans rarely discuss the strategies they use to talk to their doctor about their medical marijuana use. Practical implications and directions for future research are offered.</t>
  </si>
  <si>
    <t>[Rhidenour, Kayla B.; Barrett, Ashley K.; Taylor, Savanna] Baylor Univ, Dept Commun, Waco, TX 76798 USA; [Blackburn, Kate] Univ Texas Austin, Dept Psychol, Austin, TX 78712 USA</t>
  </si>
  <si>
    <t>Baylor University; University of Texas System; University of Texas Austin</t>
  </si>
  <si>
    <t>Rhidenour, KB (corresponding author), Baylor Univ, Dept Commun, Waco, TX 76798 USA.</t>
  </si>
  <si>
    <t>kayla_rhidenour@baylor.edu</t>
  </si>
  <si>
    <t>Barrett, Ashley/0000-0003-3518-501X; Rhidenour, Kayla/0000-0001-9151-2076; Blackburn, Kate/0000-0003-3373-9883</t>
  </si>
  <si>
    <t>John Templeton Foundation [48503, 62256]; Federal Bureau of Investigation [15F06718R0006603]</t>
  </si>
  <si>
    <t>John Templeton Foundation; Federal Bureau of Investigation</t>
  </si>
  <si>
    <t>Preparation of this manuscript was aided by grants from the John Templeton Foundation [#48503 and #62256] and Federal Bureau of Investigation [15F06718R0006603].</t>
  </si>
  <si>
    <t>AUG 24</t>
  </si>
  <si>
    <t>10.1080/10410236.2021.1886411</t>
  </si>
  <si>
    <t>3E8KH</t>
  </si>
  <si>
    <t>WOS:000619751800001</t>
  </si>
  <si>
    <t>Gerrath, MHEE; Mafael, A; Ulqinaku, A; Biraglia, A</t>
  </si>
  <si>
    <t>Gerrath, Maximilian H. E. E.; Mafael, Alexander; Ulqinaku, Aulona; Biraglia, Alessandro</t>
  </si>
  <si>
    <t>Service failures in times of crisis: An analysis of eWOM emotionality</t>
  </si>
  <si>
    <t>eWOM; COVID-19; Exogenous shock; Service failure; Automated text analysis</t>
  </si>
  <si>
    <t>WORD-OF-MOUTH; SOCIAL MEDIA; CONSUMERS; BEHAVIOR</t>
  </si>
  <si>
    <t>The COVID-19 pandemic continues to disrupt consumer experiences as well as service operations. Despite the magnitude of this exogenous shock, little is known about the pandemic's impact on consumers. Building on engagement theory, this study examines consumers' emotional responses to service failures on social media. Contributing to the brand equity literature, we test whether electronic word-of-mouth (eWOM) emotionality is contingent on brand strength. To do so, we analyzed 327,205 tweets directed at airline brands over the first 12 months of the pandemic in addition to data from a nonaffected period. The models show that consumers' overall emotionality in tweets was lower during the pandemic than before it. Over the course of the pandemic, levels of joy were lower while levels of sadness and anger were more prominent in tweets directed at weaker brands. Thus, brand strength still acts as a buffer if service failures are caused by exogenous shocks.</t>
  </si>
  <si>
    <t>[Gerrath, Maximilian H. E. E.; Ulqinaku, Aulona; Biraglia, Alessandro] Univ Leeds, Business Sch, Mkt Dept, Maurice Keyworth Bldg, Leeds LS2 9JT, England; [Mafael, Alexander] Stockholm Sch Econ, Ctr Retailing, Dept Mkt &amp; Strategy, Saltmatargatan 13-17, S-11359 Stockholm, Sweden</t>
  </si>
  <si>
    <t>University of Leeds; Stockholm School of Economics</t>
  </si>
  <si>
    <t>Gerrath, MHEE (corresponding author), Univ Leeds, Business Sch, Mkt Dept, Maurice Keyworth Bldg, Leeds LS2 9JT, England.</t>
  </si>
  <si>
    <t>m.gerrath@leeds.ac.uk</t>
  </si>
  <si>
    <t>Mafael, Alexander/0000-0002-0708-9795</t>
  </si>
  <si>
    <t>10.1016/j.jbusres.2022.113349</t>
  </si>
  <si>
    <t>5I6QY</t>
  </si>
  <si>
    <t>WOS:000868480000017</t>
  </si>
  <si>
    <t>Hart, RP; Lind, CJ</t>
  </si>
  <si>
    <t>Hart, Roderick P.; Lind, Colene J.</t>
  </si>
  <si>
    <t>The Blended Language of Partisanship in the 2012 Presidential Campaign</t>
  </si>
  <si>
    <t>AMERICAN BEHAVIORAL SCIENTIST</t>
  </si>
  <si>
    <t>presidential campaign; DICTION; partisanship</t>
  </si>
  <si>
    <t>IDENTITY; MEDIA; REPUBLICANS; LEADERSHIP; DEMOCRATS; CHARISMA; CRISIS</t>
  </si>
  <si>
    <t>Here, we track the language patterns of Mitt Romney and other Republican candidates during 2008 and 2012 and contrast them with their Democratic counterparts to better understand the language of partisanship in the U.S. We employ DICTION (www.dictionsoftware.com), an automated text-analysis tool, to process some 8,000 campaign documents. We find (a) that Mitt Romney was an unconventional Republican in 2012 (but not in 2008); (b) that Romney employed both Republican and Democratic language and did so to good effect (both in the primaries and in the general election); (c) that Barack Obama matched Romney in these ways, departing sharply from his own 2008 campaign style; and (d) that the candidates increasingly resembled one another as election day approached. We conclude that, no matter what their party of origin, all national politicians must be versed in the Democratic/Republican lexicon, a requirement that distinguishes the American political ethos.</t>
  </si>
  <si>
    <t>[Hart, Roderick P.; Lind, Colene J.] Univ Texas Austin, Austin, TX 78712 USA</t>
  </si>
  <si>
    <t>University of Texas System; University of Texas Austin</t>
  </si>
  <si>
    <t>Hart, RP (corresponding author), Univ Texas Austin, Coll Commun, 300 W Dean Keeton,Mail Code A0900, Austin, TX 78712 USA.</t>
  </si>
  <si>
    <t>rod.hart@austin.utexas.edu</t>
  </si>
  <si>
    <t>0002-7642</t>
  </si>
  <si>
    <t>1552-3381</t>
  </si>
  <si>
    <t>AM BEHAV SCI</t>
  </si>
  <si>
    <t>Am. Behav. Sci.</t>
  </si>
  <si>
    <t>10.1177/0002764213506220</t>
  </si>
  <si>
    <t>Psychology, Clinical; Social Sciences, Interdisciplinary</t>
  </si>
  <si>
    <t>Psychology; Social Sciences - Other Topics</t>
  </si>
  <si>
    <t>AC0SM</t>
  </si>
  <si>
    <t>WOS:000332205100008</t>
  </si>
  <si>
    <t>Calderon, S; Mac Giolla, E; Luke, TJ; Warmelink, L; Ask, K; Granhag, PA; Vrij, A</t>
  </si>
  <si>
    <t>Calderon, Sofia; Mac Giolla, Erik; Luke, Timothy J.; Warmelink, Lara; Ask, Karl; Granhag, Par Anders; Vrij, Aldert</t>
  </si>
  <si>
    <t>Linguistic Concreteness of Statements of True and False Intentions</t>
  </si>
  <si>
    <t>JOURNAL OF APPLIED RESEARCH IN MEMORY AND COGNITION</t>
  </si>
  <si>
    <t>construal-level theory; true and false intentions; mental abstraction; automated text analysis; deception</t>
  </si>
  <si>
    <t>TEMPORAL DISTANCE; SPATIAL DISTANCE; LEVEL; CUES</t>
  </si>
  <si>
    <t>Our aim was to examine how people communicate their true and false intentions. Based on construal-level theory (Trope &amp; Liberman, 2010), we predicted that statements of true intentions would be more concretely phrased than statements of false intentions. True intentions refer to more likely future events than false intentions, and they should therefore be mentally represented at a lower level of mental construal. This should be mirrored in more concrete language use. Transcripts of truthful and deceptive statements about intentions from six previous experimental studies (total N = 528) were analyzed using two automated verbal content analysis approaches: a folk-conceptual measure of concreteness (Brysbaert et al., 2014) and linguistic category model scoring (Seih et al., 2017). Contrary to our hypotheses, veracity did not predict statements' concreteness scores, suggesting that automated verbal analysis of linguistic concreteness is not a viable deception detection technique for intentions.</t>
  </si>
  <si>
    <t>2211-3681</t>
  </si>
  <si>
    <t>2211-369X</t>
  </si>
  <si>
    <t>J APPL RES MEM COGN</t>
  </si>
  <si>
    <t>J. Appl. Res. Mem. Cogn.</t>
  </si>
  <si>
    <t>10.1037/mac0000077</t>
  </si>
  <si>
    <t>Psychology, Experimental</t>
  </si>
  <si>
    <t>6C2CG</t>
  </si>
  <si>
    <t>WOS:000881828600001</t>
  </si>
  <si>
    <t>Exploring the link between media concentration and news content diversity using automated text analysis</t>
  </si>
  <si>
    <t>Media concentration; media diversity; news diversity; content diversity; content analysis</t>
  </si>
  <si>
    <t>OWNERSHIP; PLURALISM; COVERAGE; HOMOGENIZATION; CRISIS</t>
  </si>
  <si>
    <t>In this article, we explore the relationship between increased media market concentration and its effects on the diversity of news content. We assemble a dataset of 1,419,479 print and online 'hard news' articles published between 2018 and 2021 by the four largest newspapers in Flanders (Belgium). These include two popular and two quality titles owned by two rival media companies, which only emerged in recent years after a string of mergers and takeovers which fundamentally changed ownership diversity in the small yet increasingly concentrated Flemish media market. In our analysis, we compare articles for their similarity between titles belonging to the same company using automated text comparisons. We find that content is growing increasingly similar and expand the existing body of research on the link between media concentration and news (content) diversity in Flanders as well as beyond.</t>
  </si>
  <si>
    <t>[Hendrickx, Jonathan] Vrije Univ Brussel, Ixelles, Belgium; [Van Remoortere, Annelien] Wageningen Univ, Wageningen, Netherlands; [Hendrickx, Jonathan] Vrije Univ Brussel, Journalism Studies, Imec SMIT, Pl Laan 9, B-1040 Ixelles, Belgium</t>
  </si>
  <si>
    <t>Vrije Universiteit Brussel; Wageningen University &amp; Research; Vrije Universiteit Brussel</t>
  </si>
  <si>
    <t>Hendrickx, J (corresponding author), Vrije Univ Brussel, Journalism Studies, Imec SMIT, Pl Laan 9, B-1040 Ixelles, Belgium.</t>
  </si>
  <si>
    <t>10.1177/14648849221136946</t>
  </si>
  <si>
    <t>6F9ID</t>
  </si>
  <si>
    <t>WOS:000884373200001</t>
  </si>
  <si>
    <t>Delbaere, M; Michael, B; Phillips, BJ</t>
  </si>
  <si>
    <t>Delbaere, Marjorie; Michael, Brittany; Phillips, Barbara J.</t>
  </si>
  <si>
    <t>Social media influencers: A route to brand engagement for their followers</t>
  </si>
  <si>
    <t>PSYCHOLOGY &amp; MARKETING</t>
  </si>
  <si>
    <t>automated textual analysis; brand engagement; social influence; social media marketing</t>
  </si>
  <si>
    <t>WORD-OF-MOUTH; CUSTOMER ENGAGEMENT; DISCLOSURE; INTENTION; BLOGGER; IMPACT</t>
  </si>
  <si>
    <t>Social Media Influencers (SMIs) are micro-celebrities with large followings on social media platforms who engage consumers and hold the potential to promote customer-brand relationships across different product categories. SMIs have an existing relationship of trust with consumers, and consumers seek out the content created by SMIs for valuable information and advice. This study explores the process of brand engagement between consumers and brands in the digital content marketing environment, specifically examining the research question: Do SMIs act as a route to brand engagement for their followers? The context for this study is the beauty community on YouTube; over 60,000 user comments were analyzed through automated text analysis. This study is among the first to provide empirical evidence that SMIs do act as a route to brand engagement through the three dimensions of cognitive processing, affection and activation.</t>
  </si>
  <si>
    <t>[Delbaere, Marjorie; Michael, Brittany; Phillips, Barbara J.] Edwards Sch Business, Dept Management &amp; Mkt, 25 Campus Dr, Saskatoon, SK S7N 4J5, Canada</t>
  </si>
  <si>
    <t>Phillips, BJ (corresponding author), Edwards Sch Business, Dept Management &amp; Mkt, 25 Campus Dr, Saskatoon, SK S7N 4J5, Canada.</t>
  </si>
  <si>
    <t>bphillips@edwards.usask.ca</t>
  </si>
  <si>
    <t>Delbaere, Marjorie/0000-0002-4782-5769</t>
  </si>
  <si>
    <t>0742-6046</t>
  </si>
  <si>
    <t>1520-6793</t>
  </si>
  <si>
    <t>PSYCHOL MARKET</t>
  </si>
  <si>
    <t>Psychol. Mark.</t>
  </si>
  <si>
    <t>10.1002/mar.21419</t>
  </si>
  <si>
    <t>OCT 2020</t>
  </si>
  <si>
    <t>PM3MC</t>
  </si>
  <si>
    <t>WOS:000578537400001</t>
  </si>
  <si>
    <t>Cordell, R; Clay, KC; Fariss, CJ; Wood, RM; Wright, TM</t>
  </si>
  <si>
    <t>Cordell, Rebecca; Clay, K. Chad; Fariss, Christopher J.; Wood, Reed M.; Wright, Thorin M.</t>
  </si>
  <si>
    <t>Changing standards or political whim? Evaluating changes in the content of US State Department Human Rights Reports following presidential transitions</t>
  </si>
  <si>
    <t>JOURNAL OF HUMAN RIGHTS</t>
  </si>
  <si>
    <t>RESPECT</t>
  </si>
  <si>
    <t>The annual US State Department Country Reports on Human Rights Practices represents one of the principal data sources used to generate multiple commonly used human rights measures. Despite the frequency with which these indicators are used in quantitative studies of human rights, scholars have rarely considered how the qualitative information in the source has varied over time. We contribute to this area of research by investigating the general changes in the amount of information included in the reports as well as the administration-specific changes in this information. Using automated text analysis techniques, we find that the amount of information in the reports generally increases over time. However, our analysis also reveals that the rate (and direction) of change varies across different human rights topics and across presidential administrations. Consequently, we find evidence to support a changing standard of accountability as well as evidence that political considerations shape human rights reporting.</t>
  </si>
  <si>
    <t>[Cordell, Rebecca; Wood, Reed M.; Wright, Thorin M.] Univ Texas Dallas, Richardson, TX 75080 USA; [Clay, K. Chad] Univ Georgia, Athens, GA 30602 USA; [Fariss, Christopher J.] Univ Michigan, Dept Polit Sci, Ann Arbor, MI 48109 USA; [Fariss, Christopher J.] Univ Michigan, Ctr Polit Sci, Ann Arbor, MI 48109 USA; [Wood, Reed M.] Univ Essex, Colchester, Essex, England</t>
  </si>
  <si>
    <t>University of Texas System; University of Texas Dallas; University System of Georgia; University of Georgia; University of Michigan System; University of Michigan; University of Michigan System; University of Michigan; University of Essex</t>
  </si>
  <si>
    <t>Cordell, R (corresponding author), Univ Texas Dallas, Sch Econ Polit &amp; Policy Sci, 800 West Campbell Rd, Richardson, TX 75080 USA.</t>
  </si>
  <si>
    <t>rebecca.cordell@utdallas.edu</t>
  </si>
  <si>
    <t>Fariss, Christopher J/AAG-9477-2021; Fariss, Christopher/AAN-9494-2020</t>
  </si>
  <si>
    <t>Fariss, Christopher J/0000-0001-9837-186X; Clay, K. Chad/0000-0001-8276-6998</t>
  </si>
  <si>
    <t>National Science Foundation [1627464, 1626775, 1627101]</t>
  </si>
  <si>
    <t>This project receives funding from the National Science Foundation (award numbers 1627464, 1626775, 1627101).</t>
  </si>
  <si>
    <t>1475-4835</t>
  </si>
  <si>
    <t>1475-4843</t>
  </si>
  <si>
    <t>J HUM RIGHTS</t>
  </si>
  <si>
    <t>J. Hum. Rights</t>
  </si>
  <si>
    <t>10.1080/14754835.2019.1671175</t>
  </si>
  <si>
    <t>KD3MF</t>
  </si>
  <si>
    <t>WOS:000507772300002</t>
  </si>
  <si>
    <t>Min, S; Park, J</t>
  </si>
  <si>
    <t>Cherifi, H; Goncalves, B; Menezes, R; Sinatra, R</t>
  </si>
  <si>
    <t>Min, Semi; Park, Juyong</t>
  </si>
  <si>
    <t>Network Science and Narratives: Basic Model and Application to Victor Hugo's Les Miserables</t>
  </si>
  <si>
    <t>COMPLEX NETWORKS VII</t>
  </si>
  <si>
    <t>Studies in Computational Intelligence</t>
  </si>
  <si>
    <t>6th International Workshop on Complex Networks (CompleNet)</t>
  </si>
  <si>
    <t>MAR 23-25, 2016</t>
  </si>
  <si>
    <t>Univ Bourgogne, Dijon, FRANCE</t>
  </si>
  <si>
    <t>Univ Bourgogne</t>
  </si>
  <si>
    <t>INTERNET</t>
  </si>
  <si>
    <t>Propelled by the recent advances in digitization of books and computational methods for automated text analysis, we are witnessing a promising opportunity for a serious scientific study of narratives. The importance of such an endeavor stems from the fact that a good story, albeit often fictional and artificial, is composed of highly believable characters who interact and experience a sequence of events together in a realistic world setting, and thus a better understanding of narratives may yield new insights for comprehending various real social phenomena as well as literary fiction. Here we present the basic scientific framework for modeling narrative as complex networks, which allows us to study how the narrative structure is reflected in the network of characters and how they allow us to understand the dynamics of narrative progression. This paper contains the fundamental network model of narratives and its properties that serves as the starting point for a more comprehensive future work.</t>
  </si>
  <si>
    <t>[Min, Semi; Park, Juyong] Korea Adv Inst Sci &amp; Technol, Grad Sch Culture Technol, Daejeon 34141, South Korea</t>
  </si>
  <si>
    <t>Korea Advanced Institute of Science &amp; Technology (KAIST)</t>
  </si>
  <si>
    <t>Park, J (corresponding author), Korea Adv Inst Sci &amp; Technol, Grad Sch Culture Technol, Daejeon 34141, South Korea.</t>
  </si>
  <si>
    <t>minsm86@kaist.ac.kr; juyongp@kaist.ac.kr</t>
  </si>
  <si>
    <t>1860-949X</t>
  </si>
  <si>
    <t>1860-9503</t>
  </si>
  <si>
    <t>978-3-319-30569-1; 978-3-319-30568-4</t>
  </si>
  <si>
    <t>STUD COMPUT INTELL</t>
  </si>
  <si>
    <t>10.1007/978-3-319-30569-1_19</t>
  </si>
  <si>
    <t>Computer Science, Artificial Intelligence; Computer Science, Theory &amp; Methods</t>
  </si>
  <si>
    <t>BF0GT</t>
  </si>
  <si>
    <t>WOS:000378833300019</t>
  </si>
  <si>
    <t>Chen, KP</t>
  </si>
  <si>
    <t>Chen, Kaiping</t>
  </si>
  <si>
    <t>How deliberative designs empower citizens' voices: A case study on Ghana's deliberative poll on agriculture and the environment</t>
  </si>
  <si>
    <t>Africa; automated text analysis; deliberation; lay expertise; mini-public; reasoning; science communication</t>
  </si>
  <si>
    <t>Empowering ordinary citizens with the capacity to deliberate is a core issue in science communication. Despite growing deliberative practices in developed nations, it is significantly less understood how public deliberation can happen among populations who live with limited educational resources and poor urban infrastructure in developing countries. This article studied a case of a well-designed deliberation method, Deliberative Poll, in Tamale, Ghana. I analyzed the stimulus information video and thousands of speech acts from deliberation transcripts to examine how expertise was used and what was deliberated in public dialogue. A broad range of expertise and interests were represented. Participants had thoughtful discussions on complex policy issues and their discussion results were considered by local policymakers. This article contributes to our understanding of how to effectively foster public deliberation among populations in the Global South and measure the nuances of expertise and public reasoning on science.</t>
  </si>
  <si>
    <t>[Chen, Kaiping] Univ Wisconsin Madison, Computat Commun, Dept Life Sci Commun, Madison, WI USA</t>
  </si>
  <si>
    <t>University of Wisconsin System; University of Wisconsin Madison</t>
  </si>
  <si>
    <t>Chen, KP (corresponding author), Univ Wisconsin Madison, 316 Hiram Smith Hall,1545 Observ Dr, Madison, WI 53706 USA.</t>
  </si>
  <si>
    <t>kchen67@wisc.edu</t>
  </si>
  <si>
    <t>Chen, Kaiping/AAD-7014-2022</t>
  </si>
  <si>
    <t>Chen, Kaiping/0000-0002-5864-5333</t>
  </si>
  <si>
    <t>10.1177/0963662520966742</t>
  </si>
  <si>
    <t>QC0OW</t>
  </si>
  <si>
    <t>WOS:000598504500001</t>
  </si>
  <si>
    <t>Mankad, S; Han, H; Goh, J; Gavirneni, S</t>
  </si>
  <si>
    <t>Mankad, Shawn; Han, Hyunjeong Spring; Goh, Joel; Gavirneni, Srinagesh</t>
  </si>
  <si>
    <t>Understanding Online Hotel Reviews Through Automated Text Analysis</t>
  </si>
  <si>
    <t>SERVICE SCIENCE</t>
  </si>
  <si>
    <t>online reviews; text analysis; customer reviews</t>
  </si>
  <si>
    <t>SALES</t>
  </si>
  <si>
    <t>Customer reviews submitted at Internet travel portals are an important yet underexplored new resource for obtaining feedback on customer experience for the hospitality industry. These data are often voluminous and unstructured, presenting analytical challenges for traditional tools that were designed for well-structured, quantitative data. We adapt methods from natural language processing and machine learning to illustrate how the hotel industry can leverage this new data source by performing automated evaluation of the quality of writing, sentiment estimation, and topic extraction. By analyzing 5,830 reviews from 57 hotels in Moscow, Russia, we find that (i) negative reviews tend to focus on a small number of topics, whereas positive reviews tend to touch on a greater number of topics; (ii) negative sentiment inherent in a review has a larger downward impact than corresponding positive sentiment; and (iii) negative reviews contain a larger variation in sentiment on average than positive reviews. These insights can be instrumental in helping hotels achieve their strategic, financial, and operational objectives.</t>
  </si>
  <si>
    <t>[Mankad, Shawn; Gavirneni, Srinagesh] Cornell Univ, Ithaca, NY 14853 USA; [Han, Hyunjeong Spring] Natl Res Univ HSE, Moscow 101000, Russia; [Goh, Joel] Harvard Univ, Cambridge, MA 02138 USA</t>
  </si>
  <si>
    <t>Cornell University; HSE University (National Research University Higher School of Economics); Harvard University</t>
  </si>
  <si>
    <t>Mankad, S (corresponding author), Cornell Univ, Ithaca, NY 14853 USA.</t>
  </si>
  <si>
    <t>spm263@cornell.edu; hhyun@hse.ru; jgoh@hbs.edu; sg337@cornell.edu</t>
  </si>
  <si>
    <t>Goh, Joel/B-5669-2016</t>
  </si>
  <si>
    <t>Mankad, Shawn/0000-0001-7945-8556; Gavirneni, Srinagesh/0000-0002-4107-8539; Goh, Joel/0000-0002-3473-9191</t>
  </si>
  <si>
    <t>INFORMS</t>
  </si>
  <si>
    <t>CATONSVILLE</t>
  </si>
  <si>
    <t>5521 RESEARCH PARK DR, SUITE 200, CATONSVILLE, MD 21228 USA</t>
  </si>
  <si>
    <t>2164-3962</t>
  </si>
  <si>
    <t>2164-3970</t>
  </si>
  <si>
    <t>SERV SCI</t>
  </si>
  <si>
    <t>Serv. Sci.</t>
  </si>
  <si>
    <t>10.1287/serv.2016.0126</t>
  </si>
  <si>
    <t>EF8GA</t>
  </si>
  <si>
    <t>WOS:000390565900004</t>
  </si>
  <si>
    <t>Declerck, T; Scheidel, A; Lendvai, P</t>
  </si>
  <si>
    <t>Sporleder, C; VandenBosch, A; Zervanou, K</t>
  </si>
  <si>
    <t>Declerck, Thierry; Scheidel, Antonia; Lendvai, Piroska</t>
  </si>
  <si>
    <t>Proppian Content Descriptors in an Integrated Annotation Schema for Fairy Tales</t>
  </si>
  <si>
    <t>LANGUAGE TECHNOLOGY FOR CULTURAL HERITAGE: SELECTED PAPERS FROM THE LATECH WORKSHOP SERIES</t>
  </si>
  <si>
    <t>Theory and Applications of Natural Language Processing</t>
  </si>
  <si>
    <t>linguistic and semantic annotation schema for narratives; Propp</t>
  </si>
  <si>
    <t>This chapter describes the actual state of APftML (Augmented Proppian fairy tale Markup Language), which is a schema combining linguistic and domain specific annotation for supporting Cultural Heritage and Digital Humanities research, exemplified in the fairy tale domain. APftML should in particular guide automated text analysis to detect and mark up fairy tale characters and the typical actions they are involved in, which can be subsequently queried in a corpus by both linguists and specialists in the field. The characters and actions are defined with the help of Propp's formal analysis of folktales, which we aim to implement in a fully fledged way, contrary to existing computational resources based on his theory. In order to respond to current formalisation requirements APfML abstracts away from some aspects of the theory of Propp, and we also discuss the integration of Proppian elements within modern semantic annotation approaches. The chapter focuses on the resulting revised and extended set of narrative elements APftML is dealing with.</t>
  </si>
  <si>
    <t>[Declerck, Thierry] DFKI GmbH, Language Technol Lab, D-66123 Saarbrucken, Germany; [Scheidel, Antonia] Univ Saarland, Dept Computat Linguist &amp; Phonet, D-66041 Saarbrucken, Germany; [Lendvai, Piroska] Hungarian Acad Sci, Res Inst Linguist, H-1068 Budapest, Hungary</t>
  </si>
  <si>
    <t>German Research Center for Artificial Intelligence (DFKI); Saarland University; Hungarian Academy of Sciences; Hungarian Research Institute for Linguistics</t>
  </si>
  <si>
    <t>Declerck, T (corresponding author), DFKI GmbH, Language Technol Lab, Stuhlsatzenhausweg 3, D-66123 Saarbrucken, Germany.</t>
  </si>
  <si>
    <t>declerck@dfki.de; ascheidel@coli.uni-sb.de; piroska@nytud.hu</t>
  </si>
  <si>
    <t>2192-032X</t>
  </si>
  <si>
    <t>978-3-642-20226-1</t>
  </si>
  <si>
    <t>THEOR APPL NAT LANG</t>
  </si>
  <si>
    <t>10.1007/978-3-642-20227-8_9</t>
  </si>
  <si>
    <t>10.1007/978-3-642-20227-8</t>
  </si>
  <si>
    <t>BWI06</t>
  </si>
  <si>
    <t>WOS:000293925300011</t>
  </si>
  <si>
    <t>Kronrod, A</t>
  </si>
  <si>
    <t>Kronrod, Ann</t>
  </si>
  <si>
    <t>Language Research in Marketing</t>
  </si>
  <si>
    <t>FOUNDATIONS AND TRENDS IN MARKETING</t>
  </si>
  <si>
    <t>LINGUISTIC STYLE MATCHES; AUTOMATED TEXT ANALYSIS; BRAND-NAME; PHONETIC SYMBOLISM; FIGURATIVE LANGUAGE; CONSUMER REVIEWS; MODERATING ROLE; ENVIRONMENTAL MESSAGES; SOUND SYMBOLISM; ONLINE REVIEWS</t>
  </si>
  <si>
    <t>This monograph aims to introduce researchers to the fascinating world of linguistics and to show how to conduct meaningful language research in marketing, exploring the way language influences behavior and how language can express thoughts, emotions, and mental states in marketing contexts. Ann Kronrod, who holds a Ph.D. in linguistics and conducts linguistic research in marketing, familiarizes the reader with fundamental concepts and prominent theories in linguistics, reviews the currently available research in marketing that examines language questions, lays out a guide to conducting compelling language research in marketing, and offers exciting future directions for developing new perspectives on language within marketing research. This monograph can be used as a basic guide for beginning researchers who are interested to conduct language research in marketing, or as a summary for more seasoned researchers who already acquired linguistics education and would like to get up to date on recent streams in the research of language in marketing.</t>
  </si>
  <si>
    <t>[Kronrod, Ann] Univ Massachusetts, Lowell, MA 01854 USA</t>
  </si>
  <si>
    <t>University of Massachusetts System; University of Massachusetts Lowell</t>
  </si>
  <si>
    <t>Kronrod, A (corresponding author), Univ Massachusetts, Lowell, MA 01854 USA.</t>
  </si>
  <si>
    <t>ann_kronrod@uml.edu</t>
  </si>
  <si>
    <t>NOW PUBLISHERS INC</t>
  </si>
  <si>
    <t>HANOVER</t>
  </si>
  <si>
    <t>PO BOX 1024, HANOVER, MA 02339 USA</t>
  </si>
  <si>
    <t>1555-0753</t>
  </si>
  <si>
    <t>1555-0761</t>
  </si>
  <si>
    <t>FOUND TRENDS MARKET</t>
  </si>
  <si>
    <t>Found. Trends Market.</t>
  </si>
  <si>
    <t>10.1561/1700000069</t>
  </si>
  <si>
    <t>0V1OB</t>
  </si>
  <si>
    <t>WOS:000788113500001</t>
  </si>
  <si>
    <t>Margolin, D; Markowitz, DM</t>
  </si>
  <si>
    <t>Margolin, Drew; Markowitz, David M.</t>
  </si>
  <si>
    <t>A Multitheoretical Approach to Big Text Data: Comparing Expressive and Rhetorical Logics in Yelp Reviews</t>
  </si>
  <si>
    <t>COMMUNICATION RESEARCH</t>
  </si>
  <si>
    <t>online reviews; crowdsourcing; text mining; message design; LIWC; social media; automated text analysis</t>
  </si>
  <si>
    <t>COMPUTER-MEDIATED COMMUNICATION; CONSTRUAL-LEVEL THEORY; SOCIAL-SCIENCE; REPUTATION; LANGUAGE; DISTANCE; STATEMENTS; TRACES; FUTURE; LIES</t>
  </si>
  <si>
    <t>This article uses a multitheoretical approach to investigate the relationship between language use and opinion expression on Yelp. Using review metadata (e.g., star rating) to observe variation in reviewer feelings and motivations, we test for the strength of different message design logics: expressive logics, where language reflects a reviewer's underlying opinion, and rhetorical logics, where language reflects a reviewer's desire to make his or her opinion credible and acceptable to their audience. Results suggest that emotional language is motivated by expression as higher rated businesses are reviewed with more positive and fewer negative emotion terms. Rhetorical logics are associated with the use of abstract and self-focused language, with analysis suggesting this may result from the reviewer's decision to write either narratively or formally.</t>
  </si>
  <si>
    <t>[Margolin, Drew] Cornell Univ, Dept Commun, Ithaca, NY USA; [Markowitz, David M.] Stanford Univ, Dept Commun, Stanford, CA 94305 USA</t>
  </si>
  <si>
    <t>Cornell University; Stanford University</t>
  </si>
  <si>
    <t>Margolin, D (corresponding author), Cornell Univ, Coll Agr &amp; Life Sci, Dept Commun, 472 Mann Lib Bldg, Ithaca, NY 14850 USA.</t>
  </si>
  <si>
    <t>dm658@cornell.edu</t>
  </si>
  <si>
    <t>0093-6502</t>
  </si>
  <si>
    <t>1552-3810</t>
  </si>
  <si>
    <t>COMMUN RES</t>
  </si>
  <si>
    <t>Commun. Res.</t>
  </si>
  <si>
    <t>10.1177/0093650217719177</t>
  </si>
  <si>
    <t>GK3EK</t>
  </si>
  <si>
    <t>WOS:000436024100003</t>
  </si>
  <si>
    <t>Herzog, A; Benoit, K</t>
  </si>
  <si>
    <t>Herzog, Alexander; Benoit, Kenneth</t>
  </si>
  <si>
    <t>The Most Unkindest Cuts: Speaker Selection and Expressed Government Dissent during Economic Crisis</t>
  </si>
  <si>
    <t>CONSTITUENCY FOCUS; PARTY UNITY; POSITIONS; PRINCIPALS; POLITICS; POLICY</t>
  </si>
  <si>
    <t>Economic crisis and the resulting need for austerity budgets have divided many governing parties and coalitions in Europe despite strong party discipline in the legislative voting on these harsh budgets. We measure these divisions using automated text analysis methods to scale the positions that legislators express in budget debates in an effort to avoid punishment by voters for supporting austerity measures while still adhering to strict party discipline by voting along party lines. Our test case is Ireland, a country that has experienced periods of rapid economic growth as well as one deep financial and economic crisis. Tracking dissent from 1987 to 2013, we show that austerity measures undermine government cohesion as verbal opposition markedly increases in direct response to the economic pain felt in a legislator's constituency. The economic vulnerability of a legislator's constituency also directly explains position taking on austerity budgets among both government and opposition.</t>
  </si>
  <si>
    <t>[Herzog, Alexander] Clemson Univ, Social Analyt Inst, Clemson, SC 29634 USA; [Benoit, Kenneth] London Sch Econ, Quantitat Social Res Methods, London WC2A 2AE, England; [Benoit, Kenneth] Univ Dublin Trinity Coll, Dept Polit Sci, Dublin 2, Ireland</t>
  </si>
  <si>
    <t>Clemson University; University of London; London School Economics &amp; Political Science; Trinity College Dublin</t>
  </si>
  <si>
    <t>Herzog, A (corresponding author), Clemson Univ, Social Analyt Inst, Clemson, SC 29634 USA.</t>
  </si>
  <si>
    <t>aherzog@clemson.edu; kbenoit@lse.ac.uk</t>
  </si>
  <si>
    <t>Benoit, Kenneth/J-8562-2014</t>
  </si>
  <si>
    <t>Benoit, Kenneth/0000-0002-0797-564X</t>
  </si>
  <si>
    <t>European Research Council [ERC-2011-StG283794-QUANTESS]</t>
  </si>
  <si>
    <t>European Research Council(European Research Council (ERC)European Commission)</t>
  </si>
  <si>
    <t>This research was supported by the European Research Council grant ERC-2011-StG283794-QUANTESS.</t>
  </si>
  <si>
    <t>10.1086/682670</t>
  </si>
  <si>
    <t>DA2UY</t>
  </si>
  <si>
    <t>WOS:000367653500029</t>
  </si>
  <si>
    <t>Pan, J; Siegel, AA</t>
  </si>
  <si>
    <t>Pan, Jennifer; Siegel, Alexandra A.</t>
  </si>
  <si>
    <t>How Saudi Crackdowns Fail to Silence Online Dissent</t>
  </si>
  <si>
    <t>SOCIAL MEDIA; POLITICAL PROTEST; COLLECTIVE ACTION; STATE REPRESSION; INTERNET; CENSORSHIP; REVOLUTION; MOVEMENTS; NETWORKS; CHINA</t>
  </si>
  <si>
    <t>Saudi Arabia has imprisoned and tortured activists, religious leaders, and journalists for voicing dissent online. This reflects a growing worldwide trend in the use of physical repression to censor online speech. In this paper, we systematically examine the consequences of imprisoning well-known Saudis for online dissent by analyzing over 300 million tweets as well as detailed Google search data from 2010 to 2017 using automated text analysis and crowd-sourced human evaluation of content. We find that repression deterred imprisoned Saudis from continuing to dissent online. However, it did not suppress dissent overall. Twitter followers of the imprisoned Saudis engaged in more online dissent, including criticizing the ruling family and calling for regime change. Repression drew public attention to arrested Saudis and their causes, and other prominent figures in Saudi Arabia were not deterred by the repression of their peers and continued to dissent online.</t>
  </si>
  <si>
    <t>[Pan, Jennifer] Stanford Univ, Dept Commun, Stanford, CA 94305 USA; [Siegel, Alexandra A.] Stanford Univ, Immigrat Policy Lab, Stanford, CA 94305 USA</t>
  </si>
  <si>
    <t>Stanford University; Stanford University</t>
  </si>
  <si>
    <t>Pan, J (corresponding author), Stanford Univ, Dept Commun, Stanford, CA 94305 USA.</t>
  </si>
  <si>
    <t>jp1@stanford.edu; aasiegel@stanford.edu</t>
  </si>
  <si>
    <t>Siegel, Alexandra A./M-1331-2019</t>
  </si>
  <si>
    <t>Siegel, Alexandra A./0000-0003-0792-7813; Pan, Jennifer/0000-0002-4818-0122</t>
  </si>
  <si>
    <t>Stanford King Center on Global Poverty and Development; National Science Foundation [1647450]</t>
  </si>
  <si>
    <t>Stanford King Center on Global Poverty and Development; National Science Foundation(National Science Foundation (NSF))</t>
  </si>
  <si>
    <t>Our thanks to Charles Crabtree, Killian Clarke, Christian Davenport, Martin Dimitrov, Jennifer Earl, Will Hobbs, Holger Kern, Beatriz Magaloni, Elizabeth Nugent, Molly Roberts, Arturas Rozenas, Anton Sobolev, Rory Truex, Lauren Young, Zachary SteinertThrelkeld, and participants at the 2018 APSA pre-conference on politics and computational social science for their helpful comments and suggestions; to SMaPP Global for making our collaboration possible; to the Stanford King Center on Global Poverty and Development and the National Science Foundation (Award #1647450) for research support. We would also like to thank Twitter for providing us with access to historical data as well as Steve Eglash for facilitating this access. Replication files are available at the American Political Science Review Dataverse: https://doi.org/10.7910/DVN/9AMKHL.</t>
  </si>
  <si>
    <t>PII S0003055419000650</t>
  </si>
  <si>
    <t>10.1017/S0003055419000650</t>
  </si>
  <si>
    <t>JY7CQ</t>
  </si>
  <si>
    <t>WOS:000504568700008</t>
  </si>
  <si>
    <t>Moschella, M; Pinto, L; Diodati, NM</t>
  </si>
  <si>
    <t>Moschella, Manuela; Pinto, Luca; Martocchia Diodati, Nicola</t>
  </si>
  <si>
    <t>Let's speak more? How the ECB responds to public contestation</t>
  </si>
  <si>
    <t>ECB; legitimacy; politicisation; communication; central banking; public opinion</t>
  </si>
  <si>
    <t>EUROPEAN CENTRAL BANK; CRISIS; POLICY; LEGITIMACY; TRUST; COMMUNICATION; CONFIDENCE; GOVERNMENT; LEADERSHIP; DEMOCRACY</t>
  </si>
  <si>
    <t>Although the post-crisis politicisation of the ECB is widely acknowledged, little empirical evidence exists about how this important non-majoritarian institution has responded to public contestation. This article starts filling this gap by investigating whether and how public opinion affects ECB communication. Based on automated text analysis of the speeches delivered by Executive Board members (2001-2017), the article shows that negative public opinion is associated with an expansion of the scope of ECB communication and a reduction in the salience attributed to monetary policy issues. These results challenge the view according to which the ECB conceives of its sources of legitimation based almost exclusive on the achievement of its mandate. In particular, our findings suggest that increased politicisation leads the ECB to reassess the sources of its legitimation strategy from a strategy based on output achievement towards one based on participation to broader policy debates.</t>
  </si>
  <si>
    <t>[Moschella, Manuela; Martocchia Diodati, Nicola] Scuola Normale Super, Fac Polit &amp; Social Sci, Florence, Italy; [Pinto, Luca] Univ Bologna, Dept Polit &amp; Social Sci, Bologna, Italy</t>
  </si>
  <si>
    <t>Scuola Normale Superiore di Pisa; University of Bologna</t>
  </si>
  <si>
    <t>Moschella, M (corresponding author), Scuola Normale Super, Fac Polit &amp; Social Sci, Florence, Italy.</t>
  </si>
  <si>
    <t>manuela.moschella@sns.it</t>
  </si>
  <si>
    <t>pinto, luca/W-7268-2019</t>
  </si>
  <si>
    <t>pinto, luca/0000-0003-1165-4475; Moschella, Manuela/0000-0002-3159-9533; Martocchia Diodati, Nicola/0000-0003-4743-8918</t>
  </si>
  <si>
    <t>Italian Ministry of Education, SIR Grant 2014 'Unconventional Central Banks: Making Monetary Policy in Hard Times' [RBSI14KCWY]</t>
  </si>
  <si>
    <t>Italian Ministry of Education, SIR Grant 2014 'Unconventional Central Banks: Making Monetary Policy in Hard Times'</t>
  </si>
  <si>
    <t>This work was supported by Italian Ministry of Education, SIR Grant 2014 'Unconventional Central Banks: Making Monetary Policy in Hard Times' [RBSI14KCWY].</t>
  </si>
  <si>
    <t>10.1080/13501763.2020.1712457</t>
  </si>
  <si>
    <t>KO8JP</t>
  </si>
  <si>
    <t>WOS:000515794300005</t>
  </si>
  <si>
    <t>Brandle, VK; Eisele, O</t>
  </si>
  <si>
    <t>Brandle, Verena K.; Eisele, Olga</t>
  </si>
  <si>
    <t>A Thin Line: Governmental Border Communication in Times of European Crises</t>
  </si>
  <si>
    <t>JCMS-JOURNAL OF COMMON MARKET STUDIES</t>
  </si>
  <si>
    <t>borders; crisis; government communication; Europe; latent semantic scaling; qualitative analysis</t>
  </si>
  <si>
    <t>In response to the recent crises in Europe, many governments have tightened their border controls despite considerable criticism from the EU Commission and civil society. While borders are at the core of recent crises, we lack systematic evidence of how governments publicly inform about border politics and justify measures. Therefore, we ask: How do EU governments communicate about borders? We analyze a comprehensive sample of press releases of the Austrian and German governments over 12 years (2009-2020). Applying a mixed-methods design, we employ automated text analysis, specifically latent semantic scaling (LSX) to scale documents regarding how they communicated permeability (openness and closedness) of borders and the state of affairs regarding a state of crisis and routine. Based on this quantitative analysis, we then apply qualitative text analysis to explore the nuances and patterns of this communication to gain in-depth insights into governmental stances about borders.</t>
  </si>
  <si>
    <t>[Brandle, Verena K.; Eisele, Olga] Univ Vienna, Dept Commun, Vienna, Austria</t>
  </si>
  <si>
    <t>Brandle, VK (corresponding author), Univ Vienna, Dept Commun, Vienna, Austria.</t>
  </si>
  <si>
    <t>verena.k.braendle@univie.ac.at</t>
  </si>
  <si>
    <t>Brandle, Verena/0000-0002-4084-8538; Eisele, Olga/0000-0002-6604-3498</t>
  </si>
  <si>
    <t>Independent Research Fund Denmark [9570-00009]; Austrian Science Fund [T-989]</t>
  </si>
  <si>
    <t>Independent Research Fund Denmark; Austrian Science Fund(Austrian Science Fund (FWF))</t>
  </si>
  <si>
    <t>The authors would like to thank the three anonymous reviewers for their invaluable feedback and the participants of the panel `Shifting dynamics of politicization? Exploring the effects, and interactions of recent crises on the migration policy field' at the ECPR General Conference 2021 for helpful comments and suggestions on earlier drafts of this article. This work was supported by the Independent Research Fund Denmark, Grant-No. 9570-00009 (Verena K. Brandle) and the Austrian Science Fund, GANo. T-989 (Olga Eisele).</t>
  </si>
  <si>
    <t>0021-9886</t>
  </si>
  <si>
    <t>1468-5965</t>
  </si>
  <si>
    <t>JCMS-J COMMON MARK S</t>
  </si>
  <si>
    <t>JCMS-J. Common Mark. Stud.</t>
  </si>
  <si>
    <t>10.1111/jcms.13398</t>
  </si>
  <si>
    <t>3U0JT</t>
  </si>
  <si>
    <t>WOS:000840657100001</t>
  </si>
  <si>
    <t>Deceptive (De)humanization: How Lying About Perceived Outgroups is Revealed in Language</t>
  </si>
  <si>
    <t>dehumanization; deception; impression management; language; automated text analysis</t>
  </si>
  <si>
    <t>DEHUMANIZATION; SELF; METAPHORS; PREJUDICE; LIE; COMMUNICATION; WORDS; CUES</t>
  </si>
  <si>
    <t>This paper introduces the concept of deceptive (de)humanization, the internal belief that an outgroup is less-than-human while dishonestly acknowledging aspects of their humanity for impression management purposes. In a large online experiment (N = 1,169), participants wrote about their false or truthful opinions on an outgroup they perceived as more evolved or less evolved. Following several automated text analyses, the data indicated psychological differences in attention through word patterns. Consistent with prior work, deceptive texts contained fewer self-references and more negative emotion terms than truthful texts, and dehumanizers used more negative emotions than humanizers. New evidence suggests those who wrote deceptively about evolved groups focused the most on negative emotions compared to other participants. This work extends deception and dehumanization theory by investigating how such psychological constructs interact, and how they are reflected linguistically as communicators attempt to manage impressions and maintain a positive self-image.</t>
  </si>
  <si>
    <t>[Markowitz, David M.] Univ Oregon, Sch Journalism &amp; Commun, Eugene, OR 97403 USA</t>
  </si>
  <si>
    <t>Center for Science Communication Research at the University of Oregon</t>
  </si>
  <si>
    <t>The author disclosed receipt of the following financial support for the research, authorship, and/or publication of this article: This work was supported by the Center for Science Communication Research at the University of Oregon.</t>
  </si>
  <si>
    <t>10.1177/0261927X221117497</t>
  </si>
  <si>
    <t>3N1QF</t>
  </si>
  <si>
    <t>WOS:000835927800001</t>
  </si>
  <si>
    <t>Johannessen, PG</t>
  </si>
  <si>
    <t>Johannessen, Peter G.</t>
  </si>
  <si>
    <t>Linkage Switches in Local Elections: Evidence From the Workers' Party in Brazil</t>
  </si>
  <si>
    <t>COMPARATIVE POLITICAL STUDIES</t>
  </si>
  <si>
    <t>political parties; Latin American politics; subnational politics; representation and electoral systems; decentralization</t>
  </si>
  <si>
    <t>REGRESSION DISCONTINUITY DESIGN; DEMOCRACY; RESPONSIVENESS; CREDIBILITY; POLITICIANS; CITIZENS; CAPTURE</t>
  </si>
  <si>
    <t>How do politicians from programmatic parties govern when their programmatic commitments are inconsistent with voters' expectations? This article demonstrates that anticipated electoral pressures can lead politicians from programmatic parties to resemble those from nonprogrammatic parties. When politicians from programmatic parties believe that voters will evaluate their performance using nonprogrammatic criteria, they engage in linkage switches: They initially campaign on programmatic platforms, but prioritize nonprogrammatic actions in office. I support this claim with evidence from Brazilian municipalities (1996-2012), where the Workers' Party (PT) employed programmatic appeals in an otherwise nonprogrammatic political context. Using a regression discontinuity design and the semi-automated text analysis of campaign platforms, I demonstrate that PT mayors initially ran on programmatic platforms, but once in office, they responded to anticipated electoral pressures by prioritizing actions that were inconsistent with the party's programmatic orientation.</t>
  </si>
  <si>
    <t>[Johannessen, Peter G.] Harvard Univ, Ash Ctr Democrat Governance &amp; Innovat, Kennedy Sch Govt, Cambridge, MA 02138 USA</t>
  </si>
  <si>
    <t>Harvard University</t>
  </si>
  <si>
    <t>Johannessen, PG (corresponding author), Harvard Kennedy Sch, Ash Ctr Democrat Governance &amp; Innovat, 74 John F Kennedy St, Cambridge, MA 02138 USA.</t>
  </si>
  <si>
    <t>pgjohanne@gmail.com</t>
  </si>
  <si>
    <t>Kellogg Institute for International Studies at the University of Notre Dame; Ash Center for Democratic Governance and Innovation at the Harvard Kennedy School; Mamdouha S. Bobst Center for Peace and Justice at Princeton University</t>
  </si>
  <si>
    <t>The author disclosed receipt of the following financial support for the research, authorship, and/or publication of this article: This research was supported by funding from the Kellogg Institute for International Studies at the University of Notre Dame; the Ash Center for Democratic Governance and Innovation at the Harvard Kennedy School; and the Mamdouha S. Bobst Center for Peace and Justice at Princeton University.</t>
  </si>
  <si>
    <t>0010-4140</t>
  </si>
  <si>
    <t>1552-3829</t>
  </si>
  <si>
    <t>COMP POLIT STUD</t>
  </si>
  <si>
    <t>Comp. Polit. Stud.</t>
  </si>
  <si>
    <t>10.1177/0010414019843567</t>
  </si>
  <si>
    <t>JR6ZA</t>
  </si>
  <si>
    <t>WOS:000499769800004</t>
  </si>
  <si>
    <t>Groves, T; Figuerola, CG; Quintanilla, MA</t>
  </si>
  <si>
    <t>Groves, Tamar; Figuerola, Carlos G.; Quintanilla, Miguel A.</t>
  </si>
  <si>
    <t>Ten years of science news: A longitudinal analysis of scientific culture in the Spanish digital press</t>
  </si>
  <si>
    <t>automatic classification; media and science; public understanding of science; science and popular culture; science communication; science journalism; text clustering</t>
  </si>
  <si>
    <t>COVERAGE; ISSUES; PUS</t>
  </si>
  <si>
    <t>This article presents our study of science coverage in the digital Spanish press over the last decade. We employed automated information retrieval procedures to create a corpus of 50,763 text units dealing with science and technology, and used automated text-analysis procedures in order to provide a general picture of the structure, characteristics and evolution of science news in Spain. We found between 6% and 7% of science coverage, a clear high proportion of biomedicine and predominance of science over technology, although we also detected an increase in technological content during the second half of the decade. Analysing the extrinsic and intrinsic features of science culture, we found a predominance of intrinsic features that still need further analysis. Our attempt to use specialised software to examine big data was effective, and allowed us to reach these preliminary conclusions.</t>
  </si>
  <si>
    <t>[Groves, Tamar; Figuerola, Carlos G.; Quintanilla, Miguel A.] Univ Salamanca, Inst Sci &amp; Technol Studies, Edificio I D I,C Espejo 2, Salamanca 37007, Spain; [Figuerola, Carlos G.] Univ Salamanca, Dept Comp Sci, Salamanca, Spain; [Quintanilla, Miguel A.] Univ Salamanca, Log &amp; Philosophy Sci, Salamanca, Spain</t>
  </si>
  <si>
    <t>University of Salamanca; University of Salamanca; University of Salamanca</t>
  </si>
  <si>
    <t>Quintanilla, MA (corresponding author), Univ Salamanca, Inst Sci &amp; Technol Studies, Edificio I D I,C Espejo 2, Salamanca 37007, Spain.</t>
  </si>
  <si>
    <t>maquinta@gmail.com</t>
  </si>
  <si>
    <t>Groves, Tamar/AAD-6305-2019; Figuerola, Carlos/N-1459-2018; Quintanilla, Miguel A./ABH-5954-2020; Groves, Tamar/E-2554-2018</t>
  </si>
  <si>
    <t>Groves, Tamar/0000-0002-0494-6085; Figuerola, Carlos/0000-0001-6799-2874; Groves, Tamar/0000-0002-0494-6085; Quintanilla Fisac, Miguel A/0000-0002-5692-2077; Quintanilla, Miguel Angel/0000-0002-8269-6851</t>
  </si>
  <si>
    <t>Spanish Ministry of Science and Innovation [FFI2011-2776]</t>
  </si>
  <si>
    <t>Spanish Ministry of Science and Innovation(Ministry of Science and Innovation, Spain (MICINN)Spanish Government)</t>
  </si>
  <si>
    <t>This research has been funded by the Spanish Ministry of Science and Innovation FFI2011-2776.</t>
  </si>
  <si>
    <t>10.1177/0963662515576864</t>
  </si>
  <si>
    <t>DU8RO</t>
  </si>
  <si>
    <t>WOS:000382481800004</t>
  </si>
  <si>
    <t>Windsor, LC</t>
  </si>
  <si>
    <t>Windsor, Leah Cathryn</t>
  </si>
  <si>
    <t>Advancing Interdisciplinary Work in Computational Communication Science</t>
  </si>
  <si>
    <t>text analysis; computational communication science; interdisciplinary</t>
  </si>
  <si>
    <t>AUTHORS CONTRIBUTIONS; COHESION; GENDER; CULTURE; TEXT</t>
  </si>
  <si>
    <t>In this paper I discuss the interdisciplinarity of computational communication science. I draw on my own experiences leading a multi-disciplinary lab that broadly studies multimodal communication. Scholars are increasingly using text-as-data methods for social science inquiry, driving a need for more training and professionalization of computational political communication as a sub-field. Text-as-data methods are largely borrowed from other disciplines such as linguistics and computer science, but sustained, institutionalized collaboration between scholars in different departments is still somewhat rare. Using the concept of cohesion as an example, I describe how multiple disciplines interpret and operationalize the same term in different ways. Finally, I provide a list of challenges and lessons learned, including the logistics of running a lab, communicating and publishing across disciplines, implications of authorship sequence, and maintaining your own research profile while collaborating. I conclude by discussing the role of meaningful mentorship and future directions for interdisciplinary text analysis research.</t>
  </si>
  <si>
    <t>[Windsor, Leah Cathryn] Univ Memphis, Inst Intelligent Syst, 403B FedEx Inst Technol, Memphis, TN 38152 USA</t>
  </si>
  <si>
    <t>University of Memphis</t>
  </si>
  <si>
    <t>Windsor, LC (corresponding author), Univ Memphis, Inst Intelligent Syst, 403B FedEx Inst Technol, Memphis, TN 38152 USA.</t>
  </si>
  <si>
    <t>Leah.Windsor@memphis.edu</t>
  </si>
  <si>
    <t>Windsor, Leah/AAC-3255-2019</t>
  </si>
  <si>
    <t>Windsor, Leah/0000-0002-4311-1320</t>
  </si>
  <si>
    <t>10.1080/10584609.2020.1765915</t>
  </si>
  <si>
    <t>WOS:000542902800001</t>
  </si>
  <si>
    <t>Fesler, L; Dee, T; Baker, R; Evans, B</t>
  </si>
  <si>
    <t>Fesler, Lily; Dee, Thomas; Baker, Rachel; Evans, Brent</t>
  </si>
  <si>
    <t>Text as Data Methods for Education Research</t>
  </si>
  <si>
    <t>JOURNAL OF RESEARCH ON EDUCATIONAL EFFECTIVENESS</t>
  </si>
  <si>
    <t>text-as-data; equity; gender; field experiment; online education</t>
  </si>
  <si>
    <t>Recent advances in computational linguistics and the social sciences have created new opportunities for the education research community to analyze relevant large-scale text data. However, the take-up of these advances in education research is still nascent. In this article, we review the recent automated text methods relevant to educational processes and determinants. We discuss both lexical-based and supervised methods, which expand the scale of text that researchers can analyze, as well as unsupervised methods, which allow researchers to discover new themes in their data. To illustrate these methods, we analyze the text interactions from a field experiment in the discussion forums of online classes. Our application shows that respondents provide less assistance and discuss slightly different topics with the randomized female posters, but respond with similar levels of positive and negative sentiment. These results demonstrate that combining qualitative coding with machine learning techniques can provide for a rich understanding of text-based interactions.</t>
  </si>
  <si>
    <t>[Fesler, Lily; Dee, Thomas] Stanford Univ, Grad Sch Educ, 520 Galvez Mall,CERAS Bldg,5th Floor, Stanford, CA 94305 USA; [Baker, Rachel] Univ Calif Irvine, Sch Educ, Irvine, CA USA; [Evans, Brent] Vanderbilt Univ, Peabody Coll, Nashville, TN 37203 USA</t>
  </si>
  <si>
    <t>Stanford University; University of California System; University of California Irvine; Vanderbilt University; Vanderbilt University Peabody College</t>
  </si>
  <si>
    <t>Fesler, L (corresponding author), Stanford Univ, Grad Sch Educ, 520 Galvez Mall,CERAS Bldg,5th Floor, Stanford, CA 94305 USA.</t>
  </si>
  <si>
    <t>Ifesler@stanford.edu</t>
  </si>
  <si>
    <t>Dee, Thomas/0000-0001-7524-768X; Fesler, Lily/0000-0002-5631-5218</t>
  </si>
  <si>
    <t>Institute of Education Sciences [R305B140009]</t>
  </si>
  <si>
    <t>Institute of Education Sciences(US Department of EducationInstitute of Education Sciences (IES))</t>
  </si>
  <si>
    <t>This research was supported from a grant from the Institute of Education Sciences [Award No. R305B140009].</t>
  </si>
  <si>
    <t>1934-5747</t>
  </si>
  <si>
    <t>1934-5739</t>
  </si>
  <si>
    <t>J RES EDUC EFF</t>
  </si>
  <si>
    <t>J. Res. Educ. Eff.</t>
  </si>
  <si>
    <t>10.1080/19345747.2019.1634168</t>
  </si>
  <si>
    <t>QK9NB</t>
  </si>
  <si>
    <t>WOS:000620703800008</t>
  </si>
  <si>
    <t>Gennaro, A; Kipp, S; Viol, K; de Felice, G; Andreassi, S; Aichhorn, W; Salvatore, S; Schiepek, G</t>
  </si>
  <si>
    <t>Gennaro, Alessandro; Kipp, Sylvia; Viol, Kathrin; de Felice, Giulio; Andreassi, Silvia; Aichhorn, Wolfgang; Salvatore, Sergio; Schiepek, Gunter</t>
  </si>
  <si>
    <t>A Phase Transition of the Unconscious: Automated Text Analysis of Dreams in Psychoanalytic Psychotherapy</t>
  </si>
  <si>
    <t>text analysis; dream analysis; psychotherapy process; meaning; phase transition</t>
  </si>
  <si>
    <t>EMOTION-ABSTRACTION PATTERNS; CLIENT-THERAPIST INTERACTION; CHAOTIC PROCESS; TIME-SERIES; DYNAMICS; SENSE; MODEL</t>
  </si>
  <si>
    <t>Aim Psychotherapy could be interpreted as a self-organizing process which reveals discontinuous pattern transitions (so-called phase transitions). Whereas this was shown in the conscious process of awake patients by different measures and at different time scales, dreams came very seldom into the focus of investigation. The present work tests the hypothesis that, by dreaming, the patient gets progressively more access to affective-laden (i.e., emotionally charged) unconscious dimensions. Furthermore, the study investigates if, over the course of psychotherapy, a discontinuous phase transition occurs in the patient's capacity to get in contact with those unconscious dimensions. Methods and Procedures A series of 95 dream narratives reported during a psychoanalytic psychotherapy of a female patient (published as the dreams of Amalie X) was used for analysis. An automated text analysis procedure based on multiple correspondence analysis was applied to the textual corpus of the dreams, highlighting a 10-factor structure. The factors, interpreted as affective-laden unconscious meaning dimensions, were adopted to define a 10-dimensional phase space, in which the ability of a dream to be associated with one or more local factors representing complex affective-laden meanings is measured by the Euclidean distance (ED) from the origin of this hyperspace. The obtained ED time series has been fitted by an autoregressive integrated moving average (ARIMA) model and by non linear methods like dynamic complexity, recurrence plot, and time frequency distribution. Change point analysis was applied to these non linear methods. Results The results show an increased frequency and intensity of dreams to get access to affective-laden meanings. Non linear methods identified a phase transition-like jump of the ED dynamics onto a higher complexity level of the dreaming process, suggesting a non linear process in the patient's capacity to get in contact with unconscious dimensions. Conclusion The study corroborates the hypothesis that, by dreaming, the patient gets progressively more access to affective-laden meaning intended as unconscious dimensions. The trajectory of this process has been reproduced by an ARIMA model, and beyond this, non linear methods of time series analysis allowed the identification of a phase transition in the unconscious process of the psychoanalytic therapy under investigation.</t>
  </si>
  <si>
    <t>[Gennaro, Alessandro; de Felice, Giulio; Andreassi, Silvia; Salvatore, Sergio] Sapienza Univ Rome, Dept Dynam &amp; Clin Psychol, Rome, Italy; [Kipp, Sylvia] Univ Appl Sci Econ &amp; Management, Inst Hlth &amp; Social Relat, FOM, Essen, Germany; [Viol, Kathrin; Aichhorn, Wolfgang; Schiepek, Gunter] Paracelsus Med Univ, Univ Hosp Psychiat Psychotherapy &amp; Psychosomat, Inst Synerget &amp; Psychotherapy Res, Salzburg, Austria; [de Felice, Giulio] NCIUL Univ, Fac Psychol, London, England; [Schiepek, Gunter] Ludwig Maximilians Univ Munchen, Dept Psychol, Munich, Germany</t>
  </si>
  <si>
    <t>Sapienza University Rome; Paracelsus Private Medical University; University of Munich</t>
  </si>
  <si>
    <t>Kipp, S (corresponding author), Univ Appl Sci Econ &amp; Management, Inst Hlth &amp; Social Relat, FOM, Essen, Germany.</t>
  </si>
  <si>
    <t>info@drkipp.de</t>
  </si>
  <si>
    <t>salvatore, sergio/AAB-3177-2021; Gennaro, Alessandro/HDO-0897-2022</t>
  </si>
  <si>
    <t>salvatore, sergio/0000-0002-4583-8478; Gennaro, Alessandro/0000-0003-3138-9875; Aichhorn, Wolfgang/0000-0001-5168-4199</t>
  </si>
  <si>
    <t>AUG 12</t>
  </si>
  <si>
    <t>10.3389/fpsyg.2020.01667</t>
  </si>
  <si>
    <t>NI3WY</t>
  </si>
  <si>
    <t>Green Accepted, gold, Green Published</t>
  </si>
  <si>
    <t>WOS:000565287600001</t>
  </si>
  <si>
    <t>van Atteveldt, W; van der Velden, MACG; Boukes, M</t>
  </si>
  <si>
    <t>van Atteveldt, Wouter; van der Velden, Mariken A. C. G.; Boukes, Mark</t>
  </si>
  <si>
    <t>The Validity of Sentiment Analysis:Comparing Manual Annotation, Crowd-Coding, Dictionary Approaches, and Machine Learning Algorithms</t>
  </si>
  <si>
    <t>Sentiment Analysis; Manual Annotation; Automated Approaches; Measurement; Validity; Evaluation</t>
  </si>
  <si>
    <t>Sentiment is central to many studies of communication science, from negativity and polarization in political communication to analyzing product reviews and social media comments in other sub-fields. This study provides an exhaustive comparison of sentiment analysis methods, using a validation set of Dutch economic headlines to compare the performance of manual annotation, crowd coding, numerous dictionaries and machine learning using both traditional and deep learning algorithms. The three main conclusions of this article are that: (1) The best performance is still attained with trained human or crowd coding; (2) None of the used dictionaries come close to acceptable levels of validity; and (3) machine learning, especially deep learning, substantially outperforms dictionary-based methods but falls short of human performance. From these findings, we stress the importance of always validating automatic text analysis methods before usage. Moreover, we provide a recommended step-by-step approach for (automated) text analysis projects to ensure both efficiency and validity.</t>
  </si>
  <si>
    <t>[van Atteveldt, Wouter; van der Velden, Mariken A. C. G.] Vrije Univ Amsterdam, Dept Commun Sci, Amsterdam, Netherlands; [Boukes, Mark] Univ Amsterdam, Amsterdam Sch Commun Res ASCoR, Dept Commun Sci, Amsterdam, Netherlands</t>
  </si>
  <si>
    <t>Vrije Universiteit Amsterdam; University of Amsterdam</t>
  </si>
  <si>
    <t>van Atteveldt, W (corresponding author), Boelelaan 1105, NL-1081 HV Amsterdam, Netherlands.</t>
  </si>
  <si>
    <t>wouter@vanatteveldt.com</t>
  </si>
  <si>
    <t>Boukes, Mark/K-5090-2014; van Atteveldt, Wouter/L-8685-2013</t>
  </si>
  <si>
    <t>Boukes, Mark/0000-0002-3377-6281; van Atteveldt, Wouter/0000-0003-1237-538X</t>
  </si>
  <si>
    <t>Nederlandse Organisatie voor Wetenschappelijk Onderzoek [VI.Veni.191R.006]; Netherlands Organisation for Scientific Research (NWO) [016.145.369]</t>
  </si>
  <si>
    <t>Nederlandse Organisatie voor Wetenschappelijk Onderzoek(Netherlands Organization for Scientific Research (NWO)European Commission); Netherlands Organisation for Scientific Research (NWO)(Netherlands Organization for Scientific Research (NWO))</t>
  </si>
  <si>
    <t>This work was supported by the Nederlandse Organisatie voor Wetenschappelijk Onderzoek [VI.Veni.191R.006]. The manually annotated data used in this article was collected with support by the Netherlands Organisation for Scientific Research (NWO) with a VIDI grant under project number: 016.145.369.</t>
  </si>
  <si>
    <t>10.1080/19312458.2020.1869198</t>
  </si>
  <si>
    <t>SM3KK</t>
  </si>
  <si>
    <t>WOS:000614541400001</t>
  </si>
  <si>
    <t>Marchetti, K; O'Connell, D</t>
  </si>
  <si>
    <t>Marchetti, Kathleen; O'Connell, David</t>
  </si>
  <si>
    <t>Catholic Politicians and the Politics of Abortion Position Taking</t>
  </si>
  <si>
    <t>POLITICS AND RELIGION</t>
  </si>
  <si>
    <t>VOTING-BEHAVIOR; US SENATE; REPRESENTATION; WOMEN; LEGISLATION; ATTITUDES; SPEECHES; RELIGION; KERRY; WORDS</t>
  </si>
  <si>
    <t>Four decades after the Court's landmark decision in Roe v. Wade, the issue of abortion persists as a point of contention for elected officials. The Catholic Church has taken a leading role in the pro-life movement, putting many Catholic representatives in a difficult position as they can be cross-pressured by their party, their constituents, and their own beliefs. Given these pressures, how do Catholic legislators explain their positions on abortion? We address this question via an analysis of public statements about abortion made by Catholic representatives and senators in the 108th Congress. We examine which members comment on abortion and use automated text analysis to measure legislators' certainty and use of moral and religious terms when discussing abortion. Multivariate analysis shows that gender, ethnicity, and an interaction between a member's position on abortion and the number of Catholics in their constituency shape how Catholic legislators discuss abortion.</t>
  </si>
  <si>
    <t>[Marchetti, Kathleen; O'Connell, David] Dickinson Coll, Polit Sci, Carlisle, PA 17013 USA</t>
  </si>
  <si>
    <t>Dickinson College</t>
  </si>
  <si>
    <t>Marchetti, K; O'Connell, D (corresponding author), Dickinson Coll, Dept Polit Sci, POB 1773, Carlisle, PA 17013 USA.</t>
  </si>
  <si>
    <t>marchetk@dickinson.edu; oconneld@dickinson.edu</t>
  </si>
  <si>
    <t>1755-0483</t>
  </si>
  <si>
    <t>1755-0491</t>
  </si>
  <si>
    <t>POLIT RELIG</t>
  </si>
  <si>
    <t>Polit. Relig.</t>
  </si>
  <si>
    <t>10.1017/S1755048317000530</t>
  </si>
  <si>
    <t>Political Science; Religion</t>
  </si>
  <si>
    <t>GG3MK</t>
  </si>
  <si>
    <t>WOS:000432595700003</t>
  </si>
  <si>
    <t>Pantano, E</t>
  </si>
  <si>
    <t>Pantano, Eleonora</t>
  </si>
  <si>
    <t>When a luxury brand bursts: Modelling the social media viral effects of negative stereotypes adoption leading to brand hate</t>
  </si>
  <si>
    <t>Social burst; Information diffusion; Brand management; Luxury branding; Brand hate; Infodemic</t>
  </si>
  <si>
    <t>AUTOMATED TEXT ANALYSIS; CONSUMERS; INFORMATION; INFLUENCERS; INSTAGRAM; KNOWLEDGE; SENTIMENT; ENGAGE; NUMBER; IMPACT</t>
  </si>
  <si>
    <t>In early 2020, the World Health Organization (WHO) developed the term infodemic to describe the velocity at which data can be exchanged among people, in a free virtual space where firms have limited control over the information diffusion. In particular, the diffusion of information on social media has analogies with the transmission (contagion) of social phenomena and infectious diseases. The aim of this research is to model the viral effects of a luxury marketing campaign when adopting negative stereotypes to increase the market share in a growing market. The campaign generated 506,127 likes of celebrity endorsers/influencers and 17,984 comments spread worldwide in a relatively short period, producing a burst. Findings revealed the unexpected social burst occurred with negative consumers' evaluation, which has been amplified becoming dramatically damaging for the brand (brand hate).</t>
  </si>
  <si>
    <t>[Pantano, Eleonora] Univ Bristol, Sch Management, Off HH4-11,Queens Ave, Bristol BS8 1SD, Avon, England</t>
  </si>
  <si>
    <t>University of Bristol</t>
  </si>
  <si>
    <t>Pantano, E (corresponding author), Univ Bristol, Sch Management, Off HH4-11,Queens Ave, Bristol BS8 1SD, Avon, England.</t>
  </si>
  <si>
    <t>10.1016/j.jbusres.2020.09.049</t>
  </si>
  <si>
    <t>PG2VH</t>
  </si>
  <si>
    <t>WOS:000599598200012</t>
  </si>
  <si>
    <t>Sinha, A; Malo, P; Deb, K</t>
  </si>
  <si>
    <t>Sinha, Ankur; Malo, Pekka; Deb, Kalyanmoy</t>
  </si>
  <si>
    <t>A Review on Bilevel Optimization: From Classical to Evolutionary Approaches and Applications</t>
  </si>
  <si>
    <t>IEEE TRANSACTIONS ON EVOLUTIONARY COMPUTATION</t>
  </si>
  <si>
    <t>Bilevel optimization; evolutionary algorithms; Stackelberg games</t>
  </si>
  <si>
    <t>OPTIMALITY CONDITIONS; MATHEMATICAL PROGRAMS; FACILITY LOCATION; ALGORITHM; MODEL; DESIGN; DECOMPOSITION; EFFICIENT; NETWORKS</t>
  </si>
  <si>
    <t>Bilevel optimization is defined as a mathematical program, where an optimization problem contains another optimization problem as a constraint. These problems have received significant attention from the mathematical programming community. Only limited work exists on bilevel problems using evolutionary computation techniques; however, recently there has been an increasing interest due to the proliferation of practical applications and the potential of evolutionary algorithms in tackling these problems. This paper provides a comprehensive review on bilevel optimization from the basic principles to solution strategies; both classical and evolutionary. A number of potential application problems are also discussed. To offer the readers insights on the prominent developments in the field of bilevel optimization, we have performed an automated text-analysis of an extended list of papers published on bilevel optimization to date. This paper should motivate evolutionary computation researchers to pay more attention to this practical yet challenging area.</t>
  </si>
  <si>
    <t>[Sinha, Ankur] Indian Inst Management, Dept Prod &amp; Quantitat Methods, Ahmadabad 380015, Gujarat, India; [Malo, Pekka] Aalto Univ, Dept Informat &amp; Serv Econ, Sch Business, Aalto 00076, Finland; [Deb, Kalyanmoy] Michigan State Univ, Dept Elect &amp; Comp Engn, E Lansing, MI 48824 USA</t>
  </si>
  <si>
    <t>Indian Institute of Management (IIM System); Indian Institute of Management Ahmedabad; Aalto University; Michigan State University</t>
  </si>
  <si>
    <t>Deb, K (corresponding author), Michigan State Univ, Dept Elect &amp; Comp Engn, E Lansing, MI 48824 USA.</t>
  </si>
  <si>
    <t>asinha@iimahd.ernet.in; pekka.malo@aalto.fi; kdeb@egr.msu.edu</t>
  </si>
  <si>
    <t>Malo, Pekka/G-2348-2013</t>
  </si>
  <si>
    <t>Liikesivistysrahasto; Helsinki School of Economics Foundation; NSF Beacon Center [DBI-0939454]</t>
  </si>
  <si>
    <t>Liikesivistysrahasto; Helsinki School of Economics Foundation; NSF Beacon Center</t>
  </si>
  <si>
    <t>The work of A. Sinha was supported in part by the Liikesivistysrahasto and Helsinki School of Economics Foundation, and in part by Koenig Endowed Chair Professorship. The work of P. Malo was supported by the Liikesivistysrahasto and Helsinki School of Economics Foundation. The work of K. Deb was supported by NSF Beacon Center under Cooperative Grant DBI-0939454.</t>
  </si>
  <si>
    <t>IEEE-INST ELECTRICAL ELECTRONICS ENGINEERS INC</t>
  </si>
  <si>
    <t>PISCATAWAY</t>
  </si>
  <si>
    <t>445 HOES LANE, PISCATAWAY, NJ 08855-4141 USA</t>
  </si>
  <si>
    <t>1089-778X</t>
  </si>
  <si>
    <t>1941-0026</t>
  </si>
  <si>
    <t>IEEE T EVOLUT COMPUT</t>
  </si>
  <si>
    <t>IEEE Trans. Evol. Comput.</t>
  </si>
  <si>
    <t>10.1109/TEVC.2017.2712906</t>
  </si>
  <si>
    <t>GB4OD</t>
  </si>
  <si>
    <t>Green Submitted, hybrid</t>
  </si>
  <si>
    <t>WOS:000429039100007</t>
  </si>
  <si>
    <t>Haselmayer, M; Jenny, M</t>
  </si>
  <si>
    <t>Haselmayer, Martin; Jenny, Marcelo</t>
  </si>
  <si>
    <t>Sentiment analysis of political communication: combining a dictionary approach with crowdcoding</t>
  </si>
  <si>
    <t>Sentiment analysis; Crowdcoding; Political communication; Negative campaigning; Media negativity</t>
  </si>
  <si>
    <t>STRENGTH DETECTION; POLICY POSITIONS; BAD-NEWS; NEGATIVITY; TEXT; WORDS</t>
  </si>
  <si>
    <t>Sentiment is important in studies of news values, public opinion, negative campaigning or political polarization and an explosive expansion of digital textual data and fast progress in automated text analysis provide vast opportunities for innovative social science research. Unfortunately, tools currently available for automated sentiment analysis are mostly restricted to English texts and require considerable contextual adaption to produce valid results. We present a procedure for collecting fine-grained sentiment scores through crowdcoding to build a negative sentiment dictionary in a language and for a domain of choice. The dictionary enables the analysis of large text corpora that resource-intensive hand-coding struggles to cope with. We calculate the tonality of sentences from dictionary words and we validate these estimates with results from manual coding. The results show that the crowdbased dictionary provides efficient and valid measurement of sentiment. Empirical examples illustrate its use by analyzing the tonality of party statements and media reports.</t>
  </si>
  <si>
    <t>[Haselmayer, Martin; Jenny, Marcelo] Univ Vienna, Dept Govt, Rooseveltpl 3-1, A-1090 Vienna, Austria</t>
  </si>
  <si>
    <t>Haselmayer, M (corresponding author), Univ Vienna, Dept Govt, Rooseveltpl 3-1, A-1090 Vienna, Austria.</t>
  </si>
  <si>
    <t>martin.haselmayer@univie.ac.at; marcelo.jenny@univie.ac.at</t>
  </si>
  <si>
    <t>Jenny, Marcelo/O-1343-2019; Haselmayer, Martin/AAC-6131-2020</t>
  </si>
  <si>
    <t>Jenny, Marcelo/0000-0003-1535-9094; Haselmayer, Martin/0000-0002-7765-5158</t>
  </si>
  <si>
    <t>Austrian National Election Study (AUTNES); National Research Network (NFN) - Austrian Science Fund (FWF) [S10903-G08, S10903-G11]; University of Vienna's Department of Social Sciences; University of Vienna</t>
  </si>
  <si>
    <t>Austrian National Election Study (AUTNES); National Research Network (NFN) - Austrian Science Fund (FWF)(Austrian Science Fund (FWF)); University of Vienna's Department of Social Sciences; University of Vienna</t>
  </si>
  <si>
    <t>Research for this paper was conducted under the auspices of the Austrian National Election Study (AUTNES), a National Research Network (NFN) sponsored by the Austrian Science Fund (FWF) (S10903-G08, S10903-G11). Additional funding was provided by the University of Vienna's Department of Social Sciences. Open access funding provided by University of Vienna.</t>
  </si>
  <si>
    <t>10.1007/s11135-016-0412-4</t>
  </si>
  <si>
    <t>FJ5RO</t>
  </si>
  <si>
    <t>WOS:000412810400013</t>
  </si>
  <si>
    <t>Iliev, R; Axelrod, R</t>
  </si>
  <si>
    <t>Iliev, Rumen; Axelrod, Robert</t>
  </si>
  <si>
    <t>Does Causality Matter More Now? Increase in the Proportion of Causal Language in English Texts</t>
  </si>
  <si>
    <t>PSYCHOLOGICAL SCIENCE</t>
  </si>
  <si>
    <t>causality; culture; automated text analysis; diachronic analysis; time series; open data</t>
  </si>
  <si>
    <t>CULTURAL-DIFFERENCES; COGNITION; ATTRIBUTION; METAANALYSIS; COVARIATION; AMERICAN; JUDGMENT; EVENTS</t>
  </si>
  <si>
    <t>The vast majority of the work on culture and cognition has focused on cross-cultural comparisons, largely ignoring the dynamic aspects of culture. In this article, we provide a diachronic analysis of causal cognition over time. We hypothesized that the increased role of education, science, and technology in Western societies should be accompanied by greater attention to causal connections. To test this hypothesis, we compared word frequencies in English texts from different time periods and found an increase in the use of causal language of about 40% over the past two centuries. The observed increase was not attributable to general language effects or to changing semantics of causal words. We also found that there was a consistent difference between the 19th and the 20th centuries, and that the increase happened mainly in the 20th century.</t>
  </si>
  <si>
    <t>[Iliev, Rumen; Axelrod, Robert] Univ Michigan, Ford Sch Publ Policy, Ann Arbor, MI 48109 USA</t>
  </si>
  <si>
    <t>University of Michigan System; University of Michigan</t>
  </si>
  <si>
    <t>Iliev, R (corresponding author), Stanford Univ, Dept Psychol, Jordan Hall,Bldg 01-420,Serra Mall 450, Stanford, CA 94305, Jordan.</t>
  </si>
  <si>
    <t>riliev@stanford.edu</t>
  </si>
  <si>
    <t>Air Force Office of Scientific Research [FA9550-10-1-0373]</t>
  </si>
  <si>
    <t>Air Force Office of Scientific Research(United States Department of DefenseAir Force Office of Scientific Research (AFOSR))</t>
  </si>
  <si>
    <t>This work was supported in part by Air Force Office of Scientific Research Grant FA9550-10-1-0373.</t>
  </si>
  <si>
    <t>0956-7976</t>
  </si>
  <si>
    <t>1467-9280</t>
  </si>
  <si>
    <t>PSYCHOL SCI</t>
  </si>
  <si>
    <t>Psychol. Sci.</t>
  </si>
  <si>
    <t>10.1177/0956797616630540</t>
  </si>
  <si>
    <t>DL6CK</t>
  </si>
  <si>
    <t>WOS:000375725700004</t>
  </si>
  <si>
    <t>Alpers, GW; Winzelberg, AJ; Classen, C; Roberts, H; Dev, P; Koopman, C; Taylor, CB</t>
  </si>
  <si>
    <t>Evaluation of computerized text analysis in an Internet breast cancer support group</t>
  </si>
  <si>
    <t>breast cancer; emotional writing; Internet; newsgroup; support group; text analysis</t>
  </si>
  <si>
    <t>STRUCTURED PSYCHIATRIC INTERVENTION; GROUP-THERAPY; HEALTH; ADJUSTMENT; SURVIVAL; RETRIEVAL; BENEFITS; MESSAGES; ONLINE; HUMANS</t>
  </si>
  <si>
    <t>Although support groups are widely available on the Internet, little is known about the conversations in them. We hypothesized that automatic text analysis may be a powerful tool helping to understand what is communicated in these groups. In an exploratory study, the postings of nine women participating in a semi-structured breast cancer support group program were analyzed with a human rater and with Pennebaker and Francis' text analysis software (LIWC). The computer scores on most of the selected word categories and human ratings were moderately correlated. This indicates concurrent validity of the LIWC. An indication for construct validity was found by comparing the LIWC scores of the on-line group with those of other texts. Automated text analysis should be further developed for on-line discussions where they may serve as a useful tool for group moderators and researchers. (C) 2004 Elsevier Ltd. All rights reserved.</t>
  </si>
  <si>
    <t>Stanford Univ, Sch Med, Behav Med Media Lab, Dept Psychiat &amp; Behav Sci, Stanford, CA 94305 USA; Univ Wurzburg, Dept Biol Psychol Clin Psychol &amp; Psychotherapy, D-97070 Wurzburg, Germany</t>
  </si>
  <si>
    <t>Stanford University; University of Wurzburg</t>
  </si>
  <si>
    <t>Alpers, GW (corresponding author), Stanford Univ, Sch Med, Behav Med Media Lab, Dept Psychiat &amp; Behav Sci, Stanford, CA 94305 USA.</t>
  </si>
  <si>
    <t>alpers@psychologie.uni-wuerzburg.de</t>
  </si>
  <si>
    <t>classen, catherine/AAQ-9601-2020</t>
  </si>
  <si>
    <t>Taylor, C. Barr/0000-0002-4564-6548; Alpers, Georg W./0000-0001-9896-5158</t>
  </si>
  <si>
    <t>10.1016/j.chb.2004.02.008</t>
  </si>
  <si>
    <t>887TY</t>
  </si>
  <si>
    <t>WOS:000226329600012</t>
  </si>
  <si>
    <t>Schwemmer, C; Wieczorek, O</t>
  </si>
  <si>
    <t>Schwemmer, Carsten; Wieczorek, Oliver</t>
  </si>
  <si>
    <t>The Methodological Divide of Sociology: Evidence from Two Decades of Journal Publications</t>
  </si>
  <si>
    <t>SOCIOLOGY-THE JOURNAL OF THE BRITISH SOCIOLOGICAL ASSOCIATION</t>
  </si>
  <si>
    <t>natural language processing; research methodology; scientometrics; sociology of science; sociology of Sociology</t>
  </si>
  <si>
    <t>RESEARCH COLLABORATION; SCIENCE; BOUNDARIES; CRISIS; MODEL</t>
  </si>
  <si>
    <t>Past research indicates that Sociology is a low-consensus discipline, where different schools of thought have distinct expectations about suitable scientific practices. This division of Sociology into different subfields is to a large extent related to methodology and choices between qualitative or quantitative research methods. Relying on theoretical constructs of the academic prestige economy, boundary demarcation and taste for research, we examine the methodological divide in generalist Sociology journals. Using automated text analysis for 8737 abstracts of articles published between 1995 and 2017, we discover evidence of this divide, but also of an entanglement between methodological choices and different research topics. Moreover, our results suggest a marginally increasing time trend for the publication of quantitative research in generalist journals. We discuss how this consolidation of methodological practices could enforce the entrenchment of different schools of thought, which ultimately reduces the potential for innovative and effective sociological research.</t>
  </si>
  <si>
    <t>[Schwemmer, Carsten] Univ Bamberg, Field Computat Social Sci, Bamberg, Germany; [Schwemmer, Carsten] Univ Bamberg, Chair Polit Sociol, Feldkirchenstr 21, D-96052 Bamberg, Germany; [Wieczorek, Oliver] Univ Bamberg, Chair Sociol, Especially Sociol Theory, Bamberg, Germany</t>
  </si>
  <si>
    <t>Otto Friedrich University Bamberg; Otto Friedrich University Bamberg; Otto Friedrich University Bamberg</t>
  </si>
  <si>
    <t>Schwemmer, C (corresponding author), Univ Bamberg, Chair Polit Sociol, Feldkirchenstr 21, D-96052 Bamberg, Germany.</t>
  </si>
  <si>
    <t>c.schwem2er@gmail.com</t>
  </si>
  <si>
    <t>Wieczorek, Oliver/ABC-8053-2020</t>
  </si>
  <si>
    <t>Wieczorek, Oliver/0000-0002-6504-0965; Schwemmer, Carsten/0000-0001-9084-946X</t>
  </si>
  <si>
    <t>0038-0385</t>
  </si>
  <si>
    <t>1469-8684</t>
  </si>
  <si>
    <t>SOCIOLOGY</t>
  </si>
  <si>
    <t>Sociol.-J. Brit. Sociol. Assoc.</t>
  </si>
  <si>
    <t>10.1177/0038038519853146</t>
  </si>
  <si>
    <t>Sociology</t>
  </si>
  <si>
    <t>KF0YQ</t>
  </si>
  <si>
    <t>WOS:000508978500001</t>
  </si>
  <si>
    <t>Corciolani, M; Nieri, F; Tuan, A</t>
  </si>
  <si>
    <t>Corciolani, Matteo; Nieri, Federica; Tuan, Annamaria</t>
  </si>
  <si>
    <t>Does involvement in corporate social irresponsibility affect the linguistic features of corporate social responsibility reports?</t>
  </si>
  <si>
    <t>corporate social responsibility (CSR); corporate social irresponsibility (CSIR); CSR report; social responsibility communication; internationalisation; linguistic style</t>
  </si>
  <si>
    <t>AUTOMATED TEXT ANALYSIS; INTERNATIONAL-BUSINESS; DISCLOSURES; WORDS; INFORMATION; MANAGEMENT</t>
  </si>
  <si>
    <t>Companies publish corporate social responsibility (CSR) reports to inform their stakeholders of their CSR efforts. However, the literature has shown that these reports can be used as a way to offset companies' involvement in corporate social irresponsibility (CSIR). By relying on a cognitive-linguistic perspective, we investigate whether firms respond to their own irresponsible business conduct by changing their CSR reports' linguistic features and, if so, how. We use a sample of 135 large corporations headquartered in developed countries between 1995 and 2014. An analysis of their CSR reports reveals that the more a firm is involved in irresponsible business conduct, the more likely it is to use narrative (instead of analytical) and deceptive (instead of authentic) language. Moreover, we show that these two trends are particularly evident for highly internationalised firms.</t>
  </si>
  <si>
    <t>[Corciolani, Matteo; Nieri, Federica] Univ Pisa, Dept Econ &amp; Management, Responsible Management Res Ctr, Via Ridolfi 10, I-56124 Pisa, Italy; [Tuan, Annamaria] Univ Bologna, Dept Management, Bologna, Italy</t>
  </si>
  <si>
    <t>University of Pisa; University of Bologna</t>
  </si>
  <si>
    <t>Nieri, F (corresponding author), Univ Pisa, Dept Econ &amp; Management, Responsible Management Res Ctr, Via Ridolfi 10, I-56124 Pisa, Italy.</t>
  </si>
  <si>
    <t>federica.nieri@for.unipi.it</t>
  </si>
  <si>
    <t>Tuan, Annamaria/ABD-4320-2020</t>
  </si>
  <si>
    <t>CORCIOLANI, MATTEO/0000-0003-4122-1638; Tuan, Annamaria/0000-0003-1471-3063; Nieri, Federica/0000-0002-6027-5933</t>
  </si>
  <si>
    <t>10.1002/csr.1832</t>
  </si>
  <si>
    <t>KR9HR</t>
  </si>
  <si>
    <t>WOS:000479972100001</t>
  </si>
  <si>
    <t>Markowitz, DM; Slovic, P</t>
  </si>
  <si>
    <t>Markowitz, David M.; Slovic, Paul</t>
  </si>
  <si>
    <t>Communicating Imperatives Requires Psychological Closeness But Creates Psychological Distance</t>
  </si>
  <si>
    <t>imperatives; psychological distance; automated text analysis; big text data</t>
  </si>
  <si>
    <t>LINGUISTIC MARKERS; LANGUAGE USE; SELF; WORDS; SEPTEMBER-11; CREDIBILITY; CULTURE; LIWC; CUES</t>
  </si>
  <si>
    <t>This article evaluates the psychological correlates of imperative speech through pronouns. We demonstrate that people communicate with more collective immediacy (we words) when using imperatives than nonimperatives in an experiment (Study 1, N = 828) and field studies of American politicians (Study 2a: N = 123,678 speeches), and Joseph Stalin (Study 2b: N = 593 speeches). However, respondents experience a psychological distancing effect after an imperative (fewer I words). This experimental pattern (Study 3: N = 852) also holds in the field using U.S. Supreme Court dissents from the Roberts Court (Study 4: N = 644). Exploratory findings suggest that third-person plural pronouns (they words) are used more when communicating imperative speech relative to nonimperative speech. Our evidence supports an interpersonal imperatives asymmetry: imperatives demand psychological support when communicating how the world must be, but they undermine the autonomy of respondents. Social and psychological implications of these data are discussed.</t>
  </si>
  <si>
    <t>[Markowitz, David M.] Univ Oregon, Sch Journalism &amp; Commun, Allen Hall, Eugene, OR 97403 USA; [Slovic, Paul] Univ Oregon, Psychol, Eugene, OR 97403 USA; [Slovic, Paul] Decis Res, Eugene, OR USA</t>
  </si>
  <si>
    <t>University of Oregon; University of Oregon</t>
  </si>
  <si>
    <t>0261927X20902816</t>
  </si>
  <si>
    <t>10.1177/0261927X20902816</t>
  </si>
  <si>
    <t>FEB 2020</t>
  </si>
  <si>
    <t>NE2TL</t>
  </si>
  <si>
    <t>WOS:000510628700001</t>
  </si>
  <si>
    <t>Parthasarathy, R; Rao, V; Palaniswamy, N</t>
  </si>
  <si>
    <t>Parthasarathy, Ramya; Rao, Vijayendra; Palaniswamy, Nethra</t>
  </si>
  <si>
    <t>Deliberative Democracy in an Unequal World: A Text-As-Data Study of South India's Village Assemblies</t>
  </si>
  <si>
    <t>GENDER; IMPACT</t>
  </si>
  <si>
    <t>This paper opens the black box of real-world deliberation by using text-as-data methods on a corpus of transcripts from the constitutionally mandated gram sabhas, or village assemblies, of rural India. Drawing on normative theories of deliberation, we identify empirical standards for good deliberation based on one's ability both to speak and to be heard, and use natural language processing methods to generate these measures. We first show that, even in the rural Indian context, these assemblies are not mere talking shops, but rather provide opportunities for citizens to challenge their elected officials, demand transparency, and provide information about local development needs. Second, we find that women are at a disadvantage relative to men; they are less likely to speak, set the agenda, and receive a relevant response from state officials. And finally, we show that quotas for women for village presidencies improve the likelihood that female citizens are heard.</t>
  </si>
  <si>
    <t>[Parthasarathy, Ramya] Stanford Univ, Dept Polit Sci, Stanford, CA 94305 USA; [Rao, Vijayendra] World Bank, Dev Res Grp, 1818 H St NW, Washington, DC 20433 USA; [Palaniswamy, Nethra] World Bank, Poverty Global Practice, 1818 H St NW, Washington, DC 20433 USA</t>
  </si>
  <si>
    <t>Stanford University; The World Bank; The World Bank</t>
  </si>
  <si>
    <t>Parthasarathy, R (corresponding author), Stanford Univ, Dept Polit Sci, Stanford, CA 94305 USA.</t>
  </si>
  <si>
    <t>ramyap1@alumni.stanford.edu; vrao@worldbank.org; npalaniswamy@worldbank.org</t>
  </si>
  <si>
    <t>UK Aid from the UK government; Australian Government's Department of Foreign Affairs and Trade; European Commission (EC) through the South Asia Food and Nutrition Security Initiative (SAFANSI)</t>
  </si>
  <si>
    <t>UK Aid from the UK government(CGIAR); Australian Government's Department of Foreign Affairs and Trade(Australian Government); European Commission (EC) through the South Asia Food and Nutrition Security Initiative (SAFANSI)(European Commission)</t>
  </si>
  <si>
    <t>This paper is a product of the World Bank's Social Observatory. Financial support from the contributions of (1) UK Aid from the UK government, (2) the Australian Government's Department of Foreign Affairs and Trade, and (3) the European Commission (EC) through the South Asia Food and Nutrition Security Initiative (SAFANSI), which is administered by the World Bank, is gratefully acknowledged. The authors are indebted to R. V. Shajeevana, the former Additional Project Director of the Pudhu Vaazhu Project, for her advice and assistance; Kevin Crockford and Samik Sundar Das for their support; and Madhulika Khanna, Nishtha Kochhar, Smriti Sakhamuri, G. Manivannan, and GFK-Mode for their help with the fieldwork. The authors also thank Avidit Acharya, Lisa Blaydes, Nick Eubank, Adriane Fresh, Justin Grimmer, David Laitin, Jeremy Weinstein, and participants of the Indian Political Economy working group in Washington, D.C., for comments and suggestions. The views expressed here do not necessarily reflect the UK, EC, or Australian government's official policies or the policies of the World Bank and its Board of Executive Directors. Replication files are available at the American Political Science Review Dataverse: https://doi.org/10.7910/DVN/NFZLI3.</t>
  </si>
  <si>
    <t>PII S0003055419000182</t>
  </si>
  <si>
    <t>10.1017/S0003055419000182</t>
  </si>
  <si>
    <t>II9CY</t>
  </si>
  <si>
    <t>WOS:000475493800001</t>
  </si>
  <si>
    <t>Ding, T; Pan, SM</t>
  </si>
  <si>
    <t>Majchrzak, TA; Traverso, P; Monfort, V; Krempels, KH</t>
  </si>
  <si>
    <t>Ding, Tao; Pan, Shimei</t>
  </si>
  <si>
    <t>An Empirical Study of the Effectiveness of using Sentiment Analysis Tools for Opinion Mining</t>
  </si>
  <si>
    <t>PROCEEDINGS OF THE 12TH INTERNATIONAL CONFERENCE ON WEB INFORMATION SYSTEMS AND TECHNOLOGIES, VOL 2 (WEBIST)</t>
  </si>
  <si>
    <t>12th International Conference on Web Information Systems and Technologies (WEBIST)</t>
  </si>
  <si>
    <t>APR 23-25, 2016</t>
  </si>
  <si>
    <t>Rome, ITALY</t>
  </si>
  <si>
    <t>Content Analysis; Sentiment Analysis; Performance Measure</t>
  </si>
  <si>
    <t>Sentiment analysis is increasingly used as a tool to gauge people's opinions on the internet. For example, sentiment analysis has been widely used in assessing people's opinions on hotels, products (e.g., books and consumer electronics), public policies, and political candidates. However, due to the complexity in automated text analysis, today's sentiment analysis tools are far from perfect. For example, many of them are good at detecting useful mood signals but inadequate in tracking and inferencing the relationships between different moods and different targets. As a result, if not used carefully, the results from sentiment analysis can be meaningless or even misleading. In this paper, we present an empirical analysis of the effectiveness of using existing sentiment analysis tools in assessing people's opinions in five different domains. We also proposed several effectiveness indicators that can be computed automatically to help avoid the potential pitfalls in misusing a sentiment analysis tool.</t>
  </si>
  <si>
    <t>[Ding, Tao; Pan, Shimei] Univ Maryland Baltimore Cty, Dept Informat Syst, 1000 Hilltop Cir, Baltimore, MD 21228 USA</t>
  </si>
  <si>
    <t>University System of Maryland; University of Maryland Baltimore County</t>
  </si>
  <si>
    <t>Ding, T (corresponding author), Univ Maryland Baltimore Cty, Dept Informat Syst, 1000 Hilltop Cir, Baltimore, MD 21228 USA.</t>
  </si>
  <si>
    <t>SCITEPRESS</t>
  </si>
  <si>
    <t>SETUBAL</t>
  </si>
  <si>
    <t>AV D MANUELL, 27A 2 ESQ, SETUBAL, 2910-595, PORTUGAL</t>
  </si>
  <si>
    <t>978-989-758-186-1</t>
  </si>
  <si>
    <t>10.5220/0005760000530062</t>
  </si>
  <si>
    <t>BG9GB</t>
  </si>
  <si>
    <t>WOS:000393155700005</t>
  </si>
  <si>
    <t>The Meaning Extraction Method: An Approach to Evaluate Content Patterns From Large-Scale Language Data</t>
  </si>
  <si>
    <t>FRONTIERS IN COMMUNICATION</t>
  </si>
  <si>
    <t>meaning extraction; thematic extraction; themes; automated text analysis; language</t>
  </si>
  <si>
    <t>NUMBER</t>
  </si>
  <si>
    <t>Qualitative content analyses often rely on a top-down approach to understand themes in a collection of texts. A codebook prescribes how humans should judge if a text fits a theme based on rules and judgment criteria. Qualitative approaches are challenging because they require many resources (e.g., coders, training, rounds of coding), can be affected by researcher or coder bias, may miss meaningful patterns that deviate from the codebook, and often use a subsample of the data. A complementary, bottom-up approach-the Meaning Extraction Method-has been popular in social psychology but rarely applied to communication research. This paper outlines the value of the Meaning Extraction Method, concluding with a guide to conduct analyses of content and themes from massive and complete datasets, quantitatively. The Meaning Extraction Method is performed on a public and published archive of pet adoption profiles to demonstrate the approach. Considerations for communication research are offered.</t>
  </si>
  <si>
    <t>2297-900X</t>
  </si>
  <si>
    <t>FRONT COMMUN</t>
  </si>
  <si>
    <t>Front. Commun.</t>
  </si>
  <si>
    <t>FEB 23</t>
  </si>
  <si>
    <t>10.3389/fcomm.2021.588823</t>
  </si>
  <si>
    <t>TQ1RA</t>
  </si>
  <si>
    <t>Green Submitted, gold</t>
  </si>
  <si>
    <t>WOS:000678063400001</t>
  </si>
  <si>
    <t>Grajzl, P; Irby, C</t>
  </si>
  <si>
    <t>Grajzl, Peter; Irby, Cindy</t>
  </si>
  <si>
    <t>Reflections on study abroad: a computational linguistics approach</t>
  </si>
  <si>
    <t>JOURNAL OF COMPUTATIONAL SOCIAL SCIENCE</t>
  </si>
  <si>
    <t>Study abroad; Reflections; Culture; Text-as-data; Machine learning; Structural topic model</t>
  </si>
  <si>
    <t>COLLEGE-STUDENTS; TOPIC MODELS; TERM; TEXT</t>
  </si>
  <si>
    <t>Study abroad and the associated sociocultural experience has been a subject of substantial interest to social science scholars and university administrators. Shedding novel light on the phenomenon, we draw on a corpus of student-authored reflective essays and apply machine learning methods for analysis of text-as-data to examine the features and the determinants of salient themes emphasized by students in their study abroad reflections. Our analysis identifies 18 different topics spanning the domains of distinctly cultural cognition, interaction with people, physical environment, and personal change. Specifics of the experience such as duration and location, timing of reflections, and observable student characteristics including gender, major, academic performance, extracurricular involvement, and socioeconomic status are all important determinants of student's reflections. Different factors, however, matter differently with respect to students' emphases on particular topics, a finding indicative of the complex nature of the study abroad experience.</t>
  </si>
  <si>
    <t>[Grajzl, Peter] Washington &amp; Lee Univ, Dept Econ, Williams Sch Commerce Econ &amp; Polit, Lexington, VA 24450 USA; [Grajzl, Peter] CESifo, Munich, Germany; [Irby, Cindy] Washington &amp; Lee Univ, Ctr Int Educ, Lexington, VA 24450 USA</t>
  </si>
  <si>
    <t>Washington &amp; Lee University; Ifo Institut; Washington &amp; Lee University</t>
  </si>
  <si>
    <t>Grajzl, P (corresponding author), Washington &amp; Lee Univ, Dept Econ, Williams Sch Commerce Econ &amp; Polit, Lexington, VA 24450 USA.;Grajzl, P (corresponding author), CESifo, Munich, Germany.</t>
  </si>
  <si>
    <t>grajzlp@wlu.edu; cirby@wlu.edu</t>
  </si>
  <si>
    <t>Grajzl, Peter/0000-0003-3721-3299</t>
  </si>
  <si>
    <t>SPRINGERNATURE</t>
  </si>
  <si>
    <t>CAMPUS, 4 CRINAN ST, LONDON, N1 9XW, ENGLAND</t>
  </si>
  <si>
    <t>2432-2717</t>
  </si>
  <si>
    <t>2432-2725</t>
  </si>
  <si>
    <t>J COMPUT SOC SCI</t>
  </si>
  <si>
    <t>J. Comput. Soc. Sci.</t>
  </si>
  <si>
    <t>10.1007/s42001-019-00038-8</t>
  </si>
  <si>
    <t>Social Sciences, Mathematical Methods</t>
  </si>
  <si>
    <t>Mathematical Methods In Social Sciences</t>
  </si>
  <si>
    <t>VK4TL</t>
  </si>
  <si>
    <t>WOS:000704309200004</t>
  </si>
  <si>
    <t>Sun, M; Liu, J; Zhu, JM; LeClair, Z</t>
  </si>
  <si>
    <t>Sun, Min; Liu, Jing; Zhu, Junmeng; LeClair, Zachary</t>
  </si>
  <si>
    <t>Using a Text-as-Data Approach to Understand Reform Processes: A Deep Exploration of School Improvement Strategies</t>
  </si>
  <si>
    <t>text as data; school improvement; reform processes</t>
  </si>
  <si>
    <t>INSTRUMENTAL VARIABLES; STUDENT-ACHIEVEMENT; MIDDLE SCHOOLS; PLANS; ELEMENTARY; SCALE; YOUTH</t>
  </si>
  <si>
    <t>Although program evaluations using rigorous quasi-experimental or experimental designs can inform decisions about whether to continue or terminate a given program, they often have limited ability to reveal the mechanisms by which complex interventions achieve their effects. To illuminate these mechanisms, this article analyzes novel text data from thousands of school improvement planning and implementation reports from Washington State, deploying computer-assisted techniques to extract measures of school improvement processes. Our analysis identified 15 coherent reform strategies that varied greatly across schools and over time. The prevalence of identified reform strategies was largely consistent with school leaders' own perceptions of reform priorities via interviews. Several reform strategy measures were significantly associated with reductions in student chronic absenteeism and improvements in student achievement. We finally discuss the opportunities and pitfalls of using novel text data to study reform processes.</t>
  </si>
  <si>
    <t>[Sun, Min; LeClair, Zachary] Univ Washington, Coll Educ, Educ Policy, Seattle, WA 98195 USA; [Liu, Jing] Brown Univ, Annenberg Inst, Providence, RI 02912 USA; [Zhu, Junmeng] Univ Washington, Seattle, WA 98195 USA</t>
  </si>
  <si>
    <t>University of Washington; University of Washington Seattle; Brown University; University of Washington; University of Washington Seattle</t>
  </si>
  <si>
    <t>Sun, M (corresponding author), Univ Washington, Coll Educ, Educ Policy, Seattle, WA 98195 USA.</t>
  </si>
  <si>
    <t>Spencer Foundation; Royal Research Funds at University of Washington</t>
  </si>
  <si>
    <t>The author(s) disclosed receipt of the following financial support for the research, authorship, and/or publication of this article: This research is supported by grants from Spencer Foundation and the Royal Research Funds at University of Washington. Any opinions, findings, and conclusions or recommendations expressed in this material are those of the authors and do not necessarily reflect the views of the funders.</t>
  </si>
  <si>
    <t>10.3102/0162373719869318</t>
  </si>
  <si>
    <t>JJ5DI</t>
  </si>
  <si>
    <t>WOS:000484077300001</t>
  </si>
  <si>
    <t>Pagliari, S; Wilf, M</t>
  </si>
  <si>
    <t>Pagliari, Stefano; Wilf, Meredith</t>
  </si>
  <si>
    <t>Regulatory novelty after financial crises: Evidence from international banking and securities standards, 1975-2016</t>
  </si>
  <si>
    <t>financial crisis; financial regulation; international standard-setters; regulatory novelty; text-as-data</t>
  </si>
  <si>
    <t>POLITICAL-ECONOMY; GOVERNANCE; FAILURE; COORDINATION; COOPERATION; DERIVATIVES</t>
  </si>
  <si>
    <t>Financial crises are often presented as triggers for important innovations in international regulation of financial markets, but existing evidence for this claim primarily derive from the analyses of individual initiatives, assessed against noncomparable benchmarks. In order to provide systematic evidence of financial crises' impact on international financial regulatory change, this paper develops a novel text-as-data approach to measure regulatory novelty. We use this approach to analyze the full population of international banking and securities standards between 1975 and 2016. Contrary to theoretical expectations, our empirical findings indicate rules designed by international banking and securities regulators following financial crises are on average as likely to build on existing international regulations as those designed before a crisis. We also find that international banking rules published after the 2008 Global Financial Crisis are an important exception.</t>
  </si>
  <si>
    <t>[Pagliari, Stefano] City Univ London, Dept Int Polit, Northampton Sq, London EC1V 0HB, England; [Wilf, Meredith] Univ Pittsburgh, Grad Sch Publ &amp; Int Affairs, Pittsburgh, PA 15260 USA</t>
  </si>
  <si>
    <t>City University London; Pennsylvania Commonwealth System of Higher Education (PCSHE); University of Pittsburgh</t>
  </si>
  <si>
    <t>Pagliari, S (corresponding author), City Univ London, Dept Int Polit, Northampton Sq, London EC1V 0HB, England.</t>
  </si>
  <si>
    <t>Pagliari, Stefano/0000-0003-0612-5296; Wilf, Meredith/0000-0002-9710-5188</t>
  </si>
  <si>
    <t>10.1111/rego.12346</t>
  </si>
  <si>
    <t>TC5LU</t>
  </si>
  <si>
    <t>Green Accepted, hybrid</t>
  </si>
  <si>
    <t>WOS:000549388200001</t>
  </si>
  <si>
    <t>Kohler, R; Naumann, S</t>
  </si>
  <si>
    <t>Preisach, C; Burkhardt, H; SchmidtThieme, L; Decker, R</t>
  </si>
  <si>
    <t>Koehler, Reinhard; Naumann, Sven</t>
  </si>
  <si>
    <t>Quantitative text analysis using L-, F- and T-segments</t>
  </si>
  <si>
    <t>DATA ANALYSIS, MACHINE LEARNING AND APPLICATIONS</t>
  </si>
  <si>
    <t>Studies in Classification Data Analysis and Knowledge Organization</t>
  </si>
  <si>
    <t>31st Annual Conference of the German-Classification-Society</t>
  </si>
  <si>
    <t>MAR 07-09, 2007</t>
  </si>
  <si>
    <t>Albert Ludwigs Univ, Freiburg, GERMANY</t>
  </si>
  <si>
    <t>German Classificat Soc</t>
  </si>
  <si>
    <t>Albert Ludwigs Univ</t>
  </si>
  <si>
    <t>It is shown that word length and other properties of linguistic units display a lawful behavior not only in form of distributions but also with respect to their syntagmatic arrangement in a text. Based on L-segments (units of constant or increasing lengths), F-segments, and T-segments (units of constant or increasing frequency or polytextuality respectively), the dynamic behavior of segment patterns is investigated. Theoretical models are derived on the basis of plausible assumptions on influences of the properties of individual units on the properties of their constituents in the text. The corresponding hypotheses are tested on data from 66 German texts of four authors and two different genres. Experiments with various characteristics show promising properties which could be useful for author and/or genre discrimnation.</t>
  </si>
  <si>
    <t>[Koehler, Reinhard; Naumann, Sven] Univ Trier, Linguist Datenverarbeitung, D-54286 Trier, Germany</t>
  </si>
  <si>
    <t>Universitat Trier</t>
  </si>
  <si>
    <t>koehler@uni-trier.de; naumsven@uni-trier.de</t>
  </si>
  <si>
    <t>1431-8814</t>
  </si>
  <si>
    <t>978-3-540-78239-1</t>
  </si>
  <si>
    <t>STUD CLASS DATA ANAL</t>
  </si>
  <si>
    <t>10.1007/978-3-540-78246-9_75</t>
  </si>
  <si>
    <t>Business; Business, Finance; Computer Science, Information Systems; Information Science &amp; Library Science; Linguistics; Management</t>
  </si>
  <si>
    <t>Business &amp; Economics; Computer Science; Information Science &amp; Library Science; Linguistics</t>
  </si>
  <si>
    <t>BHW21</t>
  </si>
  <si>
    <t>WOS:000256988600075</t>
  </si>
  <si>
    <t>Dolinsky, AO</t>
  </si>
  <si>
    <t>Dolinsky, Alona O.</t>
  </si>
  <si>
    <t>Parties' group appeals across time, countries, and communication channels-examining appeals to social groups via the Parties' Group Appeals Dataset</t>
  </si>
  <si>
    <t>group appeals; party politics; text as data; social groups</t>
  </si>
  <si>
    <t>PORTFOLIO ALLOCATION; CAMPAIGN APPEALS; VOTE; IDENTITY</t>
  </si>
  <si>
    <t>While policy appeals receive the bulk of scholars' attention, recent studies show that group appeals are prevalent in parties' election campaign materials to voters over time. Yet, few studies to date focus on group appeals as a distinct concept, and little data are available to support longitudinal and cross-national examinations. Aiming to better understand group-based appeals' role in political processes, this article introduces new and unique data using a concise definition of group appeals, contributing to this growing literature. The Parties' Group Appeals Dataset (PGAD) provides text-as-data from manual analyses of 69 parties' names, 249 manifestos, and 2772 print campaign advertisements in Israel and the Netherlands between 1977 and 2015, offering one of the first (if not the first) opportunities to compare parties' group appeals over time, between countries, and across communication channels.</t>
  </si>
  <si>
    <t>[Dolinsky, Alona O.] Univ Coll Dublin, Dublin, Ireland</t>
  </si>
  <si>
    <t>Dolinsky, AO (corresponding author), Univ Coll Dublin, Polit Sci, Dublin 4, Ireland.</t>
  </si>
  <si>
    <t>alona.dolinsky@ucd.ie</t>
  </si>
  <si>
    <t>Dolinsky, Alona/0000-0003-3450-5181</t>
  </si>
  <si>
    <t>Warren E. Miller Fund in Electoral Politics; American Political Science Association Centennial Center [1980198]; Leonard and Helen R. Stulman Jewish Studies Program Graduate Research Award, Johns Hopkins University; Department of Political Science, Johns Hopkins University</t>
  </si>
  <si>
    <t>Warren E. Miller Fund in Electoral Politics; American Political Science Association Centennial Center; Leonard and Helen R. Stulman Jewish Studies Program Graduate Research Award, Johns Hopkins University; Department of Political Science, Johns Hopkins University</t>
  </si>
  <si>
    <t>The author(s) disclosed receipt of the following financial support for the research, authorship, and/or publication of this article: This work was supported by the The Warren E. Miller Fund in Electoral Politics, American Political Science Association Centennial Center (Grant number: 1980198); the Leonard and Helen R. Stulman Jewish Studies Program Graduate Research Award (Spring 2018, Fall 2018), Johns Hopkins University; and the Department of Political Science, Johns Hopkins University (Research grant, Fall 2019).</t>
  </si>
  <si>
    <t>10.1177/13540688221131982</t>
  </si>
  <si>
    <t>5D3ZE</t>
  </si>
  <si>
    <t>WOS:000864883400001</t>
  </si>
  <si>
    <t>Veronese, G; Pepe, A; Vigliaroni, M</t>
  </si>
  <si>
    <t>Veronese, Guido; Pepe, Alessandro; Vigliaroni, Marzia</t>
  </si>
  <si>
    <t>An exploratory multi-site mixed-method study with migrants at Niger transit centers: The push factors underpinning outward and return migration</t>
  </si>
  <si>
    <t>INTERNATIONAL SOCIAL WORK</t>
  </si>
  <si>
    <t>Global well-being; migration; mixed methods; motivation for return; push factors</t>
  </si>
  <si>
    <t>RURAL-URBAN MIGRATION; MENTAL-HEALTH STATUS; INTERNATIONAL MIGRATION</t>
  </si>
  <si>
    <t>In our work, we explored factors of outward migration and the factors that drive migrants to return to their countries of origin. All participants were recruited at transit centers in Niger. Interviews were analyzed using a Quantitative Text Analysis methodology. Results showed that the push factors are organized along two dimensions, economic (job search, breadwinner, poverty) and subjective psychological/social components (disruption of social networks, educational, personal ambitions). The decision to return is represented by a dimension of human insecurity (repression, prison, death) and internal/external reasons ranging from spontaneous to forced return. Implications for social work are discussed.</t>
  </si>
  <si>
    <t>[Veronese, Guido] Univ Milano Bicocca, Clin &amp; Community Psychol, Dept Human Sci, Milan, Italy; [Pepe, Alessandro] Univ Milano Bicocca, Milan, Italy; [Vigliaroni, Marzia] Coopi Niger, Niamey, Niger</t>
  </si>
  <si>
    <t>University of Milano-Bicocca; University of Milano-Bicocca</t>
  </si>
  <si>
    <t>Veronese, G (corresponding author), Univ Milano Bicocca, Dept Human Sci Educ, Piazza Ateneo Nuovo 1, I-20126 Milan, Italy.</t>
  </si>
  <si>
    <t>guido.veronese@unimib.it</t>
  </si>
  <si>
    <t>Veronese, Guido/ABF-4358-2020</t>
  </si>
  <si>
    <t>Veronese, Guido/0000-0001-9681-8883</t>
  </si>
  <si>
    <t>0020-8728</t>
  </si>
  <si>
    <t>1461-7234</t>
  </si>
  <si>
    <t>INT SOC WORK</t>
  </si>
  <si>
    <t>Int. Soc. Work</t>
  </si>
  <si>
    <t>10.1177/0020872818819736</t>
  </si>
  <si>
    <t>Social Work</t>
  </si>
  <si>
    <t>TB8YU</t>
  </si>
  <si>
    <t>WOS:000668232500004</t>
  </si>
  <si>
    <t>Marenco, M; Seidl, T</t>
  </si>
  <si>
    <t>Marenco, Matteo; Seidl, Timo</t>
  </si>
  <si>
    <t>The discursive construction of digitalization: a comparative analysis of national discourses on the digital future of work</t>
  </si>
  <si>
    <t>EUROPEAN POLITICAL SCIENCE REVIEW</t>
  </si>
  <si>
    <t>digitalization; future of work; discursive institutionalism; text as data</t>
  </si>
  <si>
    <t>INSTITUTIONALISM; SENTIMENT; POLITICS; ECONOMY; EUROPE; IDEAS; TEXT</t>
  </si>
  <si>
    <t>New forms of work intermediation - the gig economy - and the growing use of advanced digital technologies - the new knowledge economy - are changing the nature of work. The digitalization of work, however, is shaped by how countries respond to it. But how countries respond to digitalization, we argue, depends on how digitalization is perceived in the first place. Using text-as-data methods on a novel corpus of translated newspaper and policy documents from eight European countries as well as qualitative evidence from interviews and secondary sources, we show that there are clear country effects in how digitalization is framed and fought over. Drawing on discursive-institutionalist and coalitional approaches, we argue that institutional differences explain these discursive differences by structuring interpretative struggles in favor of the social coalitions that support them. Actors, however, can also challenge these institutions by using the discursive agency to change these underlying support coalitions.</t>
  </si>
  <si>
    <t>[Marenco, Matteo] Scuola Normale Super, Fac Polit &amp; Social Sci, Florence, Italy; [Seidl, Timo] Univ Vienna, Ctr European Integrat Res, Vienna, Austria</t>
  </si>
  <si>
    <t>Scuola Normale Superiore di Pisa; University of Vienna</t>
  </si>
  <si>
    <t>Seidl, T (corresponding author), Univ Vienna, Ctr European Integrat Res, Vienna, Austria.</t>
  </si>
  <si>
    <t>timo.seidl@univie.ac.at</t>
  </si>
  <si>
    <t>Seidl, Timo/K-8429-2018</t>
  </si>
  <si>
    <t>Seidl, Timo/0000-0001-6895-7114; Marenco, Matteo/0000-0002-0999-9944</t>
  </si>
  <si>
    <t>1755-7739</t>
  </si>
  <si>
    <t>1755-7747</t>
  </si>
  <si>
    <t>EUR POLIT SCI REV</t>
  </si>
  <si>
    <t>Eur. Polit. Sci. Rev.</t>
  </si>
  <si>
    <t>10.1017/S175577392100014X</t>
  </si>
  <si>
    <t>TF5AR</t>
  </si>
  <si>
    <t>WOS:000670729900007</t>
  </si>
  <si>
    <t>Government and Opposition in Legislative Speechmaking: Using Text-As-Data to Estimate Brazilian Political Parties' Policy Positions</t>
  </si>
  <si>
    <t>Policy positions; text-as-data; legislative speechmaking; political parties</t>
  </si>
  <si>
    <t>STATISTICAL-ANALYSIS; BEHAVIOR; IDEOLOGY; VOTE; DISCIPLINE; PRESIDENTS</t>
  </si>
  <si>
    <t>This research note explores whether the government-opposition dimension that emerges from voting records of Brazilian legislatures also arises in legislative speechmaking. Since the earlier stages of the legislative process are innocuous to policy outcomes, party leaders would have fewer incentives to coerce their copartisans' behavior in speeches than in roll calls. To test this expectation, this study estimates Brazilian political parties' policy positions, relying on a sentiment analysis approach to classify 64,000 senators' speeches. The results suggest that the president and the party leadership exert signi?cant influence not only over how legislators vote but also over how they speak. We speculate that these unforeseen ?ndings are backed by the decisiveness of speeches in passing legislation, the importance leadership gives to party brand, and legislators' need to signal their positions to leaders and the government.</t>
  </si>
  <si>
    <t>[Izumi, Mauricio Y.] Fed Univ Espirito Santo UFES, Vitoria, ES, Brazil; [Medeiros, Danilo B.] Brazilian Ctr Anal &amp; Planning CEBRAP, Sao Paulo, Brazil</t>
  </si>
  <si>
    <t>Universidade Federal do Espirito Santo</t>
  </si>
  <si>
    <t>Izumi, MY (corresponding author), Fed Univ Espirito Santo UFES, Vitoria, ES, Brazil.</t>
  </si>
  <si>
    <t>mauricioizumi@hotmail.com; danilobuscatto@gmail.com</t>
  </si>
  <si>
    <t>Izumi, Mauricio/0000-0002-4339-0032; Buscatto Medeiros, Danilo/0000-0003-1642-5444</t>
  </si>
  <si>
    <t>Sao Paulo Research Foundation (FAPESP) [2018/08118-4, 2019/24091-1]</t>
  </si>
  <si>
    <t>Sao Paulo Research Foundation (FAPESP)(Fundacao de Amparo a Pesquisa do Estado de Sao Paulo (FAPESP))</t>
  </si>
  <si>
    <t>The authors would like to thank Fernando Guarnieri, Fernando Limongi, Glauco Silva, Lorena Barberia, Marcos Nakaguma, and participants at the 3rd Biennial Conference of the Standing Group on Legislative Studies of the Latin American Political Science Association (GEL-ALACIP), 2016 (Santiago, Chile) and the 40th Annual Meeting of the National Association of Graduate Studies and Research in Social Sciences (ANPOCS), 2016 (Caxambu, Brazil) for comments on earlier drafts of this paper. The authors also would like to thank the three anonymous reviewers for LAPS for their helpful comments. Mauricio Izumi was supported by grant #2018/08118-4, Sao Paulo Research Foundation (FAPESP). Danilo Medeiros was supported by grant #2019/24091-1, Sao Paulo Research Foundation (FAPESP).</t>
  </si>
  <si>
    <t>PII S1531426X20000369</t>
  </si>
  <si>
    <t>10.1017/lap.2020.36</t>
  </si>
  <si>
    <t>QE6AI</t>
  </si>
  <si>
    <t>WOS:000616287900007</t>
  </si>
  <si>
    <t>Hermann, M; Pentek, T; Otto, B</t>
  </si>
  <si>
    <t>Bui, TX; Sprague, RH</t>
  </si>
  <si>
    <t>Hermann, Mario; Pentek, Tobias; Otto, Boris</t>
  </si>
  <si>
    <t>Design Principles for Industrie 4.0 Scenarios</t>
  </si>
  <si>
    <t>PROCEEDINGS OF THE 49TH ANNUAL HAWAII INTERNATIONAL CONFERENCE ON SYSTEM SCIENCES (HICSS 2016)</t>
  </si>
  <si>
    <t>49th Hawaii International Conference on System Sciences (HICSS)</t>
  </si>
  <si>
    <t>JAN 05-08, 2016</t>
  </si>
  <si>
    <t>Koloa, HI</t>
  </si>
  <si>
    <t>Pacific Res Inst Informat Syst &amp; Management,Univ Hawaii Manoa, Shidler Coll Business, Dept IT Management,IBM,Provalis Res,Int Soc Serv Innovat Profess,Teradata,Univ Network,IEEE Comp Soc</t>
  </si>
  <si>
    <t>DECISION-MAKING</t>
  </si>
  <si>
    <t>The increasing integration of the Internet of Everything into the industrial value chain has built the foundation for the next industrial revolution called Industrie 4.0. Although Industrie 4.0 is currently a top priority for many companies, research centers, and universities, a generally accepted understanding of the term does not exist. As a result, discussing the topic on an academic level is difficult, and so is implementing Industrie 4.0 scenarios. Based on a quantitative text analysis and a qualitative literature review, the paper identifies design principles of Industrie 4.0. Taking into account these principles, academics may be enabled to further investigate on the topic, while practitioners may find assistance in identifying appropriate scenarios. A case study illustrates how the identified design principles support practitioners in identifying Industrie 4.0 scenarios.</t>
  </si>
  <si>
    <t>[Hermann, Mario] TU Dortmund Univ, Dortmund, Germany; [Pentek, Tobias] CDQ AG, Dortmund, Germany; [Otto, Boris] Fraunhofer IML, Dortmund, Germany</t>
  </si>
  <si>
    <t>Dortmund University of Technology</t>
  </si>
  <si>
    <t>Hermann, M (corresponding author), TU Dortmund Univ, Dortmund, Germany.</t>
  </si>
  <si>
    <t>mario.hermann@tu-dortmund.de; tobias.pentek@cdq.ch; boris.otto@iml.fraunhofer.de</t>
  </si>
  <si>
    <t>Otto, Boris/0000-0003-3189-9461</t>
  </si>
  <si>
    <t>10662 LOS VAQUEROS CIRCLE, PO BOX 3014, LOS ALAMITOS, CA 90720-1264 USA</t>
  </si>
  <si>
    <t>978-0-7695-5670-3</t>
  </si>
  <si>
    <t>10.1109/HICSS.2016.488</t>
  </si>
  <si>
    <t>BK2GF</t>
  </si>
  <si>
    <t>WOS:000432711503121</t>
  </si>
  <si>
    <t>Sato, Y; Hanaoka, H; Engstrom, H; Kurabayashi, S</t>
  </si>
  <si>
    <t>Sato, Yukiko; Hanaoka, Hiroki; Engstrom, Henrik; Kurabayashi, Shuichi</t>
  </si>
  <si>
    <t>An Education Model for Game Development by A Swedish-Japanese Industry-Academia Alliance</t>
  </si>
  <si>
    <t>2020 IEEE CONFERENCE ON GAMES (IEEE COG 2020)</t>
  </si>
  <si>
    <t>IEEE Conference on Computational Intelligence and Games</t>
  </si>
  <si>
    <t>IEEE Conference on Games (IEEE CoG)</t>
  </si>
  <si>
    <t>AUG 24-27, 2020</t>
  </si>
  <si>
    <t>IEEE,Games 24 Seven,NC,Dimps,Modl Ai,IEEE Computat Intelligence Soc,Kindai Univ,VS Games</t>
  </si>
  <si>
    <t>game development education; industry-academia alliance; project-based learning; distance education; natural language processing; evidence-based education</t>
  </si>
  <si>
    <t>This paper presents and evaluates a new educational tool and a model for learning theory and practice of game development, by involving geographically separated and culturally different industrial and academic organizations. We propose a TRIAD education model, which is as an extension to the conventional project-based learning, by uniting industry staff, faculty members, and students in an online discussion space. This model is a two-phase cyclic model where in Phase-1) industry members and academic staff discuss the progress of PBL transparently, showing the cross-cultural gaps and advising how to solve them, and in Phase-2) students make progress on the projects. Additionally, the TRIAD model adopts asynchronous text messaging as a core communication method, which is suitable for a multi-timezone situation, as well as exchanges of self-reviews from students and feedback from instructors. The online space not only facilitates interns in overcoming the hurdles represented by the gaps between the industry and academia, but it also visualizes the students' implicit educational progress by periodically analyzing all stored data by applying quantitative text analysis methods. This paper shows the result of an empirical study by utilizing this TRIAD model and analytics tool conducted at a large-scale Japanese game company with over 2,000 employees focusing on two students from the division of game development at a university in Sweden. We applied a quantitative text analysis tool for this model during an on-going internship program to clarify how students change their thoughts and behaviors by acquiring cross-cultural professionalism in the game industry. In addition, the result indicates that this TRIAD model is resilient, even under the COVID-19 epidemic situation due to its text-based approach.</t>
  </si>
  <si>
    <t>[Sato, Yukiko; Hanaoka, Hiroki; Kurabayashi, Shuichi] Cygames Inc, Cygames Res, Shibuya Ku, Tokyo, Japan; [Engstrom, Henrik] Univ Skovde, Sch Informat, Skovde, Sweden</t>
  </si>
  <si>
    <t>Sato, Y (corresponding author), Cygames Inc, Cygames Res, Shibuya Ku, Tokyo, Japan.</t>
  </si>
  <si>
    <t>Engström, Henrik/AAD-9979-2020</t>
  </si>
  <si>
    <t>Engström, Henrik/0000-0002-9972-4716; Hanaoka, Hiroki/0000-0001-8286-5013; Sato, Yukiko/0000-0003-1871-6878; Kurabayashi, Shuichi/0000-0001-5967-7727</t>
  </si>
  <si>
    <t>This investigation was supported by the voluntary contribution of two students from Sweden, who have applied to the international internship program between Cygames, Inc. and University of Skovde.</t>
  </si>
  <si>
    <t>2325-4270</t>
  </si>
  <si>
    <t>978-1-7281-4533-4</t>
  </si>
  <si>
    <t>IEEE CONF COMPU INTE</t>
  </si>
  <si>
    <t>Computer Science, Artificial Intelligence; Computer Science, Software Engineering</t>
  </si>
  <si>
    <t>BR1JL</t>
  </si>
  <si>
    <t>WOS:000632592300043</t>
  </si>
  <si>
    <t>Strasheim, J; Haass, F; Bethke, FS</t>
  </si>
  <si>
    <t>Strasheim, Julia; Haass, Felix; Bethke, Felix S.</t>
  </si>
  <si>
    <t>The Attribution of Responsibility in United Nations Security Council Resolutions, 1946-2015</t>
  </si>
  <si>
    <t>United Nations; Security Council; Responsibility to Protect; Quantitative Text Analysis; International Organizations</t>
  </si>
  <si>
    <t>The United Nations use Security Council resolutions to attribute responsibility for issues of world politics either to itself or to other actors. In this article, we analyze the development of responsibility attribution over time. We evaluate whether the end of the Cold War and initiatives such as the Agenda for Peace and the Responsibility to Protect (R2P) influenced the prevalence of responsibility attribution in Security Council resolutions. The analysis is based on a dataset covering all resolutions published between 1946 and 2015. Using methods of quantitative text and time series analysis we document an increase of responsibility attributions through resolutions over time. However, this increase is not clearly attributable to initiatives such as the Agenda and the R2P.</t>
  </si>
  <si>
    <t>[Strasheim, Julia] GIGA Inst Asien Studien, GIGA German Inst Global &amp; Area Studies, Rothenbaumchaussee 32, D-20148 Hamburg, Germany; [Haass, Felix] Arnold Bergstraesser Inst, Windausstr 16, D-79110 Freiburg, Germany; [Haass, Felix] GIGA German Inst Global &amp; Area Studies, Neuer Jungfernstieg 21, D-20354 Hamburg, Germany; [Bethke, Felix S.] Univ Cologne, Cologne Ctr Comparat Polit, Cologne, Germany</t>
  </si>
  <si>
    <t>German Institute of Global &amp; Area Studies; German Institute of Global &amp; Area Studies; University of Cologne</t>
  </si>
  <si>
    <t>Strasheim, J (corresponding author), GIGA Inst Asien Studien, GIGA German Inst Global &amp; Area Studies, Rothenbaumchaussee 32, D-20148 Hamburg, Germany.</t>
  </si>
  <si>
    <t>julia.strasheim@giga-hamburg.de; felix.haass@abi.uni-freiburg.de; felix.haass@abi.uni-freiburg.de</t>
  </si>
  <si>
    <t>Bethke, Felix S./AAG-5170-2021; Haass, Felix/O-8831-2018</t>
  </si>
  <si>
    <t>Haass, Felix/0000-0001-7174-2552</t>
  </si>
  <si>
    <t>FT1JT</t>
  </si>
  <si>
    <t>WOS:000422892700014</t>
  </si>
  <si>
    <t>Boo, S; Kim, M</t>
  </si>
  <si>
    <t>Boo, Soyoung; Kim, Miyoung</t>
  </si>
  <si>
    <t>Tourists' online reviews of convention centers</t>
  </si>
  <si>
    <t>JOURNAL OF CONVENTION &amp; EVENT TOURISM</t>
  </si>
  <si>
    <t>Convention center; online reviews; event organizer; convention destination; content analysis</t>
  </si>
  <si>
    <t>CUSTOMER REVIEWS; HOTEL REVIEWS; PERFORMANCE; IMPACT; SATISFACTION; TRIPADVISOR; ATTENDEES; AGREEMENT; PLANNERS; QUALITY</t>
  </si>
  <si>
    <t>Investigating both the valence of online reviews and convention centers' performance is an effective approach towards understanding convention center visitors' needs, wants, and expectations. Understanding convention center experiences from the customer perspective can improve venue services and event products for both convention centers and event organizers in a business-to-business context. This study examined TripAdvisor online reviews using a combined automated and non-automated content analysis to explore the dynamic experiences of convention centers. The dual analysis of qualitative and quantitative characteristics resulted in the identification of key concepts, satisfaction/dissatisfaction factors, center-and event-related complaint issues, and tips/suggestions.</t>
  </si>
  <si>
    <t>[Boo, Soyoung] Georgia State Univ, J Mack Robinson Coll Business, Cecil B Day Sch Hospitality Adm, 35 Broad St NW 317, Atlanta, GA 30303 USA; [Kim, Miyoung] Sun Yat Sen Univ, Sch Tourism Management, Dept Convent Exhibit &amp; Event Management, Zhuhai, Guangdong, Peoples R China</t>
  </si>
  <si>
    <t>University System of Georgia; Georgia State University; Sun Yat Sen University</t>
  </si>
  <si>
    <t>Boo, S (corresponding author), Georgia State Univ, J Mack Robinson Coll Business, Cecil B Day Sch Hospitality Adm, 35 Broad St NW 317, Atlanta, GA 30303 USA.</t>
  </si>
  <si>
    <t>sboo@gsu.edu</t>
  </si>
  <si>
    <t>1547-0148</t>
  </si>
  <si>
    <t>1547-0156</t>
  </si>
  <si>
    <t>J CONV EVENT TOUR</t>
  </si>
  <si>
    <t>J. Conv. Event Tour.</t>
  </si>
  <si>
    <t>10.1080/15470148.2019.1582390</t>
  </si>
  <si>
    <t>IK7HB</t>
  </si>
  <si>
    <t>WOS:000476758900004</t>
  </si>
  <si>
    <t>Winter, NJG; Hughes, AG; Sanders, LM</t>
  </si>
  <si>
    <t>Winter, Nicholas J. G.; Hughes, Adam G.; Sanders, Lynn M.</t>
  </si>
  <si>
    <t>Online coders, open codebooks: New opportunities for content analysis of political communication</t>
  </si>
  <si>
    <t>automated content analysis; crowdsourcing; political communication; text and content analysis</t>
  </si>
  <si>
    <t>TEXT; RELIABILITY; AGREEMENT; ERROR</t>
  </si>
  <si>
    <t>Analyzing audiovisual communication is challenging because its content is highly symbolic and less rule-governed than verbal material. But audiovisual messages are important to understand: they amplify, enrich, and complicate the meaning of textual information. We describe a fully-reproducible approach to analyzing video content using minimally-but systematically-trained online workers. By aggregating the work of multiple coders, we achieve reliability, validity, and costs that equal those of traditional, intensively trained research assistants, with much greater speed, transparency, and replicability. We argue that measurement strategies relying on the wisdom of the crowd provide unique advantages for researchers analyzing complex and intricate audiovisual political content.</t>
  </si>
  <si>
    <t>[Winter, Nicholas J. G.; Sanders, Lynn M.] Univ Virginia, Dept Polit, S185 Gibson Hall,1540 Jefferson Pk Ave, Charlottesville, VA 22903 USA; [Hughes, Adam G.] Pew Res Ctr, Washington, DC USA</t>
  </si>
  <si>
    <t>University of Virginia</t>
  </si>
  <si>
    <t>Winter, NJG (corresponding author), Univ Virginia, Dept Polit, S185 Gibson Hall,1540 Jefferson Pk Ave, Charlottesville, VA 22903 USA.</t>
  </si>
  <si>
    <t>nwinter@virginia.edu</t>
  </si>
  <si>
    <t>Winter, Nicholas/0000-0002-9121-4746</t>
  </si>
  <si>
    <t>Office of the Vice President for Research; College and Graduate School of Arts Sciences; Quantitative Collaborative at the University of Virginia; Sunlight Foundation; John S. and James L. Knight Foundation</t>
  </si>
  <si>
    <t>For their feedback and advice we thank Andrew Clarke, Lindsey Cormack, Paul Freedman, Erika Fowler, Dan Gingerich, Thomas Gray, Tom Guterbock, Jon Kropko, Elizabeth Schwenzfeier, Abby Stewart, David Winter, Sara Winter, and Baobao Zhang. We benefitted from feedback at presentations to the UVa Data Gathering Methodology Study Group and the 2016 Annual Meeting of the American Political Science Association. This project was supported by the Office of the Vice President for Research, the College and Graduate School of Arts &amp; Sciences, and the Quantitative Collaborative at the University of Virginia. Some of the data were obtained from the Wesleyan Media Project, a collaboration between Wesleyan University, Bowdoin College, and Washington State University, and includes media tracking data from Kantar/Campaign Media Analysis Group. The Wesleyan Media Project was sponsored in 2010 by grants from the Sunlight Foundation and The John S. and James L. Knight Foundation. The opinions expressed in this article are those of the authors and do not necessarily reflect the views of the Wesleyan Media Project, the Sunlight Foundation, Knight Foundation or any of its affiliates. This research was conducted before Hughes joined the Pew Research Center and is not based on Pew Research Center data.</t>
  </si>
  <si>
    <t>PII S2049847019000049</t>
  </si>
  <si>
    <t>10.1017/psrm.2019.4</t>
  </si>
  <si>
    <t>PZ6BZ</t>
  </si>
  <si>
    <t>WOS:000612825100009</t>
  </si>
  <si>
    <t>Mele, E; Kerkhof, P; Cantoni, L</t>
  </si>
  <si>
    <t>Mele, Emanuele; Kerkhof, Peter; Cantoni, Lorenzo</t>
  </si>
  <si>
    <t>Analyzing cultural tourism promotion on Instagram: a cross-cultural perspective</t>
  </si>
  <si>
    <t>JOURNAL OF TRAVEL &amp; TOURISM MARKETING</t>
  </si>
  <si>
    <t>Cultural tourism; cultural values; tourism communication I; Instagram; LIWC2015</t>
  </si>
  <si>
    <t>SOCIAL MEDIA; HERITAGE TOURISM; WEBSITE DESIGN; MARKETING TOOL; DMO; COMMUNICATION; PERCEPTIONS; MOTIVATIONS; CELEBRITY; IMAGE</t>
  </si>
  <si>
    <t>A lack of cross-cultural research has been identified regarding cultural tourism promotion on social media. Using the dimensions of Collectivism-Individualism, Power Distance, and High-Context vs. Low-Context communication, we content analyze cultural value differences in Instagram posts promoting cultural tourism - published by the national tourism organizations of Chile, Portugal, USA, and Netherlands. In addition, an automated content analysis is conducted using the software LIWC2015 to examine linguistic differences between collectivist and individualist destinations' posts. Findings show that cultural tourism promotion on Instagram differs across cultures, highlighting the importance of adapting online content when addressing culturally distant markets.</t>
  </si>
  <si>
    <t>[Mele, Emanuele; Cantoni, Lorenzo] Univ Svizzera Italiana USI, Fac Commun Culture &amp; Soc, Lugano, Switzerland; [Kerkhof, Peter] Vrije Univ Amsterdam, Fac Social Sci, Amsterdam, Netherlands</t>
  </si>
  <si>
    <t>Universita della Svizzera Italiana; Vrije Universiteit Amsterdam</t>
  </si>
  <si>
    <t>Mele, E (corresponding author), Univ Svizzera Italiana USI, Via Giuseppe Buffi 13, Lugano, Switzerland.</t>
  </si>
  <si>
    <t>emanuele.mele@usi.ch</t>
  </si>
  <si>
    <t>Cantoni, Lorenzo/D-1720-2015</t>
  </si>
  <si>
    <t>Cantoni, Lorenzo/0000-0001-5644-6501; Mele, Emanuele/0000-0003-1773-5030</t>
  </si>
  <si>
    <t>Swiss National Science Foundation (Schweizerischer Nationalfonds zur Forderung der Wissenschaftlichen Forschung) [184140]</t>
  </si>
  <si>
    <t>Swiss National Science Foundation (Schweizerischer Nationalfonds zur Forderung der Wissenschaftlichen Forschung)</t>
  </si>
  <si>
    <t>The author(s) disclosed receipt of the following financial support for the research, authorship, and/or publication of this article: This work was supported by the Swiss National Science Foundation (Schweizerischer Nationalfonds zur Forderung der Wissenschaftlichen Forschung) under [grant number 184140].</t>
  </si>
  <si>
    <t>1054-8408</t>
  </si>
  <si>
    <t>1540-7306</t>
  </si>
  <si>
    <t>J TRAVEL TOUR MARK</t>
  </si>
  <si>
    <t>J. Travel Tour. Mark.</t>
  </si>
  <si>
    <t>MAR 24</t>
  </si>
  <si>
    <t>10.1080/10548408.2021.1906382</t>
  </si>
  <si>
    <t>RK6TJ</t>
  </si>
  <si>
    <t>WOS:000638425800001</t>
  </si>
  <si>
    <t>Deng, Q; Hine, M; Ji, SB; Sur, S</t>
  </si>
  <si>
    <t>Bui, TX; Sprague, R</t>
  </si>
  <si>
    <t>Deng, Qi; Hine, Mike; Ji, Shaobo; Sur, Sujit</t>
  </si>
  <si>
    <t>Building an Environmental Sustainability Dictionary for the IT Industry</t>
  </si>
  <si>
    <t>PROCEEDINGS OF THE 50TH ANNUAL HAWAII INTERNATIONAL CONFERENCE ON SYSTEM SCIENCES</t>
  </si>
  <si>
    <t>50th Annual Hawaii International Conference on System Sciences(HICSS)</t>
  </si>
  <si>
    <t>JAN 03-07, 2017</t>
  </si>
  <si>
    <t>HI</t>
  </si>
  <si>
    <t>dictionary building process; environmental sustainability; text mining; IT industry</t>
  </si>
  <si>
    <t>AUTOMATED CONTENT-ANALYSIS; CORPORATE SUSTAINABILITY; PERSONALITY; AGREEMENT</t>
  </si>
  <si>
    <t>Content analysis is a commonly utilized methodology in corporate sustainability research. However, because most corporate sustainability research using content analysis is based on human coding, the research capability and the scope of the research design has limitations. The relatively recent text mining technique addresses some of the limitations of manual content analysis but its usage is often dependent upon the development of a domain specific dictionary. This paper develops an environmental sustainability dictionary in the context of corporate sustainability reports for the IT industry. In support of building said dictionary, we develop a standardized dictionary building process model that can be applied across many domains.</t>
  </si>
  <si>
    <t>[Deng, Qi; Hine, Mike; Ji, Shaobo; Sur, Sujit] Carleton Univ, Ottawa, ON, Canada</t>
  </si>
  <si>
    <t>Carleton University</t>
  </si>
  <si>
    <t>Deng, Q (corresponding author), Carleton Univ, Ottawa, ON, Canada.</t>
  </si>
  <si>
    <t>qi.deng3@carleton.ca; mike_hine@carleton.ca; shaobo.ji@carleton.ca; sujit.sur@carleton.ca</t>
  </si>
  <si>
    <t>Hine, Michael/0000-0002-0184-8172</t>
  </si>
  <si>
    <t>HICSS</t>
  </si>
  <si>
    <t>Honolulu</t>
  </si>
  <si>
    <t>Dept IT Mgmt, Shidler College of Business, Univ Hawaii at Manoa 2404 Maile Way D307, Honolulu, Hawaii, UNITED STATES</t>
  </si>
  <si>
    <t>978-0-9981331-0-2</t>
  </si>
  <si>
    <t>Computer Science, Theory &amp; Methods</t>
  </si>
  <si>
    <t>BQ9MJ</t>
  </si>
  <si>
    <t>WOS:000625875701033</t>
  </si>
  <si>
    <t>Casiraghi, MCM; Curini, L</t>
  </si>
  <si>
    <t>Casiraghi, Matteo C. M.; Curini, Luigi</t>
  </si>
  <si>
    <t>When the Worlds of Preferences Collide: Determinants of MP's Attitudes on the Italian Questione Romana 1861-1870</t>
  </si>
  <si>
    <t>PARLIAMENTARY AFFAIRS</t>
  </si>
  <si>
    <t>Italian politics; Parliamentary debates; Parliamentary studies; Political preferences; Political socialisation; Quantitative text-analysis</t>
  </si>
  <si>
    <t>COMPETING PRINCIPALS; RISORGIMENTO; POSITIONS; TIME</t>
  </si>
  <si>
    <t>The relationship between original and induced preferences in affecting political actions has been a recurrent topic in the literature. Less attention has been devoted to investigating the interaction between these two preferences, and possible neutralising/reinforcing effects. We explore this dynamic on a crucial issue in XIX century Italy, the 'Questione Romana', employing a quantitative analysis on an original corpus of legislative speeches (1861-1870). The absence of strong parties allows investigating the relationship between MPs' original preferences and that induced by their voters' linkage. Moreover, as politicians and voters were part of the same elite, we can check how their paths of political socialisation shape this relationship, leading to aligned or colliding preferences.</t>
  </si>
  <si>
    <t>[Casiraghi, Matteo C. M.; Curini, Luigi] Univ Milan, Dept Social &amp; Polit Sci, I-20122 Milan, Italy</t>
  </si>
  <si>
    <t>Casiraghi, MCM (corresponding author), Univ Milan, Dept Social &amp; Polit Sci, I-20122 Milan, Italy.</t>
  </si>
  <si>
    <t>matteo.casiraghi@unimi.it</t>
  </si>
  <si>
    <t>Curini, Luigi/D-9441-2017</t>
  </si>
  <si>
    <t>Curini, Luigi/0000-0003-1974-9815; Casiraghi, Matteo C. M./0000-0003-0851-6311</t>
  </si>
  <si>
    <t>0031-2290</t>
  </si>
  <si>
    <t>1460-2482</t>
  </si>
  <si>
    <t>PARLIAMENT AFF</t>
  </si>
  <si>
    <t>Parliam. Aff.</t>
  </si>
  <si>
    <t>JUL 6</t>
  </si>
  <si>
    <t>10.1093/pa/gsab032</t>
  </si>
  <si>
    <t>2S2HC</t>
  </si>
  <si>
    <t>WOS:000764412700001</t>
  </si>
  <si>
    <t>Genovese, F</t>
  </si>
  <si>
    <t>Genovese, Federica</t>
  </si>
  <si>
    <t>States' interests at international climate negotiations: new measures of bargaining positions</t>
  </si>
  <si>
    <t>climate cooperation; climate change negotiations; bargaining positions; UNFCCC</t>
  </si>
  <si>
    <t>POLICY; PREFERENCES; MODEL; COOPERATION; DEMOCRACIES; POLITICS; HISTORY; WORDS; KYOTO; POWER</t>
  </si>
  <si>
    <t>To advance empirical research on international environmental institutions, new data on national positions at the international climate change negotiations are introduced. The observations cover more than 90 countries at two historical moments of climate change decision making: the pre-Kyoto Protocol enforcement (2001-2004) and the post-Kyoto Protocol (2008-2011) meetings. Data were collected from different types of written text. Coding entailed a qualitative (dictionary-based) content analysis and a quantitative text analysis. By systematically exploring these new data, I offer a 'map' of national preferences at the United Nations Framework Convention on Climate Change (UNFCCC). I also propose a discussion of the dimensions of conflict and policy competition over 10 years of climate negotiations.</t>
  </si>
  <si>
    <t>Stanford Univ, Dept Polit Sci, Stanford, CA 94305 USA</t>
  </si>
  <si>
    <t>Genovese, F (corresponding author), Stanford Univ, Dept Polit Sci, Stanford, CA 94305 USA.</t>
  </si>
  <si>
    <t>Fgenoves@stanford.edu</t>
  </si>
  <si>
    <t>Genovese, Federica/E-5919-2015</t>
  </si>
  <si>
    <t>Genovese, Federica/0000-0002-7107-2744</t>
  </si>
  <si>
    <t>10.1080/09644016.2014.904068</t>
  </si>
  <si>
    <t>AP5RV</t>
  </si>
  <si>
    <t>WOS:000342137300005</t>
  </si>
  <si>
    <t>van Eijnatten, J; Huijnen, P</t>
  </si>
  <si>
    <t>van Eijnatten, Joris; Huijnen, Pim</t>
  </si>
  <si>
    <t>Something Happened to the Future Reconstructing Temporalities in Dutch Parliamentary Debate, 1814-2018</t>
  </si>
  <si>
    <t>CONTRIBUTIONS TO THE HISTORY OF CONCEPTS</t>
  </si>
  <si>
    <t>digital history; future; Netherlands; parliament; Reinhart Koselleck; quantitative text analysis; time</t>
  </si>
  <si>
    <t>This article stands in Reinhart Koselleck's tradition of investigating the historical experience of time. It focuses on the manner in which the experience and conceptualization of the future changed in Dutch parliamentary speech between 1814 and 2018. Based on a quantitative analysis of a corpus of political texts of more than 800 million tokens spanning more than two centuries, we argue that the future transformed from something unknown but principally predictable into a synonym for change itself during the final quarter of the twentieth century. We contend that this resulted in unpredictability becoming the future's defining trait and the future, consequently, losing its character as a knowledgeable singular in a process of what can be called de-singularization.</t>
  </si>
  <si>
    <t>[van Eijnatten, Joris] Univ Utrecht, Digital Hist, Utrecht, Netherlands; [van Eijnatten, Joris] Netherlands eSci Ctr, Amsterdam, Netherlands; [Huijnen, Pim] Univ Utrecht, Digital Cultural Hist, Utrecht, Netherlands</t>
  </si>
  <si>
    <t>Utrecht University; Utrecht University</t>
  </si>
  <si>
    <t>van Eijnatten, J (corresponding author), Univ Utrecht, Digital Hist, Utrecht, Netherlands.;van Eijnatten, J (corresponding author), Netherlands eSci Ctr, Amsterdam, Netherlands.</t>
  </si>
  <si>
    <t>j.vaneijnatten@esciencecenter.nl; p.huijnen@uu.nl</t>
  </si>
  <si>
    <t>BERGHAHN JOURNALS</t>
  </si>
  <si>
    <t>BROOKLYN</t>
  </si>
  <si>
    <t>20 JAY ST, SUITE 512, BROOKLYN, NY 11201 USA</t>
  </si>
  <si>
    <t>1807-9326</t>
  </si>
  <si>
    <t>1874-656X</t>
  </si>
  <si>
    <t>CONTRIB HIST CONCEPT</t>
  </si>
  <si>
    <t>Contrib. Hist. Concepts</t>
  </si>
  <si>
    <t>10.3167/choc.2021.160204</t>
  </si>
  <si>
    <t>WO4CS</t>
  </si>
  <si>
    <t>WOS:000712404700004</t>
  </si>
  <si>
    <t>Yin, MQ; Anantsuksomsri, S</t>
  </si>
  <si>
    <t>Yin, Mingqing; Anantsuksomsri, Sutee</t>
  </si>
  <si>
    <t>Development of Smart City Policies in First-tier Cities in China</t>
  </si>
  <si>
    <t>ASR CHIANG MAI UNIVERSITY JOURNAL OF SOCIAL SCIENCES AND HUMANITIES</t>
  </si>
  <si>
    <t>Smart city policy; Quantitative text analysis; Urban strategies; Policy; Policy analysis tools</t>
  </si>
  <si>
    <t>To explore the policy tools to study the smart city policies in Chinese first-tier cities, which can help to promote the direction of smart city management. This research adopts a quantitative textual analysis method to collect relevant policies of Chinese first-tier cities from 2010 to 2021, and constructs a pilot analysis of smart city policies from supply-based, demand-based, and environmental perspectives by using Nvivo literature coding software. The results of the research show that local governments should strengthen the integration and sharing of information resources, improve the management of smart city industry chain, optimize the management mode, eliminate digital barriers, and realize the transformation from traditional management to smart management on the basis of strengthening information security measures.</t>
  </si>
  <si>
    <t>[Yin, Mingqing; Anantsuksomsri, Sutee] Chulalongkorn Univ, Fac Architecture, Dept Urban &amp; Reg Planning, Bangkok, Thailand; [Anantsuksomsri, Sutee] Chulalongkorn Univ, Fac Architecture, Reg Urban &amp; Built Environm Analyt, Bangkok, Thailand</t>
  </si>
  <si>
    <t>Chulalongkorn University; Chulalongkorn University</t>
  </si>
  <si>
    <t>Yin, MQ (corresponding author), Chulalongkorn Univ, Fac Architecture, Dept Urban &amp; Reg Planning, Bangkok, Thailand.</t>
  </si>
  <si>
    <t>6378010825@student.chula.ac.th</t>
  </si>
  <si>
    <t>CHIANG MAI UNIV, FAC SCIENCE</t>
  </si>
  <si>
    <t>CHIANG MAI</t>
  </si>
  <si>
    <t>239 HUAY KAEW RD, T SUTHEP, CHIANG MAI, 50200, THAILAND</t>
  </si>
  <si>
    <t>2408-1469</t>
  </si>
  <si>
    <t>ASR CHIANG MAI UNIV</t>
  </si>
  <si>
    <t>ASR Chiang Mai Univ. J. Soc. Sci. Humanities</t>
  </si>
  <si>
    <t>JUL-DEC</t>
  </si>
  <si>
    <t>e2022015</t>
  </si>
  <si>
    <t>10.12982/CMUJASR.2022.015</t>
  </si>
  <si>
    <t>6A6RB</t>
  </si>
  <si>
    <t>WOS:000880779100002</t>
  </si>
  <si>
    <t>Gentzkow, M; Kelly, B; Taddy, M</t>
  </si>
  <si>
    <t>Gentzkow, Matthew; Kelly, Bryan; Taddy, Matt</t>
  </si>
  <si>
    <t>Text as Data</t>
  </si>
  <si>
    <t>JOURNAL OF ECONOMIC LITERATURE</t>
  </si>
  <si>
    <t>VARIABLE SELECTION; INFORMATION-CONTENT; MEDIA; REGRESSION; INFERENCE; LASSO; AUTHORSHIP; BOOTSTRAP; ESTIMATOR; SENTIMENT</t>
  </si>
  <si>
    <t>An ever-increasing share of human interaction, communication, and culture is recorded as digital text. We provide an introduction to the use of text as an input to economic research. We discuss the features that make text different from other forms of data, offer a practical overview of relevant statistical methods, and survey a variety of applications.</t>
  </si>
  <si>
    <t>[Gentzkow, Matthew] Stanford Univ, Stanford, CA 94305 USA; [Kelly, Bryan] Yale Univ, New Haven, CT 06520 USA; [Kelly, Bryan] AQR Capital Management, Greenwich, CT USA; [Taddy, Matt] Univ Chicago, Booth Sch Business, Chicago, IL 60637 USA</t>
  </si>
  <si>
    <t>Stanford University; Yale University; University of Chicago</t>
  </si>
  <si>
    <t>Gentzkow, M (corresponding author), Stanford Univ, Stanford, CA 94305 USA.</t>
  </si>
  <si>
    <t>AMER ECONOMIC ASSOC</t>
  </si>
  <si>
    <t>NASHVILLE</t>
  </si>
  <si>
    <t>2014 BROADWAY, STE 305, NASHVILLE, TN 37203 USA</t>
  </si>
  <si>
    <t>0022-0515</t>
  </si>
  <si>
    <t>2328-8175</t>
  </si>
  <si>
    <t>J ECON LIT</t>
  </si>
  <si>
    <t>J. Econ. Lit.</t>
  </si>
  <si>
    <t>10.1257/jel.20181020</t>
  </si>
  <si>
    <t>Economics</t>
  </si>
  <si>
    <t>IW2WC</t>
  </si>
  <si>
    <t>WOS:000484841000001</t>
  </si>
  <si>
    <t>Zhang, YN; Shah, D; Foley, J; Abhishek, A; Lukito, J; Suk, J; Kim, SJ; Sun, Z; Pevehouse, J; Garlough, C</t>
  </si>
  <si>
    <t>Zhang, Yini; Shah, Dhavan; Foley, Jordan; Abhishek, Aman; Lukito, Josephine; Suk, Jiyoun; Kim, Sang Jung; Sun, Zhongkai; Pevehouse, Jon; Garlough, Christine</t>
  </si>
  <si>
    <t>Whose Lives Matter? Mass Shootings and Social Media Discourses of Sympathy and Policy, 2012-2014</t>
  </si>
  <si>
    <t>JOURNAL OF COMPUTER-MEDIATED COMMUNICATION</t>
  </si>
  <si>
    <t>Attention Dynamics; Automated Text Analysis; Citizen Expression; Hashtag Activism; Online Activism; Machine Learning (ML); Time Series Analysis</t>
  </si>
  <si>
    <t>NEWS; RACE; SOLIDARITY; COVERAGE; POLITICS; TRAGEDY; VICTIMS; IMAGES; CRIME; TIME</t>
  </si>
  <si>
    <t>This study focuses on the outpouring of sympathy in response to mass shootings and the contestation over gun policy on Twitter from 2012 to 2014 and relates these discourses to features of mass shooting events. We use two approaches to Twitter text analysis-hashtag grouping and supervised machine learning (ML)-to triangulate an understanding of intensity and duration of thoughts and prayers, gun control, and gun rights discourses. We conduct parallel time series analyses to predict their temporal patterns in response to features of mass shootings. Our analyses reveal that while the total number of victims and child deaths consistently predicted public grieving and calls for gun control, public shootings consistently predicted the defense of gun rights. Further, the race of victims and perpetrators affected the levels of public mourning and policy debates, with the loss of black lives and the violence inflicted by white shooters generating less sympathy and policy discourses.</t>
  </si>
  <si>
    <t>[Zhang, Yini; Shah, Dhavan; Foley, Jordan; Abhishek, Aman; Lukito, Josephine; Suk, Jiyoun; Kim, Sang Jung] Univ Wisconsin, Sch Journalism &amp; Mass Commun, Madison, WI 53706 USA; [Sun, Zhongkai] Univ Wisconsin, Dept Elect &amp; Comp Engn, Madison, WI 53706 USA; [Pevehouse, Jon] Univ Wisconsin, Dept Polit Sci, Madison, WI 53706 USA; [Garlough, Christine] Univ Wisconsin, Dept Gender &amp; Womens Studies, Madison, WI 53706 USA</t>
  </si>
  <si>
    <t>University of Wisconsin System; University of Wisconsin Madison; University of Wisconsin System; University of Wisconsin Madison; University of Wisconsin System; University of Wisconsin Madison; University of Wisconsin System; University of Wisconsin Madison</t>
  </si>
  <si>
    <t>Zhang, YN (corresponding author), Univ Wisconsin, Sch Journalism &amp; Mass Commun, Madison, WI 53706 USA.</t>
  </si>
  <si>
    <t>zhang525@wisc.edu</t>
  </si>
  <si>
    <t>Kim, Sang Jung/AAV-9665-2021; Foley, Jordan/AAV-4450-2021</t>
  </si>
  <si>
    <t>Foley, Jordan/0000-0003-0719-8315; SUK, JIYOUN/0000-0003-4690-2395; Zhang, Yini/0000-0002-2957-1590; Shah, Dhavan/0000-0001-5034-2816</t>
  </si>
  <si>
    <t>National Research Foundation of Korea Grant - Korean Government [NRF-2016S1A3A2925033]</t>
  </si>
  <si>
    <t>National Research Foundation of Korea Grant - Korean Government(National Research Foundation of Korea)</t>
  </si>
  <si>
    <t>This work was supported by the National Research Foundation of Korea Grant funded by the Korean Government NRF-2016S1A3A2925033.</t>
  </si>
  <si>
    <t>1083-6101</t>
  </si>
  <si>
    <t>J COMPUT-MEDIAT COMM</t>
  </si>
  <si>
    <t>J. Comput.-Mediat. Commun.</t>
  </si>
  <si>
    <t>10.1093/jcmc/zmz009</t>
  </si>
  <si>
    <t>IH1SE</t>
  </si>
  <si>
    <t>WOS:000474271000003</t>
  </si>
  <si>
    <t>Goncher, A; Boles, W; Jayalath, D</t>
  </si>
  <si>
    <t>Goncher, Andrea; Boles, Wageeh; Jayalath, Dhammika</t>
  </si>
  <si>
    <t>Using textual analysis with Concept Inventories to identify root causes of misconceptions</t>
  </si>
  <si>
    <t>2014 IEEE FRONTIERS IN EDUCATION CONFERENCE (FIE)</t>
  </si>
  <si>
    <t>Frontiers in Education Conference</t>
  </si>
  <si>
    <t>IEEE Frontiers in Education Conference (FIE)</t>
  </si>
  <si>
    <t>OCT 22-25, 2014</t>
  </si>
  <si>
    <t>Madrid, SPAIN</t>
  </si>
  <si>
    <t>Frontiers In Educ,IEEE,IEEE Comp Soc,American Soc Engn Educ</t>
  </si>
  <si>
    <t>Concept inventories; telecommunications engineering; formative assessment; conceptual understanding</t>
  </si>
  <si>
    <t>Engineers must have deep and accurate conceptual understanding of their field and Concept inventories (CIs) are one method of assessing conceptual understanding and providing formative feedback. Current CI tests use Multiple Choice Questions (MCQ) to identify misconceptions and have undergone reliability and validity testing to assess conceptual understanding. However, they do not readily provide the diagnostic information about students' reasoning and therefore do not effectively point to specific actions that can be taken to improve student learning. We piloted the textual component of our diagnostic CI on electrical engineering students using items from the signals and systems CI. We then analysed the textual responses using automated lexical analysis software to test the effectiveness of these types of software and interviewed the students regarding their experience using the textual component. Results from the automated text analysis revealed that students held both incorrect and correct ideas for certain conceptual areas and provided indications of student misconceptions. User feedback also revealed that the inclusion of the textual component is helpful to students in assessing and reflecting on their own understanding.</t>
  </si>
  <si>
    <t>[Goncher, Andrea; Boles, Wageeh; Jayalath, Dhammika] Queensland Univ Technol, Sch Elect Engn &amp; Comp Sci, Brisbane, Qld, Australia</t>
  </si>
  <si>
    <t>Queensland University of Technology (QUT)</t>
  </si>
  <si>
    <t>Goncher, A (corresponding author), Queensland Univ Technol, Sch Elect Engn &amp; Comp Sci, Brisbane, Qld, Australia.</t>
  </si>
  <si>
    <t>Boles, Wageeh W/I-9633-2012; Jayalath, Dhammika/C-4843-2009</t>
  </si>
  <si>
    <t>Boles, Wageeh W/0000-0002-5093-2952; Jayalath, Dhammika/0000-0001-6130-0275; Goncher, Andrea/0000-0002-1913-408X</t>
  </si>
  <si>
    <t>0190-5848</t>
  </si>
  <si>
    <t>978-1-4799-3922-0</t>
  </si>
  <si>
    <t>PROC FRONT EDUC CONF</t>
  </si>
  <si>
    <t>Education, Scientific Disciplines; Engineering, Electrical &amp; Electronic</t>
  </si>
  <si>
    <t>Education &amp; Educational Research; Engineering</t>
  </si>
  <si>
    <t>BF2QM</t>
  </si>
  <si>
    <t>WOS:000380490600017</t>
  </si>
  <si>
    <t>Nair, R; Rost, B</t>
  </si>
  <si>
    <t>Annotating protein function through lexical analysis</t>
  </si>
  <si>
    <t>AI MAGAZINE</t>
  </si>
  <si>
    <t>SWISS-PROT; SUPPLEMENT TREMBL; SEQUENCE; INFORMATION; DATABASE; EXTRACTION; GENOMICS; GENERATION; EVOLUTION; KEYWORDS</t>
  </si>
  <si>
    <t>We now know the full genomes of more than 60 organisms. The experimental characterization of the newly sequenced proteins is deemed to lack behind this explosion of naked sequences (sequence-function gap). The rate at which expert annotators add the experimental information into more or less controlled vocabularies of databases snails along at an even slower pace. Most methods that annotate protein function exploit sequence similarity by transferring experimental information for homologues. A crucial development aiding such transfer is large-scale, work- and management-intensive projects aimed at developing a comprehensive ontology for gene-protein function, such as the Gene Ontology project. In parallel, fully automatic or semiautomatic methods have successfully begun to mine the existing data through lexical analysis. Some of these tools target parsing controlled vocabulary from databases; others venture at mining free texts from MEDLINE abstracts or full scientific papers. Automated text analysis has become a rapidly expanding discipline in bioinformatics. A few of these tools have already been embedded in research projects.</t>
  </si>
  <si>
    <t>Columbia Univ, Dept Phys, New York, NY 10027 USA</t>
  </si>
  <si>
    <t>Columbia University</t>
  </si>
  <si>
    <t>Nair, R (corresponding author), Columbia Univ, Dept Phys, New York, NY 10027 USA.</t>
  </si>
  <si>
    <t>nair@cubic.bioc.columbia.edu; rost@columbia.edu</t>
  </si>
  <si>
    <t>AMER ASSOC ARTIFICIAL INTELL</t>
  </si>
  <si>
    <t>MENLO PK</t>
  </si>
  <si>
    <t>445 BURGESS DRIVE, MENLO PK, CA 94025-3496 USA</t>
  </si>
  <si>
    <t>0738-4602</t>
  </si>
  <si>
    <t>AI MAG</t>
  </si>
  <si>
    <t>AI Mag.</t>
  </si>
  <si>
    <t>806BY</t>
  </si>
  <si>
    <t>WOS:000220410600005</t>
  </si>
  <si>
    <t>Chang, CH; Armsworth, PR; Masuda, YJ</t>
  </si>
  <si>
    <t>Chang, Charlotte H.; Armsworth, Paul R.; Masuda, Yuta J.</t>
  </si>
  <si>
    <t>Environmental Discourse Exhibits Consistency and Variation across Spatial Scales on Twitter</t>
  </si>
  <si>
    <t>biodiversity conservation; climate change communications; conservation social science; environmental social media; natural language processing</t>
  </si>
  <si>
    <t>CLIMATE-CHANGE; CONSERVATION SCIENCE; POLARIZATION</t>
  </si>
  <si>
    <t>Social media platforms, such as Twitter, are an increasingly important source of information and are forums for discourse within and between interest groups. Research highlights how social media communities have amplified movements such as the Arab Spring, #MeToo, and Black Lives Matter. But environmental digital discourse remains underexplored. In the present article, we apply automated text analysis to 200,000 Twitter users in several countries following leading environmental nongovernmental organizations. Some issues such as public action to decarbonize society or species conservation were discussed more intensely than agriculture or marine conservation. Our results illustrate where environmental discourse diverges and converges on Twitter across countries, states, and characteristics, such as political ideology. Using the coterminous United States as a case study, we observed that the prominence of issues varies across states and, in some cases, covaries with political ideology across counties. Our findings show paths forward to characterizing environmental priorities across many issues at unprecedented scale and extent.</t>
  </si>
  <si>
    <t>[Chang, Charlotte H.] Pomona Coll, Dept Biol, Claremont, CA 91711 USA; [Chang, Charlotte H.] Pomona Coll, Environm Anal Program, Claremont, CA 91711 USA; [Armsworth, Paul R.] Univ Tennessee, Dept Ecol &amp; Evolutionary Biol, Knoxville, TN USA; [Masuda, Yuta J.] Nature Conservancy, Global Sci Program, Global Sci, 1815 N Lynn St, Arlington, VA USA</t>
  </si>
  <si>
    <t>Claremont Colleges; Pomona College; Claremont Colleges; Pomona College; University of Tennessee System; University of Tennessee Knoxville; Nature Conservancy</t>
  </si>
  <si>
    <t>Chang, CH (corresponding author), Pomona Coll, Dept Biol, Claremont, CA 91711 USA.;Chang, CH (corresponding author), Pomona Coll, Environm Anal Program, Claremont, CA 91711 USA.</t>
  </si>
  <si>
    <t>chchang@pomona.edu; p.armsworth@utk.edu; ymasuda@tnc.org</t>
  </si>
  <si>
    <t>David H. Smith Conservation research fellowship; National Institute of Mathematical and Biological Synthesis; Pomona College</t>
  </si>
  <si>
    <t>This research was supported by a David H. Smith Conservation research fellowship. We acknowledge support from the National Institute of Mathematical and Biological Synthesis and Pomona College. We are deeply grateful to N. R. Deshmukh for research assistance. Alexandra Schofield, Xingli Giam, Gillian S. Goh, Ben Fifield, Heather B. Jackson, Varsha Vijay, Rhett Butler, Erik Hoffner, Heidi Kretser, Bob Lalasz, and Hazel Wong provided helpful comments. We thank the editor and three anonymous reviewers for suggestions that greatly improved the manuscript. Replication materials can be accessed at DataDryad: https://doi.org/10.5061/dryad.jwstqjqbn.The authors declare no conflicts of interest.</t>
  </si>
  <si>
    <t>AUG 2</t>
  </si>
  <si>
    <t>10.1093/biosci/biac051</t>
  </si>
  <si>
    <t>3L8GD</t>
  </si>
  <si>
    <t>WOS:000823587600001</t>
  </si>
  <si>
    <t>Tornberg, A; Tornberg, P</t>
  </si>
  <si>
    <t>Tornberg, Anton; Tornberg, Petter</t>
  </si>
  <si>
    <t>Muslims in social media discourse: Combining topic modeling and critical discourse analysis</t>
  </si>
  <si>
    <t>DISCOURSE CONTEXT &amp; MEDIA</t>
  </si>
  <si>
    <t>Islamophobia; Social media; Critical discourse analysis; Topic modeling; Automated text analysis; Internet forum</t>
  </si>
  <si>
    <t>CORPUS LINGUISTICS; TEXT</t>
  </si>
  <si>
    <t>This article combines topic modeling and critical discourse analysis to examine patterns of representation around the words Muslim and Islam in a 105 million word corpus of a large Swedish Internet forum from 2000 to 2013. Despite the increased importance of social media in the (re)production of discursive power in society, this is the first study of its kind. The analysis shows that Muslims are portrayed in the forum as a homogeneous outgroup that is embroiled in conflict, violence and extremism: characteristics that are described as emanating from Islam as a religion. These patterns are strikingly similar to- but often more extreme versions of- those previously found in analysis of traditional media. This indicates that, in this case, the internet forum seems to serve as an online amplifier that reflects and reinforces existing discourses in traditional media, which is likely to result in even stronger polarizing effects on public discourses. (C) 2016 The Authors. Published by Elsevier Ltd.</t>
  </si>
  <si>
    <t>[Tornberg, Anton] Gothenburg Univ, Dept Sociol &amp; Work Sci, Skanstorget 18,Box 720, S-40530 Gothenburg, Sweden; [Tornberg, Petter] Chalmers Univ Technol, Complex Syst Grp Phys Resource Theory, Gothenburg, Sweden</t>
  </si>
  <si>
    <t>University of Gothenburg; Chalmers University of Technology</t>
  </si>
  <si>
    <t>Tornberg, A (corresponding author), Gothenburg Univ, Dept Sociol &amp; Work Sci, Skanstorget 18,Box 720, S-40530 Gothenburg, Sweden.</t>
  </si>
  <si>
    <t>anton.tornberg@gu.se</t>
  </si>
  <si>
    <t>Tornberg, Petter/0000-0001-8722-8646; Tornberg, Anton/0000-0002-5847-3033</t>
  </si>
  <si>
    <t>2211-6958</t>
  </si>
  <si>
    <t>2211-6966</t>
  </si>
  <si>
    <t>DISCOURSE CONTEXT ME</t>
  </si>
  <si>
    <t>Discourse Context Media</t>
  </si>
  <si>
    <t>10.1016/j.dcm.2016.04.003</t>
  </si>
  <si>
    <t>EA0ZU</t>
  </si>
  <si>
    <t>WOS:000386318900008</t>
  </si>
  <si>
    <t>Kaufman, AR</t>
  </si>
  <si>
    <t>Kaufman, Aaron R.</t>
  </si>
  <si>
    <t>Measuring the Content of Presidential Policy Making: Applying Text Analysis to Executive Branch Directives</t>
  </si>
  <si>
    <t>PRESIDENTIAL STUDIES QUARTERLY</t>
  </si>
  <si>
    <t>text analysis; unilateral actions</t>
  </si>
  <si>
    <t>ORDERS; IDEOLOGY; OPINION; MODELS; POWER</t>
  </si>
  <si>
    <t>The executive branch produces huge quantities of text data: policy-driving documents such as executive orders, national security directives, and agency regulations; procedural documents such as notices of proposed rule making, meeting transcripts, and presidential daily schedules; and public relations documents including press releases, veto statements, and social media posts. Political science is increasingly turning to methods of automated text analysis to rigorously interrogate such corpora. These tools have proved invaluable to scholars of the judiciary, of the legislature, and of political behavior; they hold great promise for the study of the presidency and bureaucracy. These methods' value lies in measuring complex, nuanced, yet theoretically critical quantities of interest like power, agenda setting, policy significance, ideology, and diplomatic resolve: by categorizing individual documents into a researcher-defined schema, automated text methods produce large-N data sets with fine temporal granularity. Recent work using text analysis to study unilateral actions illustrates these methods' promise for upturning conventional wisdom, settling long-standing debates, and illuminating new puzzles in executive politics in the United States.</t>
  </si>
  <si>
    <t>[Kaufman, Aaron R.] New York Univ, Div Social Sci, Polit Sci, Abu Dhabi, U Arab Emirates</t>
  </si>
  <si>
    <t>Kaufman, AR (corresponding author), New York Univ, Div Social Sci, Polit Sci, Abu Dhabi, U Arab Emirates.</t>
  </si>
  <si>
    <t>0360-4918</t>
  </si>
  <si>
    <t>1741-5705</t>
  </si>
  <si>
    <t>PRES STUD Q</t>
  </si>
  <si>
    <t>Pres. Stud. Q.</t>
  </si>
  <si>
    <t>10.1111/psq.12629</t>
  </si>
  <si>
    <t>DEC 2019</t>
  </si>
  <si>
    <t>KK4QY</t>
  </si>
  <si>
    <t>WOS:000501241700001</t>
  </si>
  <si>
    <t>Areni, C</t>
  </si>
  <si>
    <t>Areni, Charles</t>
  </si>
  <si>
    <t>Techno-Social Disruption, Autobiographical Obsolescence and Nostalgia: Why Parental Concerns about Smart Phones and Social Media Have Historical Precedents as Old as the Printed Word</t>
  </si>
  <si>
    <t>JOURNAL OF MACROMARKETING</t>
  </si>
  <si>
    <t>disruptive technology; nostalgia; social media; smart phones; addiction; automated text analysis</t>
  </si>
  <si>
    <t>NARRATIVE IDENTITY; PUBLIC-POLICY; STORY</t>
  </si>
  <si>
    <t>Contemporary concerns that social media - and its hardware accomplice the smart phone - dumb down, socially isolate and cause addiction among users have historical precedents in earlier reactions to the Internet, television, radio, and even the printed word. Automated and interpretive analyses of thousands of comments on YouTube videos of products (Study 1) and television programs (Study 2) from the past suggest a link between concerns about the negative effects of smart phones and social media and autobiographical obsolescence, a sense that the lived past is psychologically disconnected from the present and irrelevant to the future. Ironically, having nostalgia experiences on social media may provide older consumers with a psychological remedy. Viewing and commenting on video material from the past helps them verify the reality of the lived past and establish its relevance to younger generations. Suspicion of the latest disruptive communication technology (DCT) may simply be part of this broader psychological restoration process.</t>
  </si>
  <si>
    <t>[Areni, Charles] Univ Wollongong, Northfields Ave, Wollongong, NSW 2522, Australia</t>
  </si>
  <si>
    <t>Areni, C (corresponding author), Univ Wollongong, Northfields Ave, Wollongong, NSW 2522, Australia.</t>
  </si>
  <si>
    <t>careni@uow.edu.au</t>
  </si>
  <si>
    <t>0276-1467</t>
  </si>
  <si>
    <t>1552-6534</t>
  </si>
  <si>
    <t>J MACROMARKETING</t>
  </si>
  <si>
    <t>J. Macromarketing</t>
  </si>
  <si>
    <t>10.1177/0276146720953531</t>
  </si>
  <si>
    <t>RZ5GR</t>
  </si>
  <si>
    <t>WOS:000565910500001</t>
  </si>
  <si>
    <t>Allen, LK; Mills, C; Perret, C; McNamara, DS</t>
  </si>
  <si>
    <t>Azcona, D; Chung, R</t>
  </si>
  <si>
    <t>Allen, Laura K.; Mills, Caitlin; Perret, Cecile; McNamara, Danielle S.</t>
  </si>
  <si>
    <t>Are You Talking to Me? Multi-Dimensional Language Analysis of Explanations during Reading</t>
  </si>
  <si>
    <t>PROCEEDINGS OF THE 9TH INTERNATIONAL CONFERENCE ON LEARNING ANALYTICS &amp; KNOWLEDGE (LAK'19)</t>
  </si>
  <si>
    <t>9th International Conference on Learning Analytics and Knowledge (LAK)</t>
  </si>
  <si>
    <t>MAR 04-08, 2019</t>
  </si>
  <si>
    <t>Arizona State Univ, Tempe, AZ</t>
  </si>
  <si>
    <t>Soc Learning Analyt Res,ACM SIGCHI,ACM SIGWEB</t>
  </si>
  <si>
    <t>Arizona State Univ</t>
  </si>
  <si>
    <t>Intelligent Tutoring Systems; Natural Language Processing; corpus linguistics; reading; comprehension</t>
  </si>
  <si>
    <t>DIALOGUE; TUTOR</t>
  </si>
  <si>
    <t>This study examines the extent to which instructions to self-explain vs. other-explain a text lead readers to produce different forms of explanations. Natural language processing was used to examine the content and characteristics of the explanations produced as a function of instruction condition. Undergraduate students (n = 146) typed either self-explanations or other-explanations while reading a science text. The linguistic properties of these explanations were calculated using three automated text analysis tools. Machine learning classifiers in combination with the features were used to predict instruction condition (i.e., self-or other-explanation). The best machine learning model performed at rates above chance (kappa = .247; accuracy = 63%). Follow-up analyses indicated that students in the self-explanation condition generated explanations that were more cohesive and that contained words that were more related to social order (e.g., ethics). Overall, the results suggest that natural language processing techniques can be used to detect subtle differences in students' processing of complex texts.</t>
  </si>
  <si>
    <t>[Allen, Laura K.] Mississippi State Univ, POB 872111, Mississippi State, MS 39762 USA; [Mills, Caitlin] Univ New Hampshire, 15 Acad Way, Durham, NH 03824 USA; [Perret, Cecile; McNamara, Danielle S.] Arizona State Univ, POB 872111, Tempe, AZ 85287 USA</t>
  </si>
  <si>
    <t>Mississippi State University; University System Of New Hampshire; University of New Hampshire; Arizona State University; Arizona State University-Tempe</t>
  </si>
  <si>
    <t>Allen, LK (corresponding author), Mississippi State Univ, POB 872111, Mississippi State, MS 39762 USA.</t>
  </si>
  <si>
    <t>lka22@msstate.edu; caitlin.mills@unh.edu; cperret@asu.edu; dsmcnama@asu.edu</t>
  </si>
  <si>
    <t>IES [R305A120707, R305A180261]; Office of Naval Research [N00014-16-1-2611]</t>
  </si>
  <si>
    <t>IES(US Department of EducationInstitute of Education Sciences (IES)); Office of Naval Research(Office of Naval Research)</t>
  </si>
  <si>
    <t>This research was supported in part by IES Grants R305A120707 and R305A180261 as well as the Office of Naval Research (Grant No. N00014-16-1-2611). Opinions, conclusions, or recommendations do not necessarily reflect the view of the Department of Education, IES, or the Office of Naval Research.</t>
  </si>
  <si>
    <t>978-1-4503-6256-6</t>
  </si>
  <si>
    <t>10.1145/3303772.3303835</t>
  </si>
  <si>
    <t>BN0OA</t>
  </si>
  <si>
    <t>WOS:000473277300016</t>
  </si>
  <si>
    <t>Carrillo, F; Mota, N; Copelli, M; Ribeiro, S; Sigman, M; Cecchi, G; Slezak, DF</t>
  </si>
  <si>
    <t>Rish, I; Langs, G; Wehbe, L; Cecchi, G; Chang, KMK; Murphy, B</t>
  </si>
  <si>
    <t>Carrillo, Facundo; Mota, Natalia; Copelli, Mauro; Ribeiro, Sidarta; Sigman, Mariano; Cecchi, Guillermo; Slezak, Diego Fernandez</t>
  </si>
  <si>
    <t>Automated Speech Analysis for Psychosis Evaluation</t>
  </si>
  <si>
    <t>MACHINE LEARNING AND INTERPRETATION IN NEUROIMAGING, MLINI 2014</t>
  </si>
  <si>
    <t>4th International Workshop on Machine Learning and Interpretation in Neuroimaging (MLINI) Held at Conference on Neural Information Processing Systems (NIPS)</t>
  </si>
  <si>
    <t>DEC 13, 2014</t>
  </si>
  <si>
    <t>Montreal, CANADA</t>
  </si>
  <si>
    <t>Psychosis is a mental syndrome associated to loss of contact with reality which may arise in patients with different diseases, such as schizophrenia or bipolar disorder. Symptoms include hallucinations, confused and disturbed thoughts or lack of self-awareness. Recent studies have found that psychotic patients can be objectively screened using graph-theoretical algorithms for speech analysis. This analysis often relies in manually executed tasks such as syntagma generation, text splitting or manual feature selection for classification. To solve this fundamental limitation, we use three fully-automated text analysis tools graph generation methods. In addition, since aspects of psychosis may be manifested in semantic aspects of speech, we also developed a semantic features index based on speech coherence. We show that using this combined approach, classifications obtained from automatic techniques are higher than 85% in a database of 20 schizophrenic patients, with similar results to previous works. In summary, here we develop and validate a new tool for automated speech processing which includes semantic and structural aspects. The tool performs similar to manual screening procedures providing a new method to complement standard psychometric scales and fostering automated psychiatric diagnosis.</t>
  </si>
  <si>
    <t>[Carrillo, Facundo; Slezak, Diego Fernandez] Univ Buenos Aires, Lab Inteligencia Artificial Aplicada, Fac Ciencias Exactas &amp; Nat, Dept Comp, Buenos Aires, DF, Argentina; [Mota, Natalia; Ribeiro, Sidarta] Univ Fed Rio Grande do Norte, Inst Cerebro, Natal, RN, Brazil; [Copelli, Mauro] Univ Fed Pernambuco, Recife, PE, Brazil; [Sigman, Mariano] Univ Torcuato Di Tella, Buenos Aires, DF, Argentina; [Cecchi, Guillermo] IBM Corp, TJ Watson Res Ctr, Yorktown Hts, NY USA</t>
  </si>
  <si>
    <t>University of Buenos Aires; Universidade Federal do Rio Grande do Norte; Universidade Federal de Pernambuco; Universidad Torcuato Di Tella; International Business Machines (IBM)</t>
  </si>
  <si>
    <t>Slezak, DF (corresponding author), Univ Buenos Aires, Lab Inteligencia Artificial Aplicada, Fac Ciencias Exactas &amp; Nat, Dept Comp, Buenos Aires, DF, Argentina.</t>
  </si>
  <si>
    <t>dfslezak@dc.uba.ar</t>
  </si>
  <si>
    <t>Mota, Natália/O-4089-2019; Copelli, Mauro/AAG-8110-2020; Copelli, Mauro/C-6336-2009; Mota, Natalia B/J-6837-2012; Slezak, Diego Fernandez/AAD-9543-2019; Ribeiro, Sidarta/C-5794-2016</t>
  </si>
  <si>
    <t>Mota, Natália/0000-0003-2802-2001; Copelli, Mauro/0000-0001-7441-2858; Ribeiro, Sidarta/0000-0001-9325-9545</t>
  </si>
  <si>
    <t>978-3-319-45173-2; 978-3-319-45174-9</t>
  </si>
  <si>
    <t>10.1007/978-3-319-45174-9_4</t>
  </si>
  <si>
    <t>Computer Science, Artificial Intelligence; Neuroimaging</t>
  </si>
  <si>
    <t>Computer Science; Neurosciences &amp; Neurology</t>
  </si>
  <si>
    <t>BG4FZ</t>
  </si>
  <si>
    <t>WOS:000388723400004</t>
  </si>
  <si>
    <t>Kim, SJ; Chen, KP</t>
  </si>
  <si>
    <t>Kim, Sang Jung; Chen, Kaiping</t>
  </si>
  <si>
    <t>The use of emotions in conspiracy and debunking videos to engage publics on YouTube</t>
  </si>
  <si>
    <t>Automated text analysis; conspiracy; COVID-19; debunking; emotion; fear; trust; user engagement; YouTube; mixed methods</t>
  </si>
  <si>
    <t>DISCRETE EMOTIONS; SOCIAL MEDIA; COMMUNICATION; ATTENTION; CAPACITY</t>
  </si>
  <si>
    <t>With the rise of digital media, conspiracy theories infamous for their emotional manipulation have challenged science epistemology and democratic discourse. Despite extensive literature on misinformation and the role of emotion in persuasion, less is understood about how emotion is used in conspiracy and debunking messages on video platforms and the impact of emotional framing on public engagement with science on social media. Our article fills this gap by analyzing thousands of YouTube videos that propagate or debunk COVID-19 conspiracy theories from March to May 2020. We found that conspiracy and debunking videos used the emotions of trust and fear differently depending on the issue framing of the conspiracy. Our article also reveals a dilemma facing debunking messages-when debunking videos used more trust-related emotions, these videos received more likes yet fewer views. These findings shed new light on the role of emotion on user engagement with misinformation and its correction on digital platforms.</t>
  </si>
  <si>
    <t>[Kim, Sang Jung] Univ Wisconsin, Sch Journalism &amp; Mass Commun, Madison, WI 53706 USA; [Chen, Kaiping] Univ Wisconsin, Dept Life Sci Commun, 1545 Observ Dr,316 Hiram Smith Hall, Madison, WI 53706 USA</t>
  </si>
  <si>
    <t>University of Wisconsin System; University of Wisconsin Madison; University of Wisconsin System; University of Wisconsin Madison</t>
  </si>
  <si>
    <t>Chen, KP (corresponding author), Univ Wisconsin, Dept Life Sci Commun, 1545 Observ Dr,316 Hiram Smith Hall, Madison, WI 53706 USA.</t>
  </si>
  <si>
    <t>Chen, Kaiping/0000-0002-5864-5333; KIM, SANG JUNG/0000-0001-5861-728X</t>
  </si>
  <si>
    <t>10.1177/14614448221105877</t>
  </si>
  <si>
    <t>2W8QJ</t>
  </si>
  <si>
    <t>WOS:000824782400001</t>
  </si>
  <si>
    <t>Abe, JAA</t>
  </si>
  <si>
    <t>Abe, Jo Ann A.</t>
  </si>
  <si>
    <t>Cognitive-Affective Styles of Biden and Trump Supporters: An Automated Text Analysis Study</t>
  </si>
  <si>
    <t>SOCIAL PSYCHOLOGICAL AND PERSONALITY SCIENCE</t>
  </si>
  <si>
    <t>cognitive-affective styles; political preferences; LIWC; AutoIC; FFM</t>
  </si>
  <si>
    <t>CONSERVATIVES; PERSONALITY; LANGUAGE; LIBERALS; EXTREME; HAPPIER</t>
  </si>
  <si>
    <t>Are conservatives more simple-minded and happier than liberals? To revisit this question, 1,518 demographically diverse participants (52% females) were recruited from an online participant-sourcing platform and asked to write a narrative about the upcoming 2020 U.S. Presidential Election as well as complete self and candidates' ratings of personality. The narratives were analyzed using three well-validated text analysis programs. As expected, extremely enthusiastic Trump supporters used less cognitively complex and more confident language than both their less enthusiastic counterparts and Biden supporters. Trump supporters also used more positive affective language than Biden supporters. More simplistic and categorical modes of thinking as well as positive emotional tone were also associated with positive perceptions of Trump's, but not Biden's personality. Dialectical complexity and positive emotional tone accounted for significant unique variance in predicting appraisals of Trump's trustworthiness/integrity even after controlling for demographic variables, self-ratings of conscientiousness and openness, and political affiliation.</t>
  </si>
  <si>
    <t>[Abe, Jo Ann A.] Southern Connecticut State Univ, New Haven, CT 06515 USA</t>
  </si>
  <si>
    <t>Connecticut State University System; Southern Connecticut State University</t>
  </si>
  <si>
    <t>Abe, JAA (corresponding author), Southern Connecticut State Univ, Dept Psychol, 501 Crescent St, New Haven, CT 06515 USA.</t>
  </si>
  <si>
    <t>abej1@southernct.edu</t>
  </si>
  <si>
    <t>CSU-AAUP Faculty Research Grant Award; SCSU Faculty Creative Activity Research Grant</t>
  </si>
  <si>
    <t>This study was supported in part by a CSU-AAUP Faculty Research Grant Award and a SCSU Faculty Creative Activity Research Grant.</t>
  </si>
  <si>
    <t>1948-5506</t>
  </si>
  <si>
    <t>1948-5514</t>
  </si>
  <si>
    <t>SOC PSYCHOL PERS SCI</t>
  </si>
  <si>
    <t>Soc. Psychol. Personal Sci.</t>
  </si>
  <si>
    <t>10.1177/19485506221082737</t>
  </si>
  <si>
    <t>0J5GQ</t>
  </si>
  <si>
    <t>WOS:000780133200001</t>
  </si>
  <si>
    <t>Westgate, MJ; Barton, PS; Pierson, JC; Lindenmayer, DB</t>
  </si>
  <si>
    <t>Westgate, Martin J.; Barton, Philip S.; Pierson, Jennifer C.; Lindenmayer, David B.</t>
  </si>
  <si>
    <t>Text analysis tools for identification of emerging topics and research gaps in conservation science</t>
  </si>
  <si>
    <t>hot topics; indicators; latent Dirichlet allocation; synthesis; surrogates</t>
  </si>
  <si>
    <t>BIODIVERSITY; MODEL; SURROGATES; ECOLOGY; SYSTEMS</t>
  </si>
  <si>
    <t>Keeping track of conceptual and methodological developments is a critical skill for research scientists, but this task is increasingly difficult due to the high rate of academic publication. As a crisis discipline, conservation science is particularly in need of tools that facilitate rapid yet insightful synthesis. We show how a common text-mining method (latent Dirichlet allocation, or topic modeling) and statistical tests familiar to ecologists (cluster analysis, regression, and network analysis) can be used to investigate trends and identify potential research gaps in the scientific literature. We tested these methods on the literature on ecological surrogates and indicators. Analysis of topic popularity within this corpus showed a strong emphasis on monitoring and management of fragmented ecosystems, while analysis of research gaps suggested a greater role for genetic surrogates and indicators. Our results show that automated text analysis methods need to be used with care, but can provide information that is complementary to that given by systematic reviews and meta-analyses, increasing scientists' capacity for research synthesis.</t>
  </si>
  <si>
    <t>[Westgate, Martin J.; Barton, Philip S.; Pierson, Jennifer C.; Lindenmayer, David B.] Australian Natl Univ, Fenner Sch Environm &amp; Soc, Canberra, ACT 0200, Australia</t>
  </si>
  <si>
    <t>Westgate, MJ (corresponding author), Australian Natl Univ, Fenner Sch Environm &amp; Soc, GPO Box 4, Canberra, ACT 0200, Australia.</t>
  </si>
  <si>
    <t>martin.westgate@anu.edu.au</t>
  </si>
  <si>
    <t>Lobo, Diele/I-9106-2012; Westgate, Martin/I-1839-2019; Barton, Philip S/A-6400-2010; Lindenmayer, David B/P-7183-2017</t>
  </si>
  <si>
    <t>Westgate, Martin/0000-0003-0854-2034; Barton, Philip S/0000-0002-8377-2211; Lindenmayer, David B/0000-0002-4766-4088; Pierson, Jennifer/0000-0003-4140-010X</t>
  </si>
  <si>
    <t>ARC Laureate Fellowship</t>
  </si>
  <si>
    <t>ARC Laureate Fellowship(Australian Research Council)</t>
  </si>
  <si>
    <t>This research was supported by an ARC Laureate Fellowship to D.B.L. Our use of LDA in this article was inspired by work by C. Sievert. P. Lane and J. Wood provided feedback that improved earlier versions of this manuscript.</t>
  </si>
  <si>
    <t>10.1111/cobi.12605</t>
  </si>
  <si>
    <t>DB2JT</t>
  </si>
  <si>
    <t>WOS:000368334800013</t>
  </si>
  <si>
    <t>English, P; Fleischman, D; Kean, B; Stevenson, T; Broome, K; Cury, R</t>
  </si>
  <si>
    <t>English, Peter; Fleischman, David; Kean, Bridie; Stevenson, Tania; Broome, Kieran; Cury, Rubiana</t>
  </si>
  <si>
    <t>Academic flexibility and support for student-athletes: An Australian perspective on university teaching staff perceptions</t>
  </si>
  <si>
    <t>JOURNAL FOR THE STUDY OF SPORTS AND ATHLETES IN EDUCATION</t>
  </si>
  <si>
    <t>Student-athletes; dual-careers; high-performance sport; academic success</t>
  </si>
  <si>
    <t>SPORT; SUCCESS; SATISFACTION; WORDS</t>
  </si>
  <si>
    <t>Perspectives of teaching staff on the provision of flexibility for student-athletes are relatively unknown but are a vital element to understand when educating student-athletes. Flexibility is among the academic services often provided to athletes pursuing a dual-pathway. This study aims to investigate teaching staff perceptions on academic support services designed specifically for student-athletes. Utilizing an exploratory approach, it targets the case of one Australian university that has an agenda to support and foster student-athlete academic success. It utilizes an open-ended survey to explore teaching staff perceptions on their ability and willingness to provide learning and teaching support. Seventy-seven educators completed the survey, and the data were examined using both thematic and automated text analysis. There were varying degrees of support regarding flexibility and special considerations for student-athletes. The findings showed that developments in blended learning capability and better internal communication among university management, academics and student-athletes could facilitate improvements in student-athlete support.</t>
  </si>
  <si>
    <t>[English, Peter] Univ Sunshine Coast, Journalism, Sippy Downs, Qld, Australia; [Fleischman, David] Univ Sunshine Coast, Mkt, Sippy Downs, Qld, Australia; [Kean, Bridie] Univ Sunshine Coast, Publ Hlth, Sippy Downs, Qld, Australia; [Stevenson, Tania] Univ Sunshine Coast, High Performance Student Athlete Program, Sippy Downs, Qld, Australia; [Broome, Kieran] Univ Sunshine Coast, Occupat Therapy, Sippy Downs, Qld, Australia; [Cury, Rubiana] Griffith Univ, Brisbane, Qld, Australia</t>
  </si>
  <si>
    <t>University of the Sunshine Coast; University of the Sunshine Coast; University of the Sunshine Coast; University of the Sunshine Coast; University of the Sunshine Coast; Griffith University</t>
  </si>
  <si>
    <t>English, P (corresponding author), Univ Sunshine Coast, Sippy Downs, Qld, Australia.</t>
  </si>
  <si>
    <t>penglish@usc.edu.au</t>
  </si>
  <si>
    <t>English, Peter/0000-0001-5440-5730; Broome, Kieran/0000-0001-9717-4792</t>
  </si>
  <si>
    <t>1935-7397</t>
  </si>
  <si>
    <t>1935-7400</t>
  </si>
  <si>
    <t>J STUDY SPORTS ATHL</t>
  </si>
  <si>
    <t>J. Study Sports Athl. Educ.</t>
  </si>
  <si>
    <t>10.1080/19357397.2022.2026111</t>
  </si>
  <si>
    <t>ZW7RE</t>
  </si>
  <si>
    <t>WOS:000741797200001</t>
  </si>
  <si>
    <t>Myneni, S; Cobb, NK; Cohen, T</t>
  </si>
  <si>
    <t>Lehmann, CU; Ammenwerth, E; Nohr, C</t>
  </si>
  <si>
    <t>Myneni, Sahiti; Cobb, Nathan K.; Cohen, Trevor</t>
  </si>
  <si>
    <t>Finding Meaning in Social Media: Content-based Social Network Analysis of QuitNet to Identify New Opportunities for Health Promotion</t>
  </si>
  <si>
    <t>MEDINFO 2013: PROCEEDINGS OF THE 14TH WORLD CONGRESS ON MEDICAL AND HEALTH INFORMATICS, PTS 1 AND 2</t>
  </si>
  <si>
    <t>Studies in Health Technology and Informatics</t>
  </si>
  <si>
    <t>14th World Congress on Medical and Health Informatics (MEDINFO)</t>
  </si>
  <si>
    <t>AUG 20-23, 2013</t>
  </si>
  <si>
    <t>Copenhagen, DENMARK</t>
  </si>
  <si>
    <t>Online social networks; content analysis; behavior change; smoking cessation</t>
  </si>
  <si>
    <t>SMOKING-CESSATION</t>
  </si>
  <si>
    <t>Unhealthy behaviors increase individual health risks and are a socioeconomic burden. Harnessing social influence is perceived as fundamental for interventions to influence health-related behaviors. However, the mechanisms through which social influence occurs are poorly understood. Online social networks provide the opportunity to understand these mechanisms as they digitally archive communication between members. In this paper, we present a methodology for content-based social network analysis, combining qualitative coding, automated text analysis, and formal network analysis such that network structure is determined by the content of messages exchanged between members. We apply this approach to characterize the communication between members of QuitNet, an online social network for smoking cessation. Results indicate that the method identifies meaningful theme-based social sub-networks. Modeling social network data using this method can provide us with theme-specific insights such as the identities of opinion leaders and sub-community clusters. Implications for design of targeted social interventions are discussed.</t>
  </si>
  <si>
    <t>[Myneni, Sahiti] Univ Texas Sch Biomed Informat Houston, 7000 Fannin,UCT165, Houston, TX 77030 USA; [Myneni, Sahiti; Cohen, Trevor] Univ Texas Sch Biomed Informat Houston, Natl Ctr Congnit Informat &amp; Decis Making Healthca, Houston, TX 77030 USA; [Cobb, Nathan K.] Schroeder Inst Tobacco Res &amp; Policy Studies, Washington, DC 20001 USA</t>
  </si>
  <si>
    <t>University of Texas System; University of Texas Health Science Center Houston; University of Texas System; University of Texas Health Science Center Houston</t>
  </si>
  <si>
    <t>Myneni, S (corresponding author), Univ Texas Sch Biomed Informat Houston, 7000 Fannin,UCT165, Houston, TX 77030 USA.</t>
  </si>
  <si>
    <t>UTHealth Innovation for Cancer Prevention Research Pre-doctoral Fellowship; University of Texas School of Public Health- Cancer Preven-tion and Research Institute of Texas [RP101503]</t>
  </si>
  <si>
    <t>UTHealth Innovation for Cancer Prevention Research Pre-doctoral Fellowship; University of Texas School of Public Health- Cancer Preven-tion and Research Institute of Texas</t>
  </si>
  <si>
    <t>This study is supported in part by UTHealth Innovation for Cancer Prevention Research Pre-doctoral Fellowship, The University of Texas School of Public Health- Cancer Preven-tion and Research Institute of Texas grant # RP101503. &lt;IT&gt;Disclaimer:&lt;/IT&gt; The content is solely the responsibility of the au-thors and does not necessarily represent the official views of the Cancer Prevention and Research Institute of Texas.</t>
  </si>
  <si>
    <t>0926-9630</t>
  </si>
  <si>
    <t>1879-8365</t>
  </si>
  <si>
    <t>978-1-61499-289-9; 978-1-61499-288-2</t>
  </si>
  <si>
    <t>STUD HEALTH TECHNOL</t>
  </si>
  <si>
    <t>10.3233/978-1-61499-289-9-807</t>
  </si>
  <si>
    <t>Health Care Sciences &amp; Services; Medical Informatics</t>
  </si>
  <si>
    <t>BB1DZ</t>
  </si>
  <si>
    <t>WOS:000341021700165</t>
  </si>
  <si>
    <t>Mey, JL</t>
  </si>
  <si>
    <t>Mey, Jacob L.</t>
  </si>
  <si>
    <t>Corpus Linguistics: Some (Meta-)Pragmatic Reflections</t>
  </si>
  <si>
    <t>CORPUS PRAGMATICS</t>
  </si>
  <si>
    <t>Corpus pragmatics; Corpus-driven; Lexicography; Computerized text analysis; Immigrants; Fifth millennium</t>
  </si>
  <si>
    <t>Corpus linguistics has gained a renewed ascendance recently, thanks in part to the availability of better, computerized methods of dealing with large bodies of text. Thus, the older term 'quantitative linguistics' was effectively replaced by its successor, 'corpus linguistics', embracing not only the well-known and trusted statistical methods of handling linguistic date, but also newer approaches, such as indexing in context, creation of (syntactically and semantically) annotated texts, automated text analysis, and so on. The pragmatic aspect of these endeavors is to be sought in their relationship to the user, as this is what a pragmatic approach is all about. After a brief introduction to the term 'corpus' and its uses, it is shown that corpus-related approaches have a lot to offer a pragmaticist studying the influence that texts and users exert on each other through and in the new medium of computerized treatment. In addition, special pragmatic and meta-pragmatic implications with regard to language acquisition and other areas of applied linguistics are taken into consideration.</t>
  </si>
  <si>
    <t>[Mey, Jacob L.] Univ Southern Denmark, Dept Language &amp; Commun, Campusvej 55, DK-5230 Odense M, Denmark</t>
  </si>
  <si>
    <t>University of Southern Denmark</t>
  </si>
  <si>
    <t>Mey, JL (corresponding author), Univ Southern Denmark, Dept Language &amp; Commun, Campusvej 55, DK-5230 Odense M, Denmark.</t>
  </si>
  <si>
    <t>jam@sdu.dk</t>
  </si>
  <si>
    <t>2509-9507</t>
  </si>
  <si>
    <t>2509-9515</t>
  </si>
  <si>
    <t>Corpus Pragmat.</t>
  </si>
  <si>
    <t>10.1007/s41701-017-0017-8</t>
  </si>
  <si>
    <t>VK0EG</t>
  </si>
  <si>
    <t>WOS:000651412400001</t>
  </si>
  <si>
    <t>Iliev, R; Smirnova, A</t>
  </si>
  <si>
    <t>Iliev, Rumen; Smirnova, Anastasia</t>
  </si>
  <si>
    <t>Revealing Word Order: Using Serial Position in Binomials to Predict Properties of the Speaker</t>
  </si>
  <si>
    <t>JOURNAL OF PSYCHOLINGUISTIC RESEARCH</t>
  </si>
  <si>
    <t>Word order; Binomials; Subjective distance; On-line data; Automated text analysis</t>
  </si>
  <si>
    <t>LANGUAGE USE; FREQUENCY; LADIES; 1ST</t>
  </si>
  <si>
    <t>Three studies test the link between word order in binomials and psychological and demographic characteristics of a speaker. While linguists have already suggested that psychological, cultural and societal factors are important in choosing word order in binomials, the vast majority of relevant research was focused on general factors and on broadly shared cultural conventions. In contrast, in this work we are interested in what word order can tell us about the particular speaker. More specifically, we test the degree to which word order is affected by factors such as gender, race, geographic location, religion, political orientation, and consumer preferences. Using a variety of methodologies and different data sources, we find converging evidence that word order is linked to a broad set of features associated with the speaker. We discuss the theoretical implications of these findings and the potential to use word order as a tool for analyzing large text corpora and data on the web.</t>
  </si>
  <si>
    <t>[Iliev, Rumen; Smirnova, Anastasia] Univ Michigan, Ann Arbor, MI 48109 USA</t>
  </si>
  <si>
    <t>Smirnova, Anastasia/AAG-6979-2019</t>
  </si>
  <si>
    <t>DRMS [NSF SES 0962185]</t>
  </si>
  <si>
    <t>DRMS</t>
  </si>
  <si>
    <t>We are thankful to Doug Medin, Sonya Sachdeva, bethany ojalehto and Veronica Gerassimova for suggestions and comments on the paper. This work was supported by a DRMS Grant-NSF SES 0962185.</t>
  </si>
  <si>
    <t>SPRINGER/PLENUM PUBLISHERS</t>
  </si>
  <si>
    <t>0090-6905</t>
  </si>
  <si>
    <t>1573-6555</t>
  </si>
  <si>
    <t>J PSYCHOLINGUIST RES</t>
  </si>
  <si>
    <t>J. Psycholinguist. Res.</t>
  </si>
  <si>
    <t>10.1007/s10936-014-9341-3</t>
  </si>
  <si>
    <t>Linguistics; Psychology, Experimental</t>
  </si>
  <si>
    <t>DH9OE</t>
  </si>
  <si>
    <t>WOS:000373124700002</t>
  </si>
  <si>
    <t>Eisele, O; Hajdinjak, S</t>
  </si>
  <si>
    <t>Eisele, Olga; Hajdinjak, Sanja</t>
  </si>
  <si>
    <t>Entrenching positions? The dynamics of Brexit negotiations mirrored in British, Irish, and EU executives' speeches</t>
  </si>
  <si>
    <t>JOURNAL OF CONTEMPORARY EUROPEAN STUDIES</t>
  </si>
  <si>
    <t>Brexit; speeches; political executives; keyword-assisted topic model</t>
  </si>
  <si>
    <t>NORTHERN-IRELAND; EUROPEAN-UNION; CRISIS; ECONOMICS; POLITICS</t>
  </si>
  <si>
    <t>Brexit constitutes an unprecedented crisis for the European Union and its member states. Three affected parties - the United Kingdom, the EU and Ireland - worked hard to protect their interests, making the negotiations difficult, especially regarding the Irish land border. While the key interests of the negotiating partners are clear, it is less known how and to what extent these interests were communicated by the political representatives of the three countries. We approach Brexit as a critical juncture and base our work on the framing literature. We use a unique dataset including political speeches made by EU Commission members and the UK and Irish government officials during a period from January 2016 until January 2020, relying on the innovative automated text analysis approach of keyword-assisted topic modelling. Beyond insisting on their interests, communication reflects the socio-political context. We find indications that speeches reflect the flow of the negotiations. Finally, our analysis reveals topics that largely flew under the media radar, such as research and protection.</t>
  </si>
  <si>
    <t>[Eisele, Olga] Univ Vienna, Dept Commun, Kolingasse 14-16, A-1090 Vienna, Austria; [Hajdinjak, Sanja] Ludwig Maximilian Univ Munich, Geschwister Scholl Inst Polit Sci, Munich, Germany</t>
  </si>
  <si>
    <t>University of Vienna; University of Munich</t>
  </si>
  <si>
    <t>Eisele, O (corresponding author), Univ Vienna, Dept Commun, Kolingasse 14-16, A-1090 Vienna, Austria.</t>
  </si>
  <si>
    <t>Eisele, Olga/0000-0002-6604-3498</t>
  </si>
  <si>
    <t>Austrian Science Fund (FWF) [T-989 G27]</t>
  </si>
  <si>
    <t>Austrian Science Fund (FWF)(Austrian Science Fund (FWF))</t>
  </si>
  <si>
    <t>This work was supported by the Austrian Science Fund (FWF) [T-989 G27].</t>
  </si>
  <si>
    <t>1478-2804</t>
  </si>
  <si>
    <t>1478-2790</t>
  </si>
  <si>
    <t>J CONTEMP EUR STUD</t>
  </si>
  <si>
    <t>J. Contemp. Eur. Stud.</t>
  </si>
  <si>
    <t>10.1080/14782804.2022.2109605</t>
  </si>
  <si>
    <t>3X5RC</t>
  </si>
  <si>
    <t>WOS:000843096800001</t>
  </si>
  <si>
    <t>Pitt, C; Plangger, K; Eriksson, T</t>
  </si>
  <si>
    <t>Pitt, Christine; Plangger, Kirk; Eriksson, Theresa</t>
  </si>
  <si>
    <t>Accommodation eWOM in the sharing economy: automated text comparisons from a large sample</t>
  </si>
  <si>
    <t>JOURNAL OF HOSPITALITY MARKETING &amp; MANAGEMENT</t>
  </si>
  <si>
    <t>Customer rating inflation; customer reviews; sharing economy; amateur service providers; automated text analysis</t>
  </si>
  <si>
    <t>WORD-OF-MOUTH; CUSTOMER SATISFACTION; SIGNALING THEORY; CONSUMERS; MOTIVATIONS; PERFORMANCE; TOURISTS; POWER</t>
  </si>
  <si>
    <t>Across many industries, individuals are increasingly relying on customer ratings and reviews on social media. While customer reviews often provide detailed diagnostic information about experiences, customer ratings often reduce the experience down to a simple number. Moreover, there is evidence to support that customer rating inflation is occurring on social media sites over time, especially in the sharing economy, and especially with regard to travel and tourism experiences. This paper conceptualizes how customer experiences are reduced into customer reviews and further abridged into customer ratings in both the traditional and sharing economy contexts. We propose that customers observe how service providers present themselves as a professional (established chain hotel) or amateur (owner operated vacation rental apartment), and then form different service expectations and perceptions accordingly. We investigate 55,110 customer reviews and ratings of New York City's accommodation providers and indeed find evidence of rating inflation over the eight years studied.</t>
  </si>
  <si>
    <t>[Pitt, Christine] Royal Inst Technol KTH, Dept Ind Econ &amp; Management, Stockholm, Sweden; [Plangger, Kirk] Kings Coll London, Kings Business Sch, London, England; [Eriksson, Theresa] Lulea Univ Technol, Sch Business Adm &amp; Social Sci, Lulea, Sweden</t>
  </si>
  <si>
    <t>Royal Institute of Technology; University of London; King's College London; Lulea University of Technology</t>
  </si>
  <si>
    <t>Pitt, C (corresponding author), Royal Inst Technol KTH, Stockholm, Sweden.</t>
  </si>
  <si>
    <t>Plangger, Kirk/0000-0002-0354-9707; Pitt, Christine/0000-0002-2343-9361; Eriksson, Maria Theresa/0000-0002-9285-397X</t>
  </si>
  <si>
    <t>1936-8623</t>
  </si>
  <si>
    <t>1936-8631</t>
  </si>
  <si>
    <t>J HOSP MARKET MANAG</t>
  </si>
  <si>
    <t>J. Hosp. Market. Manag.</t>
  </si>
  <si>
    <t>FEB 17</t>
  </si>
  <si>
    <t>10.1080/19368623.2020.1781733</t>
  </si>
  <si>
    <t>Business; Hospitality, Leisure, Sport &amp; Tourism; Management</t>
  </si>
  <si>
    <t>PZ0EQ</t>
  </si>
  <si>
    <t>WOS:000547100400001</t>
  </si>
  <si>
    <t>Hatipoglu, E; Gokce, OZ; Arin, I; Saygin, Y</t>
  </si>
  <si>
    <t>Hatipoglu, Emre; Gokce, Osman Zeki; Arin, Inanc; Saygin, Yucel</t>
  </si>
  <si>
    <t>Automated Text Analysis and International Relations: The Introduction and Application of a Novel Technique for Twitter</t>
  </si>
  <si>
    <t>ALL AZIMUTH-A JOURNAL OF FOREIGN POLICY AND PEACE</t>
  </si>
  <si>
    <t>Social media; foreign policy; refugee; Turkey; public opinion</t>
  </si>
  <si>
    <t>SOCIAL MEDIA; POLICY POSITIONS; POLITICAL TEXTS; PERCEPTIONS; SENTIMENT; DIPLOMACY; INTERNET; WORDS; NEWS; SET</t>
  </si>
  <si>
    <t>Social media platforms, thanks to their inherent wain? of quick andfirr-reaching dissemination of information, have gradually supplanted the conventional media and become the new loci of political communication. These platforms not only ease and expedite communication among crowds, but also provide researchers huge and easily accessible information. This huge information pool, if it is processed with a systematic analysis, can be a fruitful data some for researchers. Systematic catalysis of data from social media, however, poses various challenges for political catalysis. Significant advances in automated textual analysis have tried to address such challenges of social media data. This paper introduces one such novel technique to assist researchers doing textual analysis on Twitter Afore specifically, we develop a clustering methodology based on Longest Common Subsequence Similarity Metric, which automatically groups tweets with similar content. To illustrate the usefulness of this technique, we present some of our findings from a project we conducted on Turkish sentiments on Twitter towards Syrian refugees.</t>
  </si>
  <si>
    <t>[Hatipoglu, Emre] Sabanci Univ, Fac Arts &amp; Social Sci, Istanbul, Turkey; [Gokce, Osman Zeki] Istanbul Medipol Univ, Fac Humanities &amp; Social Sci, Istanbul, Turkey; [Arin, Inanc] Sabanci Univ, Dept Comp Sci &amp; Engn, Istanbul, Turkey; [Saygin, Yucel] Sabanci Univ, Fac Engn &amp; Nat Sci, Istanbul, Turkey</t>
  </si>
  <si>
    <t>Sabanci University; Istanbul Medipol University; Sabanci University; Sabanci University</t>
  </si>
  <si>
    <t>Hatipoglu, E (corresponding author), Sabanci Univ, Fac Arts &amp; Social Sci, Istanbul, Turkey.</t>
  </si>
  <si>
    <t>ehatipoglu@sabanciuniv.edu; ogokce@medipol.edu.tr; inanc@sabanciuniv.edu; ysaygin@sabanciuniv.edu</t>
  </si>
  <si>
    <t>Hatipoglu, Emre/GZB-2442-2022; Arin, Inanc/AAY-9449-2020; Hatipoglu, Emre/AAA-9372-2021</t>
  </si>
  <si>
    <t>Hatipoglu, Emre/0000-0002-5927-4423; Hatipoglu, Emre/0000-0002-5927-4423; Arin, Inanc/0000-0003-4668-3014</t>
  </si>
  <si>
    <t>CENTER FOREIGN POLICY &amp; PEACE RESEARCH</t>
  </si>
  <si>
    <t>ANKARA</t>
  </si>
  <si>
    <t>IHSAN DOGRAMACI PEACE FOUNDATION, BILKENT UNIV, G BLDG, RM 157, ANKARA, 06800, TURKEY</t>
  </si>
  <si>
    <t>2146-7757</t>
  </si>
  <si>
    <t>ALL AZIMUTH</t>
  </si>
  <si>
    <t>All Azimuth</t>
  </si>
  <si>
    <t>IF8LM</t>
  </si>
  <si>
    <t>WOS:000473342000005</t>
  </si>
  <si>
    <t>Fong, C; Grimmer, J</t>
  </si>
  <si>
    <t>Erk, K; Smith, NA</t>
  </si>
  <si>
    <t>Fong, Christian; Grimmer, Justin</t>
  </si>
  <si>
    <t>Discovery of Treatments from Text Corpora</t>
  </si>
  <si>
    <t>PROCEEDINGS OF THE 54TH ANNUAL MEETING OF THE ASSOCIATION FOR COMPUTATIONAL LINGUISTICS, VOL 1</t>
  </si>
  <si>
    <t>54th Annual Meeting of the Association-for-Computational-Linguistics (ACL)</t>
  </si>
  <si>
    <t>AUG 07-12, 2016</t>
  </si>
  <si>
    <t>Berlin, GERMANY</t>
  </si>
  <si>
    <t>Assoc Computat Linguist,Google,Baidu,Amazon Com,Bloomberg,Facebook,Microsoft Res,eBay,Elsevier,IBM Res,MaluubA,Huawei Technologies,Nuance,Grammarly,VoiceBox Technologies,Yandex,Textkernel,Zalando SE</t>
  </si>
  <si>
    <t>STATISTICS</t>
  </si>
  <si>
    <t>An extensive literature in computational social science examines how features of messages, advertisements, and other corpora affect individuals' decisions, but these analyses must specify the relevant features of the text before the experiment. Automated text analysis methods are able to discover features of text, but these methods cannot be used to obtain the estimates of causal effects the quantity of interest for applied researchers. We introduce a new experimental design and statistical model to simultaneously discover treatments in a corpora and estimate causal effects for these discovered treatments. We prove the conditions to identify the treatment effects of texts and introduce the supervised Indian Buffet process to discover those treatments. Our method enables us to discover treatments in a training set using a collection of texts and individuals' responses to those texts, and then estimate the effects of these interventions in a test set of new texts and survey respondents. We apply the model to an experiment about candidate biographies, recovering intuitive features of voters' decisions and revealing a penalty for lawyers and a bonus for military service.</t>
  </si>
  <si>
    <t>[Fong, Christian] Stanford Univ, 655 Serra St, Stanford, CA 94305 USA; [Grimmer, Justin] Stanford Univ, 616 Serra St, Stanford, CA 94305 USA</t>
  </si>
  <si>
    <t>Fong, C (corresponding author), Stanford Univ, 655 Serra St, Stanford, CA 94305 USA.</t>
  </si>
  <si>
    <t>christianfong@stanford.edu; jgrimmer@stanford.edu</t>
  </si>
  <si>
    <t>National Science Foundation Graduate Research Fellowship [DGE-114747]</t>
  </si>
  <si>
    <t>National Science Foundation Graduate Research Fellowship(National Science Foundation (NSF))</t>
  </si>
  <si>
    <t>This material is based upon work supported by the National Science Foundation Graduate Research Fellowship under Grant No. DGE-114747. Any opinions, findings, and conclusions or recommendations expressed in this material are those of the authors and do not necessarily reflect the views of the National Science Foundation</t>
  </si>
  <si>
    <t>978-1-945626-00-5</t>
  </si>
  <si>
    <t>Computer Science, Artificial Intelligence; Computer Science, Interdisciplinary Applications</t>
  </si>
  <si>
    <t>BO0XL</t>
  </si>
  <si>
    <t>WOS:000493806800151</t>
  </si>
  <si>
    <t>Toward a Deeper Understanding of Prolific Lying: Building a Profile of Situation-Level and Individual-Level Characteristics</t>
  </si>
  <si>
    <t>lying; deception; prolific lying; automated text analysis; Dark Triad; deception consensus effect</t>
  </si>
  <si>
    <t>DARK TRIAD; DECEPTION; LIE; PERSONALITY; MACHIAVELLIANISM; PREVALENCE</t>
  </si>
  <si>
    <t>Prior work suggests those who lie prolifically tend to be younger and self-identify as male compared to those who engage in everyday lying, but little research has developed an understanding of prolific lying beyond demographics. Study 1 (N = 775) replicated the prior demographic effects and assessed prolific lying through situation-level (e.g., opportunistic cheating) and individual-level characteristics (e.g., dispositional traits, general communication patterns) for white and big lies. For these two lie types, prolific lying associated with more opportunistic cheating, the use of fewer adjectives, and being high on psychopathy compared to everyday lying. Study 2 (N = 1,022) replicated these results and observed a deception consensus effect reported in other studies: the more that people deceived, the more they believed that others deceived as well. This piece develops a deeper theoretical understanding of prolific lying for white and big lies, combining evidence of situational, dispositional, and communication characteristics.</t>
  </si>
  <si>
    <t>[Markowitz, David M.] Univ Oregon, Allen Hall, Eugene, OR 97403 USA</t>
  </si>
  <si>
    <t>10.1177/00936502221097041</t>
  </si>
  <si>
    <t>2T2PF</t>
  </si>
  <si>
    <t>WOS:000822319400001</t>
  </si>
  <si>
    <t>Cronemberger, F; Gil-Garcia, JR; Costa, FX; Pardo, TA</t>
  </si>
  <si>
    <t>Kankanhalli, A; Ojo, A; Soares, D</t>
  </si>
  <si>
    <t>Cronemberger, Felippe; Gil-Garcia, J. Ramon; Costa, Felipe Xavier; Pardo, Theresa A.</t>
  </si>
  <si>
    <t>Smart Cities Depictions in Wikipedia Articles: Reflections from a Text Analysis Approach</t>
  </si>
  <si>
    <t>PROCEEDINGS OF THE 11TH INTERNATIONAL CONFERENCE ON THEORY AND PRACTICE OF ELECTRONIC GOVERNANCE (ICEGOV2018)</t>
  </si>
  <si>
    <t>ACM International Conference Proceedings Series</t>
  </si>
  <si>
    <t>11th International Conference on Theory and Practice of Electronic Governance (ICEGOV)</t>
  </si>
  <si>
    <t>APR 04-06, 2018</t>
  </si>
  <si>
    <t>Natl Univ Ireland Galway, Galway, IRELAND</t>
  </si>
  <si>
    <t>Sci Fdn Ireland,INSIGHT Ctr Data Analyt,United Nat Univ, Operating Unit Policy Driven Elect Governance,United Nat Educ, Sci &amp; Cultural Org,Govt Republ Ireland, Dept Publ Expenditure &amp; Reform</t>
  </si>
  <si>
    <t>Natl Univ Ireland Galway</t>
  </si>
  <si>
    <t>Smart Cities; Text Analysis; Analytics</t>
  </si>
  <si>
    <t>Discussions about smart cities continue to attract much attention from researchers, practitioners and citizens at large. As the literature continues to grow the number of indicators and frameworks for smartness are becoming more robust and perspectives on what makes a city smart continue to evolve. This exploratory research analyzes text from 51 Wikipedia articles that describe cities considered smart according to three globally recognized and independent rankings of cities. By comparing findings on word frequencies and word associations found in Wikipedia articles with terminology found in academic literature on smart cities, this study intends to determine to what extent data about smart cities produced through Wikipedia's crowdsourcing approach relates to theoretical developments in the field. This inductive approach may open avenues to the application of automated text analysis methods in theorizing and empirical efforts with information produced about smart cities. This exploratory work may facilitate conceptual understanding of the properties and features of smart cities and may also open avenues to future applications of alternative conceptualization methods.</t>
  </si>
  <si>
    <t>[Cronemberger, Felippe] SUNY Albany, 1400 Washington Ave, Albany, NY 12222 USA; [Gil-Garcia, J. Ramon; Pardo, Theresa A.] SUNY Albany, 187 Wolf Rd,Suite 301, Albany, NY 12222 USA; [Costa, Felipe Xavier] Av Rui Barbosa 760,Apt 1501, Recife, PE, Brazil</t>
  </si>
  <si>
    <t>State University of New York (SUNY) System; State University of New York (SUNY) Albany; State University of New York (SUNY) System; State University of New York (SUNY) Albany</t>
  </si>
  <si>
    <t>Cronemberger, F (corresponding author), SUNY Albany, 1400 Washington Ave, Albany, NY 12222 USA.</t>
  </si>
  <si>
    <t>fcronemberger@alumni.albany.edu; jgil-garcia@ctg.albany.edu; felipecosta.physics@gmail.com; tpardo@ctg.albany.edu</t>
  </si>
  <si>
    <t>Gil-Garcia, J. Ramon/A-9636-2009</t>
  </si>
  <si>
    <t>Gil-Garcia, J. Ramon/0000-0002-1033-4974; Xavier Costa, Felipe/0000-0001-6675-0355</t>
  </si>
  <si>
    <t>978-1-4503-5421-9</t>
  </si>
  <si>
    <t>ACM INT CONF PR SER</t>
  </si>
  <si>
    <t>10.1145/3209415.3209508</t>
  </si>
  <si>
    <t>Computer Science, Interdisciplinary Applications; Computer Science, Theory &amp; Methods; Public Administration</t>
  </si>
  <si>
    <t>Computer Science; Public Administration</t>
  </si>
  <si>
    <t>BO4ZF</t>
  </si>
  <si>
    <t>WOS:000515826000068</t>
  </si>
  <si>
    <t>Dehghani, M; Johnson, KM; Garten, J; Boghrati, R; Hoover, J; Balasubramanian, V; Singh, A; Shankar, Y; Pulickal, L; Rajkumar, A; Parmar, NJ</t>
  </si>
  <si>
    <t>Dehghani, Morteza; Johnson, Kate M.; Garten, Justin; Boghrati, Reihane; Hoover, Joe; Balasubramanian, Vijayan; Singh, Anurag; Shankar, Yuvarani; Pulickal, Linda; Rajkumar, Aswin; Parmar, Niki Jitendra</t>
  </si>
  <si>
    <t>TACIT: An open-source text analysis, crawling, and interpretation tool</t>
  </si>
  <si>
    <t>BEHAVIOR RESEARCH METHODS</t>
  </si>
  <si>
    <t>Automated text analysis; Language-based assessment; Computational linguistics; Corpus analysis tools</t>
  </si>
  <si>
    <t>LANGUAGE USE; LIBERALS</t>
  </si>
  <si>
    <t>As human activity and interaction increasingly take place online, the digital residues of these activities provide a valuable window into a range of psychological and social processes. A great deal of progress has been made toward utilizing these opportunities; however, the complexity of managing and analyzing the quantities of data currently available has limited both the types of analysis used and the number of researchers able to make use of these data. Although fields such as computer science have developed a range of techniques and methods for handling these difficulties, making use of those tools has often required specialized knowledge and programming experience. The Text Analysis, Crawling, and Interpretation Tool (TACIT) is designed to bridge this gap by providing an intuitive tool and interface for making use of state-of-the-art methods in text analysis and large-scale data management. Furthermore, TACIT is implemented as an open, extensible, plugin-driven architecture, which will allow other researchers to extend and expand these capabilities as new methods become available.</t>
  </si>
  <si>
    <t>[Dehghani, Morteza; Johnson, Kate M.; Garten, Justin; Boghrati, Reihane; Hoover, Joe; Balasubramanian, Vijayan; Singh, Anurag; Shankar, Yuvarani; Pulickal, Linda; Rajkumar, Aswin; Parmar, Niki Jitendra] Univ Southern Calif, 3620 S McClintock Ave, Los Angeles, CA 90007 USA</t>
  </si>
  <si>
    <t>Dehghani, M (corresponding author), Univ Southern Calif, 3620 S McClintock Ave, Los Angeles, CA 90007 USA.</t>
  </si>
  <si>
    <t>mdehghan@usc.edu</t>
  </si>
  <si>
    <t>Rajkumar, Arthur/AGZ-2969-2022; Ponton, Twyla/X-3944-2019</t>
  </si>
  <si>
    <t>1554-351X</t>
  </si>
  <si>
    <t>1554-3528</t>
  </si>
  <si>
    <t>BEHAV RES METHODS</t>
  </si>
  <si>
    <t>Behav. Res. Methods</t>
  </si>
  <si>
    <t>10.3758/s13428-016-0722-4</t>
  </si>
  <si>
    <t>Psychology, Mathematical; Psychology, Experimental</t>
  </si>
  <si>
    <t>ET6HJ</t>
  </si>
  <si>
    <t>WOS:000400391800010</t>
  </si>
  <si>
    <t>Zhang, YN; Shah, D; Pevehouse, J; Valenzuela, S</t>
  </si>
  <si>
    <t>Zhang, Yini; Shah, Dhavan; Pevehouse, Jon; Valenzuela, Sebastian</t>
  </si>
  <si>
    <t>Reactive and Asymmetric Communication Flows: Social Media Discourse and Partisan News Framing in the Wake of Mass Shootings</t>
  </si>
  <si>
    <t>communication flows; hybrid media; partisan media; asymmetry; social media; intermedia agenda setting; news framing</t>
  </si>
  <si>
    <t>IDEOLOGICAL ASYMMETRY; BIG DATA; TWITTER; AGENDA; DYNAMICS; TELEVISION; NETWORKS; EXPOSURE; COVERAGE; SYSTEMS</t>
  </si>
  <si>
    <t>Marked by both deep interconnectedness and polarization, the contemporary media system in the United States features news outlets and social media that are bound together, yet deeply divided along partisan lines. This article formally analyzes communication flows surrounding mass shootings in the hybrid and polarized U.S. media system. We begin by integrating media system literature with agenda setting and news framing theories and then conduct automated text analysis and time series modeling. After accounting for exogenous event characteristics, results show that (a) sympathy and gun control discourses on Twitter preceded news framing of gun policy more than the other way around, and (b) conservatives on Twitter and conservative media reacted to progressive discourse on Twitter, without their progressive counterparts exhibiting a similar reactiveness. Such results shed light on the influence of social media on political communication flows and confirm an asymmetry in the ways partisan media ecosystems respond to social events.</t>
  </si>
  <si>
    <t>[Zhang, Yini] Univ Buffalo, Dept Commun, North Campus,355 Baldy Hall, Buffalo, NY 14260 USA; [Shah, Dhavan] Univ Wisconsin, Sch Journalism &amp; Mass Commun, Madison, WI 53706 USA; [Pevehouse, Jon] Univ Wisconsin, Dept Polit Sci, Madison, WI USA; [Valenzuela, Sebastian] Pontificia Univ Catolica Chile, Sch Commun, Santiago, Chile</t>
  </si>
  <si>
    <t>State University of New York (SUNY) System; State University of New York (SUNY) Buffalo; University of Wisconsin System; University of Wisconsin Madison; University of Wisconsin System; University of Wisconsin Madison; Pontificia Universidad Catolica de Chile</t>
  </si>
  <si>
    <t>Zhang, YN (corresponding author), Univ Buffalo, Dept Commun, North Campus,355 Baldy Hall, Buffalo, NY 14260 USA.</t>
  </si>
  <si>
    <t>yzhang20@buffalo.edu</t>
  </si>
  <si>
    <t>Valenzuela, Sebastián/AAA-7308-2020</t>
  </si>
  <si>
    <t>Valenzuela, Sebastián/0000-0001-5991-7364; Zhang, Yini/0000-0002-2957-1590</t>
  </si>
  <si>
    <t>University of Wisconsin -Madison Office of the Vice Chancellor for Research and Graduate Education; Wisconsin Alumni Research Foundation; William and Flora Hewlett Foundation; John S. and James L. Knight Foundation</t>
  </si>
  <si>
    <t>The author(s) disclosed receipt of the following financial support for the research, authorship, and/or publication of this article: This research was supported by grants from the University of Wisconsin -Madison Office of the Vice Chancellor for Research and Graduate Education, with funding from the Wisconsin Alumni Research Foundation, the William and Flora Hewlett Foundation, and the John S. and James L. Knight Foundation.</t>
  </si>
  <si>
    <t>10.1177/19401612211072793</t>
  </si>
  <si>
    <t>YP5IA</t>
  </si>
  <si>
    <t>WOS:000748654900001</t>
  </si>
  <si>
    <t>Ernst, N; Engesser, S; Buchel, F; Blassnig, S; Esser, F</t>
  </si>
  <si>
    <t>Ernst, Nicole; Engesser, Sven; Buchel, Florin; Blassnig, Sina; Esser, Frank</t>
  </si>
  <si>
    <t>Extreme parties and populism: an analysis of Facebook and Twitter across six countries</t>
  </si>
  <si>
    <t>INFORMATION COMMUNICATION &amp; SOCIETY</t>
  </si>
  <si>
    <t>Populist communication; social media; opposition party; politics; content analysis; online communication</t>
  </si>
  <si>
    <t>POLITICAL COMMUNICATION; SOCIAL MEDIA; MEDIATIZATION; SWITZERLAND; OPPOSITION; GOVERNMENT; DISCOURSE; DEMOCRACY; LEADERS; PEOPLE</t>
  </si>
  <si>
    <t>Parties are adapting to the new digital environment in many ways; however, the precise relations between populist communication and social media are still hardly considered. This study compares populist communication strategies on Twitter and Facebook employed by a broad spectrum of left-wing, center, and right-wing political actors in six Western democracies. We conduct a semi-automated content analysis of politicians' social media statements (N=1400) and find that populism manifests itself in a fragmented form and is mostly used by political actors at the extremes of the political spectrum (both right-wing and left-wing), by opposition parties, and on Facebook.</t>
  </si>
  <si>
    <t>[Ernst, Nicole; Engesser, Sven; Buchel, Florin; Blassnig, Sina; Esser, Frank] Univ Zurich, Inst Mass Commun &amp; Media Res IPMZ, Zurich, Switzerland</t>
  </si>
  <si>
    <t>Ernst, N (corresponding author), Univ Zurich, Inst Mass Commun &amp; Media Res, Andreasstr 15, CH-8050 Zurich, Switzerland.</t>
  </si>
  <si>
    <t>n.ernst@ipmz.uzh.ch; s.engesser@ipmz.uzh.ch; f.buechel@ipmz.uzh.ch; s.blassnig@ipmz.uzh.ch; f.esser@ipmz.uzh.ch</t>
  </si>
  <si>
    <t>Blassnig, Sina/T-3959-2019; Engesser, Sven/S-6150-2018</t>
  </si>
  <si>
    <t>Blassnig, Sina/0000-0002-7815-0186; Engesser, Sven/0000-0003-1638-7548</t>
  </si>
  <si>
    <t>National Center of Competence in Research on 'Challenges to Democracy in the Century' (NCCR Democracy); Swiss National Science Foundation (SNSF)</t>
  </si>
  <si>
    <t>National Center of Competence in Research on 'Challenges to Democracy in the Century' (NCCR Democracy); Swiss National Science Foundation (SNSF)(Swiss National Science Foundation (SNSF))</t>
  </si>
  <si>
    <t>This study was supported by the National Center of Competence in Research on 'Challenges to Democracy in the 21st Century' (NCCR Democracy), funded by the Swiss National Science Foundation (SNSF).</t>
  </si>
  <si>
    <t>1369-118X</t>
  </si>
  <si>
    <t>1468-4462</t>
  </si>
  <si>
    <t>INFORM COMMUN SOC</t>
  </si>
  <si>
    <t>Info. Commun. Soc.</t>
  </si>
  <si>
    <t>10.1080/1369118X.2017.1329333</t>
  </si>
  <si>
    <t>Communication; Sociology</t>
  </si>
  <si>
    <t>EY2CP</t>
  </si>
  <si>
    <t>WOS:000403776300005</t>
  </si>
  <si>
    <t>Gottschalk, LA; Bechtel, RJ</t>
  </si>
  <si>
    <t>Computerized content analysis of speech plus speech recognition in the measurement of neuropsychiatric dimensions</t>
  </si>
  <si>
    <t>COMPUTER METHODS AND PROGRAMS IN BIOMEDICINE</t>
  </si>
  <si>
    <t>speech recognition; content analysis; neuropsychiatric assessment</t>
  </si>
  <si>
    <t>The Psychiatric Content Analysis and Diagnosis (PCAD) program performs automated content analysis of machine-readable transcriptions of speech samples to measure the magnitude of neuropsychiatric states and traits. Technological advances provided by computerized speech recognition may offer a possible alternative to labor-intensive manual transcription for preparation of samples for PCAD processing. To test this hypothesis, 25 digitally recorded verbal samples were transcribed both manually and by a commercially available speech recognition software package, and the transcriptions scored by PCAD. The inter-correlations between scores derived from the two different methods of transcriptions offer mixed results, with values ranging from a high of 0.920 to a low of -0.119. (C) 2004 Elsevier Ireland Ltd. All rights reserved.</t>
  </si>
  <si>
    <t>Univ Calif Irvine, Coll Med, Dept Psychiat &amp; Human Behav, Irvine, CA 92697 USA; Eclect Comp Concepts, McKinney, TX 75069 USA</t>
  </si>
  <si>
    <t>University of California System; University of California Irvine</t>
  </si>
  <si>
    <t>Gottschalk, LA (corresponding author), Univ Calif Irvine, Coll Med, Dept Psychiat &amp; Human Behav, Irvine, CA 92697 USA.</t>
  </si>
  <si>
    <t>lgottsch@uci.edu</t>
  </si>
  <si>
    <t>ELSEVIER IRELAND LTD</t>
  </si>
  <si>
    <t>CLARE</t>
  </si>
  <si>
    <t>ELSEVIER HOUSE, BROOKVALE PLAZA, EAST PARK SHANNON, CO, CLARE, 00000, IRELAND</t>
  </si>
  <si>
    <t>0169-2607</t>
  </si>
  <si>
    <t>1872-7565</t>
  </si>
  <si>
    <t>COMPUT METH PROG BIO</t>
  </si>
  <si>
    <t>Comput. Meth. Programs Biomed.</t>
  </si>
  <si>
    <t>10.1016/j.cmpb.2004.08.002</t>
  </si>
  <si>
    <t>Computer Science, Interdisciplinary Applications; Computer Science, Theory &amp; Methods; Engineering, Biomedical; Medical Informatics</t>
  </si>
  <si>
    <t>Computer Science; Engineering; Medical Informatics</t>
  </si>
  <si>
    <t>889ZH</t>
  </si>
  <si>
    <t>WOS:000226480900008</t>
  </si>
  <si>
    <t>Karsten, N</t>
  </si>
  <si>
    <t>Karsten, Niels</t>
  </si>
  <si>
    <t>What Councillors Expect of Facilitative Mayors: The Desired Leadership Competencies in Job Advertisements for the Dutch Mayoralty and How They Are Affected by Municipal Size</t>
  </si>
  <si>
    <t>LEX LOCALIS-JOURNAL OF LOCAL SELF-GOVERNMENT</t>
  </si>
  <si>
    <t>facilitative leadership; mayors; leadership style; job advertisements</t>
  </si>
  <si>
    <t>POLITICAL-LEADERSHIP; URBAN GOVERNANCE; MANAGEMENT</t>
  </si>
  <si>
    <t>Job vacancy texts for the Dutch mayoralty provide original evidence about what councillors expect of facilitative mayors. In this article, we conduct an automated content analysis of 231 advertisements and use focus groups to interpret our results. We find that the desired qualities of mayoral candidates include showing morally appropriate behaviour, acting as a liaison within local government and beyond, as well as vigour, empathy, and communicative skill. Further, we find that municipal size does affect the desirability of leadership competencies, but also that its impact is limited. This finding suggests that desired local leadership qualities may be less context-dependent than previously assumed.</t>
  </si>
  <si>
    <t>[Karsten, Niels] Tilburg Univ, POB 90153, NL-5000 LE Tilburg, Netherlands</t>
  </si>
  <si>
    <t>Tilburg University</t>
  </si>
  <si>
    <t>Karsten, N (corresponding author), Tilburg Univ, POB 90153, NL-5000 LE Tilburg, Netherlands.</t>
  </si>
  <si>
    <t>n.karsten@uvt.nl</t>
  </si>
  <si>
    <t>Karsten, Niels/0000-0002-3972-4810</t>
  </si>
  <si>
    <t>INST LOCAL SELF-GOVERNMENT PUBLIC PROCUREMENT MARIBOR</t>
  </si>
  <si>
    <t>MARIBOR</t>
  </si>
  <si>
    <t>GRAJSKA ULICA 7, MARIBOR, SI-2000, SLOVENIA</t>
  </si>
  <si>
    <t>1581-5374</t>
  </si>
  <si>
    <t>1855-363X</t>
  </si>
  <si>
    <t>LEX LOCALIS</t>
  </si>
  <si>
    <t>Lex Localis-J. Local Self-Gov.</t>
  </si>
  <si>
    <t>10.4335/17.1.179-199(2019)</t>
  </si>
  <si>
    <t>HJ0AL</t>
  </si>
  <si>
    <t>WOS:000456819000010</t>
  </si>
  <si>
    <t>Rossini, P; Stromer-Galley, J; Kenski, K; Hemsley, J; Zhang, FF; Dobreski, B</t>
  </si>
  <si>
    <t>Rossini, Patricia; Stromer-Galley, Jennifer; Kenski, Kate; Hemsley, Jeff; Zhang, Feifei; Dobreski, Brian</t>
  </si>
  <si>
    <t>The relationship between race competitiveness, standing in the polls, and social media communication strategies during the 2014 U.S. gubernatorial campaigns</t>
  </si>
  <si>
    <t>Political campaigns; negative advertising; social media; digital campaigns</t>
  </si>
  <si>
    <t>TWITTER USE; CANDIDATES; INTERNET; POLITICS; SITES</t>
  </si>
  <si>
    <t>Political campaigns have been systematically using social media for strategic advantage. However, little is known about how competitiveness affects the ways candidates communicate online. Our study analyzes how race competitiveness as measured by polling performance influences candidates' strategies on Twitter and Facebook. We analyze all social media messages of Republican and Democratic candidates in states that held gubernatorial elections in 2014 using supervised automated content analysis. We find that position in the polls and that race competitiveness are correlated with the ways candidates communicate on social media, and that candidates use Twitter and Facebook in different ways to communicate with the public.</t>
  </si>
  <si>
    <t>[Rossini, Patricia; Stromer-Galley, Jennifer; Hemsley, Jeff; Zhang, Feifei; Dobreski, Brian] Syracuse Univ, Syracuse, NY 13244 USA; [Kenski, Kate] Univ Arizona, Tucson, AZ 85721 USA</t>
  </si>
  <si>
    <t>Syracuse University; University of Arizona</t>
  </si>
  <si>
    <t>Rossini, P (corresponding author), Syracuse Univ, Syracuse, NY 13244 USA.</t>
  </si>
  <si>
    <t>pgoncalv@syr.edu</t>
  </si>
  <si>
    <t>Rossini, Patrícia/I-9377-2019; Stromer-Galley, Jennifer/ABA-8952-2021</t>
  </si>
  <si>
    <t>Rossini, Patrícia/0000-0002-4463-6444; Stromer-Galley, Jennifer/0000-0001-6079-8788</t>
  </si>
  <si>
    <t>10.1080/19331681.2018.1485606</t>
  </si>
  <si>
    <t>GS5WM</t>
  </si>
  <si>
    <t>WOS:000443744000004</t>
  </si>
  <si>
    <t>Thoms, C; Degenhart, A; Wohlgemuth, K</t>
  </si>
  <si>
    <t>Thoms, Claudia; Degenhart, Anke; Wohlgemuth, Katharina</t>
  </si>
  <si>
    <t>Is Bad News Difficult to Read? A Readability Analysis of Differently Connoted Passages in the Annual Reports of the 30 DAX Companies</t>
  </si>
  <si>
    <t>JOURNAL OF BUSINESS AND TECHNICAL COMMUNICATION</t>
  </si>
  <si>
    <t>readability; obfuscation; annual reports; content analysis; linear mixed-effects analysis</t>
  </si>
  <si>
    <t>COMPLEXITY; REPUTATION; FLUENCY; MEDIA; CURSE</t>
  </si>
  <si>
    <t>This study examines the strategic use of readability to obfuscate negative news in a German financial communication context. Combining a manual and an automated content analysis, the authors assess the tone and readability of three parts (chairman's address, share-price development, and development in the fiscal year) of the 2014 annual reports of the 30 companies listed in the German stock index DAX. The results indicate that positively connoted passages in annual reports are not necessarily easier to read than negatively connoted passages. Furthermore, the readability of the annual report varies depending on the part and its function within the report.</t>
  </si>
  <si>
    <t>[Thoms, Claudia; Wohlgemuth, Katharina] Univ Hohenheim, Inst Commun Sci, Stuttgart, Germany; [Degenhart, Anke] Univ Hohenheim, Inst Mkt &amp; Management, Stuttgart, Germany; [Wohlgemuth, Katharina] Mercedes Benz AG, Stuttgart, Germany</t>
  </si>
  <si>
    <t>University Hohenheim; University Hohenheim; Daimler AG</t>
  </si>
  <si>
    <t>Thoms, C (corresponding author), Univ Hohenheim, Fruwirthstr 46, D-70599 Stuttgart, Germany.</t>
  </si>
  <si>
    <t>claudia.thoms@uni-hohenheim.de</t>
  </si>
  <si>
    <t>Thoms, Claudia/AAC-7614-2022</t>
  </si>
  <si>
    <t>Thoms, Claudia/0000-0002-6601-1170</t>
  </si>
  <si>
    <t>1050-6519</t>
  </si>
  <si>
    <t>1552-4574</t>
  </si>
  <si>
    <t>J BUS TECH COMMUN</t>
  </si>
  <si>
    <t>J. Bus. Tech. Commun.</t>
  </si>
  <si>
    <t>10.1177/1050651919892312</t>
  </si>
  <si>
    <t>KM9KY</t>
  </si>
  <si>
    <t>WOS:000507089900001</t>
  </si>
  <si>
    <t>Nunez-Mir, GC; Iannone, BV; Pijanowski, BC; Kong, NN; Fei, SL</t>
  </si>
  <si>
    <t>Nunez-Mir, Gabriela C.; Iannone, Basil V., III; Pijanowski, Bryan C.; Kong, Ningning; Fei, Songlin</t>
  </si>
  <si>
    <t>Automated content analysis: addressing the big literature challenge in ecology and evolution</t>
  </si>
  <si>
    <t>METHODS IN ECOLOGY AND EVOLUTION</t>
  </si>
  <si>
    <t>concept map; literature review; machine learning; quantitative review; research synthesis; text mining; topic modelling</t>
  </si>
  <si>
    <t>TEXT ANALYSIS; SOFTWARE</t>
  </si>
  <si>
    <t>The exponential growth of scientific literature - which we call the big literature' phenomenon - has created great challenges in literature comprehension and synthesis. The traditional manual literature synthesis processes are often unable to take advantage of big literature due to human limitations in time and cognition, creating the need for new literature synthesis methods to address this challenge. In this paper, we discuss a highly useful literature synthesis approach, automated content analysis (ACA), which has not yet been widely adopted in the fields of ecology and evolutionary biology. ACA is a suite of machine learning tools for the qualitative and quantitative synthesis of big literature commonly used in the social sciences and in medical research. Our goal is to introduce ecologists and evolutionary biologists to ACA and illustrate its capacity to synthesize overwhelming volumes of literature. First, we provide a brief history of the ACA method and summarize the fundamental process of ACA. Next, we present two ACA studies to illustrate the utility and versatility of ACA in synthesizing ecological and evolutionary literature. Finally, we discuss how to maximize the utility and contributions of ACA, as well as potential research directions that may help to advance the use of ACA in future ecological and evolutionary research. Unlike manual methods of literature synthesis, ACA is able to process high volumes of literature at substantially shorter time spans, while helping to mitigate human biases. The overall efficiency and versatility of this method allow for a broad range of applications for literature review and synthesis, including both exploratory reviews and systematic reviews aiming to address more targeted research questions. By allowing for more extensive and comprehensive reviews of big literature, ACA has the potential to fill an important methodological gap and therefore contribute to the advancement of ecological and evolutionary research.</t>
  </si>
  <si>
    <t>[Nunez-Mir, Gabriela C.; Iannone, Basil V., III; Pijanowski, Bryan C.; Fei, Songlin] Purdue Univ, Dept Forestry &amp; Nat Resources, W Lafayette, IN 47907 USA; [Kong, Ningning] Purdue Univ, Purdue Univ Lib, W Lafayette, IN 47907 USA</t>
  </si>
  <si>
    <t>Lobo, Diele/I-9106-2012; Nunez-Mir, Gabriela/ABD-5360-2020; Nunez-Mir, Gabriela/GXE-9963-2022</t>
  </si>
  <si>
    <t>Nunez-Mir, Gabriela/0000-0003-2426-3393; Kong, Ningning/0000-0001-9926-6543</t>
  </si>
  <si>
    <t>We thank the Associate Editor, Chris Grieves, Dr. Scott Chamberlain and two anonymous reviewers for constructive comments on an earlier version of the manuscript. This research was supported by the NSF Macrosystems Biology Program grant #1241932.</t>
  </si>
  <si>
    <t>2041-210X</t>
  </si>
  <si>
    <t>2041-2096</t>
  </si>
  <si>
    <t>METHODS ECOL EVOL</t>
  </si>
  <si>
    <t>Methods Ecol. Evol.</t>
  </si>
  <si>
    <t>10.1111/2041-210X.12602</t>
  </si>
  <si>
    <t>EB8VO</t>
  </si>
  <si>
    <t>WOS:000387669600001</t>
  </si>
  <si>
    <t>Nicholls, T</t>
  </si>
  <si>
    <t>Nicholls, Tom</t>
  </si>
  <si>
    <t>Detecting Textual Reuse in News Stories, At Scale</t>
  </si>
  <si>
    <t>computational methods; news production; churnalism; news agency; automated content analysis; online news</t>
  </si>
  <si>
    <t>JOURNALISTS; CHURNALISM; AGENCY</t>
  </si>
  <si>
    <t>Motivated by the debate around churnalism and online media, this article develops, evaluates, and validates a computational method for detecting shared text between different news articles, at scale, using n-gram shingling. It differentiates between newswire copy, public relations material, source-to-source copying, and common-source and incidental overlaps. I evaluate the method, quantitatively and qualitatively, and show that it can effectively handle newswire content, copying, and other forms of reuse. Substantively, I find lower levels of news agency and press release copy reuse than is suggested by previous studies, and conclude that the news agency finding is robust, but the lack of press release copy found might reflect limitations of the method and the changing practices of journalists.</t>
  </si>
  <si>
    <t>[Nicholls, Tom] Univ Oxford, Oxford, England</t>
  </si>
  <si>
    <t>Nicholls, T (corresponding author), Univ Oxford, Oxford, England.</t>
  </si>
  <si>
    <t>tom.nicholls@politics.ox.ac.uk</t>
  </si>
  <si>
    <t>Nicholls, Tom/0000-0002-6971-8614</t>
  </si>
  <si>
    <t>Google UK as part of the Digital News Initiative [CTR00220]</t>
  </si>
  <si>
    <t>Google UK as part of the Digital News Initiative(Google Incorporated)</t>
  </si>
  <si>
    <t>This work was supported by a grant from Google UK as part of the Digital News Initiative (CTR00220).</t>
  </si>
  <si>
    <t>JB7SS</t>
  </si>
  <si>
    <t>WOS:000488766000017</t>
  </si>
  <si>
    <t>Vindigni, G; Mosca, A; Bartoloni, T; Spina, D</t>
  </si>
  <si>
    <t>Vindigni, Gabriella; Mosca, Alexandros; Bartoloni, Tommaso; Spina, Daniela</t>
  </si>
  <si>
    <t>Shedding Light on Peri-Urban Ecosystem Services Using Automated Content Analysis</t>
  </si>
  <si>
    <t>peri-urban; ecosystem service; landscape; text mining; automated content analysis</t>
  </si>
  <si>
    <t>URBAN AGRICULTURE; CLIMATE-CHANGE; TEXT ANALYSIS; GREEN SPACE; LAND-USE; LANDSCAPES; FRAMEWORK; ACCESSIBILITY; PREFERENCES; GOVERNANCE</t>
  </si>
  <si>
    <t>The objective of this paper is to provide an overall perspective on peri-urban ecosystem services in European Countries. The phenomenon of urbanization affecting our era has seen the shift of the city from compact and well-defined structures to agglomerations with a seamless expansion. This has led to several environmental consequences that have affected the urbanized areas and the surroundings. The peri-urban areas may be the main urban design and planning challenge of the 21st century. These hybrid landscapes, characterized by high fragmentation, can be turned into opportunities to improve the sustainability and quality of urban areas, generating multiple economic, social and environmental benefits. Areas beyond the immediate urban core can be considered a zone of influence, which represent a critical resource in terms of provisioning, regulating, supporting services and cultural ecosystem services. Our study has been developed in the framework of the project Fertile Lands, Fragile Lands funded by the University of Catania. A multi-phased method has been applied, showing strong, heterogeneous ties between landscape and ecosystem services. While the importance of literature studies on this topic is well recognized, the same attention has not been placed on the tools and methods of conducting systematic and incremental literature reviews. Using Leximancer software, we propose a text mining approach to extract relevant themes and concepts as well as related topics of interest from identified literature on peri-urban ecosystems. We first introduce the overall methodology and then discuss each phase in detail. The outputs can be used as starting point for broad exploratory reviews and allow further exploration in this issue. The results show how the peri-urban space can be seen as a mosaic in which the settlement, the agricultural and the environmental systems interact and coexist, placing at the centre the relationship of reciprocity between the built environment and the open territory.</t>
  </si>
  <si>
    <t>[Vindigni, Gabriella; Spina, Daniela] Univ Catania, Dept Agr Food &amp; Environm Di3A, Via S Sofia 98-100, I-95123 Catania, Italy; [Mosca, Alexandros] Univ Catania, Dept Phys &amp; Astron, Via S Sofia,64, I-95123 Catania, Italy; [Bartoloni, Tommaso] Iuav Univ Venice, Dept Project Cultures, Santa Croce 191, I-30135 Venice, Italy</t>
  </si>
  <si>
    <t>University of Catania; University of Catania; IUAV University Venice</t>
  </si>
  <si>
    <t>Vindigni, G (corresponding author), Univ Catania, Dept Agr Food &amp; Environm Di3A, Via S Sofia 98-100, I-95123 Catania, Italy.</t>
  </si>
  <si>
    <t>vindigni@unict.it; alexandros.mosca@phd.unict.it; tbartoloni@iuav.it; daniela.spina@unict.it</t>
  </si>
  <si>
    <t>Spina, Daniela/0000-0002-7587-6360</t>
  </si>
  <si>
    <t>University of Catania</t>
  </si>
  <si>
    <t>This research was funded by the project ERRARE-Terre fertili, terre fragili, finanziato nell'ambito di PIACERI-Piano per la Ricerca di Ateneo 2020-2022, Linea di intervento 2. University of Catania. Project leader: Gabriella Vindigni.</t>
  </si>
  <si>
    <t>10.3390/su13169182</t>
  </si>
  <si>
    <t>UH6DX</t>
  </si>
  <si>
    <t>WOS:000690020100001</t>
  </si>
  <si>
    <t>Kroon, AC; Trilling, D; Raats, T</t>
  </si>
  <si>
    <t>Kroon, Anne C.; Trilling, Damian; Raats, Tamara</t>
  </si>
  <si>
    <t>Guilty by Association: Using Word Embeddings to Measure Ethnic Stereotypes in News Coverage</t>
  </si>
  <si>
    <t>JOURNALISM &amp; MASS COMMUNICATION QUARTERLY</t>
  </si>
  <si>
    <t>bias; stereotypes; automated content analysis; time-series analysis</t>
  </si>
  <si>
    <t>IMMIGRANT INTEGRATION; UNIVERSAL DIMENSIONS; CONTENT MODEL; MEDIA; WARMTH; SEGREGATION; COMPETENCE; ATTITUDES; FRAME; SENSITIVITY</t>
  </si>
  <si>
    <t>The current study provides a new level of empirical evidence for the nature of ethnic stereotypes in news content by drawing on a sample of more than 3 million Dutch news items. The study's findings demonstrate that universally accepted dimensions of stereotype content (i.e., low-status and high-threat attributes) can be replicated in news media content across a diverse set of ingroup and outgroup categories. Representations of minorities in newspapers have become progressively remote from factual integration outcomes, and are therefore rather an artifact of news production processes than a true reflection of what is actually happening in society.</t>
  </si>
  <si>
    <t>[Kroon, Anne C.] Univ Amsterdam, Amsterdam Sch Commun Res ASCoR, Corp Commun, Amsterdam, Netherlands; [Trilling, Damian] Univ Amsterdam, Polit Commun &amp; Journalism, Amsterdam, Netherlands; [Trilling, Damian] Univ Amsterdam, Dept Commun Sci, Commun Digital Soc Initiat, Amsterdam, Netherlands; [Trilling, Damian] Univ Amsterdam, Amsterdam Sch Commun Res ASCoR, NL-1001 NG Amsterdam, Netherlands; [Raats, Tamara] Univ Amsterdam, Amsterdam, Netherlands</t>
  </si>
  <si>
    <t>University of Amsterdam; University of Amsterdam; University of Amsterdam; University of Amsterdam; University of Amsterdam</t>
  </si>
  <si>
    <t>Kroon, AC (corresponding author), Univ Amsterdam, Amsterdam Sch Commun Res ASCoR, NL-1001 NG Amsterdam, Netherlands.</t>
  </si>
  <si>
    <t>A.C.Kroon@uva.nl</t>
  </si>
  <si>
    <t>1077-6990</t>
  </si>
  <si>
    <t>2161-430X</t>
  </si>
  <si>
    <t>J MASS COMMUN Q</t>
  </si>
  <si>
    <t>Journal. Mass Commun. Q.</t>
  </si>
  <si>
    <t>10.1177/1077699020932304</t>
  </si>
  <si>
    <t>SJ6NQ</t>
  </si>
  <si>
    <t>WOS:000552037700001</t>
  </si>
  <si>
    <t>Wagner, RG; Bellisario, KM; Kong, NN</t>
  </si>
  <si>
    <t>Wagner, Robert G.; Bellisario, Kristen M.; Kong, Ningning N.</t>
  </si>
  <si>
    <t>Change in Doctoral Dissertation Topics in Forest Resources from US Universities Over Four Decades</t>
  </si>
  <si>
    <t>FOREST SCIENCE</t>
  </si>
  <si>
    <t>graduate education and research; land-grant universities; McIntire-Stennis; automated content analysis; latent Dirichlet allocation</t>
  </si>
  <si>
    <t>POPULATION DECLINES; CALIFORNIA; ALGORITHM; SEVERITY; DYNAMICS; TRENDS</t>
  </si>
  <si>
    <t>Changes in forest resources expertise from 1978 to 2017, as measured by annual number of doctoral dissertations published on twenty topics, were examined. Using the ProQuest Dissertations and Theses Global database, titles and abstracts from 11,530 dissertations produced by fifty-six universities in the United States were selected. Automated content analysis and latent Dirichlet allocation were used to identify the optimal number of topic groupings among 7,742 dissertations that met selection criteria. Substantial differences were found in the pattern of publication among the twenty topics over time. The number of dissertations related to forest growth and silviculture; tree seedling propagation, physiology, and regeneration; and forest soil nutrients, ecology, and management declined over the past two decades. Dissertations related to forest wildlife management, including terrestrial wildlife ecology and management; wildlife food and nutrition; and fish ecology and management also declined during the same period. The number of dissertations in the fields of forest policy, politics, and social science; forest modeling, biometrics, and statistics; wood science; forest vegetation ecology; and avian ecology increased during the four decades. Dissertations published in the fields of forest economics, and forest entomology and pathology, remained relatively stable. Study Implications: We found decreasing production of doctoral dissertations focused on applied forest and wildlife management topics in recent decades. Declining doctoral-level expertise in applied fields after the early 2000s suggest that there may be reduced capacity to address practical problems facing both forest and wildlife managers. This decline also suggests that finding university instructors qualified to teach more applied forest and wildlife courses may have been more difficult over the past decade and possibly into the future. Our analysis indicated that the increased number of dissertations in adjacent sciences supporting forest resources has substantially increased capacity in these areas.</t>
  </si>
  <si>
    <t>[Wagner, Robert G.; Bellisario, Kristen M.] Purdue Univ, Dept Forestry &amp; Nat Resources, 715 W State St, W Lafayette, IN 47907 USA; [Kong, Ningning N.] Purdue Univ, Lib &amp; Sch Informat Studies, 715 W State St, W Lafayette, IN 47907 USA</t>
  </si>
  <si>
    <t>Wagner, RG (corresponding author), Purdue Univ, Dept Forestry &amp; Nat Resources, 715 W State St, W Lafayette, IN 47907 USA.</t>
  </si>
  <si>
    <t>rgwagner@purdue.edu</t>
  </si>
  <si>
    <t>Kong, Ningning/0000-0001-9926-6543; Wagner, Robert/0000-0002-6657-3798; Bellisario, Kristen/0000-0002-9810-3504</t>
  </si>
  <si>
    <t>0015-749X</t>
  </si>
  <si>
    <t>1938-3738</t>
  </si>
  <si>
    <t>FOREST SCI</t>
  </si>
  <si>
    <t>For. Sci.</t>
  </si>
  <si>
    <t>APR 18</t>
  </si>
  <si>
    <t>10.1093/forsci/fxac004</t>
  </si>
  <si>
    <t>0O1OE</t>
  </si>
  <si>
    <t>WOS:000783297700012</t>
  </si>
  <si>
    <t>Bonisch, LE</t>
  </si>
  <si>
    <t>Boenisch, Lea Ewe</t>
  </si>
  <si>
    <t>What Factors Shape the Substantive Representation of Lesbians, Gays and Bisexuals in Parliament? Testing the Impact of Minority Membership, Political Values and Awareness</t>
  </si>
  <si>
    <t>Comparative Politics; Lesbians; Gays and Bisexuals; Minorities; Parliamentary Studies; Quantitative Text Analysis; Representation</t>
  </si>
  <si>
    <t>DESCRIPTIVE REPRESENTATION; CRITICAL MASS; IMMIGRANT; POLICY; WOMEN; MPS; INTERESTS; BLACK</t>
  </si>
  <si>
    <t>The importance of minority parliamentarians for substantive representation is widely acknowledged, but little research exists on further explanations. By studying the substantive representation of the interests of lesbians, gays, and bisexuals (LGBs), this study analyses why parliamentarians stand in for interests of minorities with an invisible characteristic. A quantitative content analysis of more than 950,000 British and Irish parliamentary questions provides the basis for the analysis (2002-2017). The study considers parliamentarians' characteristics as explanatory factors. The results indicate that parliamentary presence is vital for LGBs. However, the most active parliamentarians are non-minority members: political values and awareness are also at play. Moreover, there are differences between the two parliaments.</t>
  </si>
  <si>
    <t>[Boenisch, Lea Ewe] Heinrich Heine Univ Dusseldorf, Polit Sci, Dusseldorf, Germany</t>
  </si>
  <si>
    <t>Heinrich Heine University Dusseldorf</t>
  </si>
  <si>
    <t>Bonisch, LE (corresponding author), Heinrich Heine Univ Dusseldorf, Polit Sci, Dusseldorf, Germany.</t>
  </si>
  <si>
    <t>lea-ewe.boenisch@hhu.de</t>
  </si>
  <si>
    <t>Bonisch, Lea/0000-0002-8516-8253</t>
  </si>
  <si>
    <t>10.1093/pa/gsab033</t>
  </si>
  <si>
    <t>6H9BD</t>
  </si>
  <si>
    <t>WOS:000764558300001</t>
  </si>
  <si>
    <t>Hubscher, E</t>
  </si>
  <si>
    <t>Hubscher, Evelyne</t>
  </si>
  <si>
    <t>The impact of coalition parties on policy output - evidence from Germany</t>
  </si>
  <si>
    <t>JOURNAL OF LEGISLATIVE STUDIES</t>
  </si>
  <si>
    <t>Legislative output; political parties; public policy; quantitative text analysis; coalition politics; Germany</t>
  </si>
  <si>
    <t>ELECTORAL CONSEQUENCES; PORTFOLIO ALLOCATION; FISCAL CONSOLIDATION; WESTERN DEMOCRACIES; GOVERNMENT; ELECTIONS; PAYOFFS; POSITIONS; SELECTION; SHIFTS</t>
  </si>
  <si>
    <t>This paper examines two crucial questions related to coalition politics and representative democracies. How do parties' ideological positions translate into cabinet policy positions? And how does the relative impact of parties vary over the legislative term. Using an original dataset of 74 social and budgetary laws from nine German coalition governments, the paper shows that, on average, government parties influence cabinet policy position according to their relative strength. However, the relative impact of coalition parties varies significantly during the term. At the beginning of the term in office, the policy positions of the cabinet are representative of the overall cabinet ideology, but the policy positions strongly move towards the position of the party representing the median when the next election approaches.</t>
  </si>
  <si>
    <t>[Hubscher, Evelyne] Cent European Univ, Sch Publ Policy, Budapest, Hungary</t>
  </si>
  <si>
    <t>Central European University</t>
  </si>
  <si>
    <t>Hubscher, E (corresponding author), Cent European Univ, Sch Publ Policy, Budapest, Hungary.</t>
  </si>
  <si>
    <t>HuebscherE@ceu.edu</t>
  </si>
  <si>
    <t>Hübscher, Evelyne/AAE-1787-2019</t>
  </si>
  <si>
    <t>Hübscher, Evelyne/0000-0001-6883-2792</t>
  </si>
  <si>
    <t>1357-2334</t>
  </si>
  <si>
    <t>1743-9337</t>
  </si>
  <si>
    <t>J LEGIS STUD</t>
  </si>
  <si>
    <t>J. Legis. Stud.</t>
  </si>
  <si>
    <t>10.1080/13572334.2019.1570599</t>
  </si>
  <si>
    <t>HN7TE</t>
  </si>
  <si>
    <t>WOS:000460393800005</t>
  </si>
  <si>
    <t>Gross, V</t>
  </si>
  <si>
    <t>Gross, Vlad</t>
  </si>
  <si>
    <t>Keeping the status quo: business success in the EU collective redress initiative</t>
  </si>
  <si>
    <t>INTEREST GROUPS &amp; ADVOCACY</t>
  </si>
  <si>
    <t>Interest groups; European Union; Collective redress; Lobbying success; Salience</t>
  </si>
  <si>
    <t>QUANTITATIVE TEXT ANALYSIS; EUROPEAN-UNION; LOBBYING SUCCESS; PUBLIC-OPINION; POLICY; DETERMINANTS; PATTERNS; LESSONS; AGENDA</t>
  </si>
  <si>
    <t>The European Commission initiative on collective redress was a failed attempt to introduce a form of class action in the European Union. Business organizations were firmly opposing the proposal, while citizen interest groups were mobilized to support it. The outcome was rather puzzling because some previous research suggests that business organizations in the European Union most often find themselves unsuccessful in defending the status quo, especially in the field of environmental and consumer protection. Business lobbying success in this case is explained by the low media salience of the issue and diverging preferences among public officials. The article illustrates how lobbying success in the European Union can also be achieved by maintaining the status quo and contributes to our understanding of contextual factors, most notably the role of policymakers.</t>
  </si>
  <si>
    <t>[Gross, Vlad] Univ Antwerp, ACIM Antwerp Ctr Inst &amp; Multilevel Polit, Dept Polit Sci, Sint Jacobstr 2, B-2000 Antwerp, Belgium</t>
  </si>
  <si>
    <t>University of Antwerp</t>
  </si>
  <si>
    <t>Gross, V (corresponding author), Univ Antwerp, ACIM Antwerp Ctr Inst &amp; Multilevel Polit, Dept Polit Sci, Sint Jacobstr 2, B-2000 Antwerp, Belgium.</t>
  </si>
  <si>
    <t>vlad.gross@uantwerpen.be</t>
  </si>
  <si>
    <t>European Research Council [ERC-2013-CoG 616702-iBias]</t>
  </si>
  <si>
    <t>This research was supported by the European Research Council grant ERC-2013-CoG 616702-iBias. I would like to thank Jan Beyers and two anonymous reviewers for comments on previous versions of this article and the interviewees who gave so freely of their time.</t>
  </si>
  <si>
    <t>2047-7422</t>
  </si>
  <si>
    <t>INTEREST GROUPS ADVO</t>
  </si>
  <si>
    <t>Interest Groups Advocacy</t>
  </si>
  <si>
    <t>10.1057/s41309-017-0019-8</t>
  </si>
  <si>
    <t>FH7PQ</t>
  </si>
  <si>
    <t>WOS:000411382900003</t>
  </si>
  <si>
    <t>Cross, JP; Hermansson, H</t>
  </si>
  <si>
    <t>Cross, James P.; Hermansson, Henrik</t>
  </si>
  <si>
    <t>Legislative amendments and informal politics in the European Union: A text reuse approach</t>
  </si>
  <si>
    <t>Bargaining; co-decision; informal politics; legislative studies; quantitative text analysis</t>
  </si>
  <si>
    <t>DECISION-MAKING; CONCILIATION COMMITTEE; EMPIRICAL-ANALYSIS; CODECISION; PARLIAMENT; COMMISSION; POSITIONS; DYNAMICS; PARTISAN; POWER</t>
  </si>
  <si>
    <t>The ability to amend legislative proposals introduced by the Commission is central to legislative process in the European Union. Despite this, very few attempts have been made to capture and explain such amendments. This study addresses this gap in the literature by considering the changes between the Commission's proposals and the final legislative outcome passed by the European Union. It does so by implementing minimum edit distance algorithms to measure changes between legislative proposals and outcomes. The findings suggest that legislative amendments are determined by the formal and informal institutional structures in which negotiations take place and characteristics of the proposal itself. Our conclusions contribute to the ongoing debate on the nature and distribution of legislative powers in the European Union.</t>
  </si>
  <si>
    <t>[Cross, James P.] Univ Coll Dublin, Sch Polit &amp; Int Relat, Dublin, Ireland; [Hermansson, Henrik] Univ Copenhagen, Dept Polit Sci, Ctr European Polit, Copenhagen, Denmark</t>
  </si>
  <si>
    <t>University College Dublin; University of Copenhagen</t>
  </si>
  <si>
    <t>Cross, JP (corresponding author), Univ Coll Dublin, G305,Newman Bldg, Dublin 4, Ireland.</t>
  </si>
  <si>
    <t>james.cross@ucd.ie</t>
  </si>
  <si>
    <t>; Cross, James/F-4166-2016</t>
  </si>
  <si>
    <t>Hermansson, Henrik/0000-0002-0997-9556; Cross, James/0000-0001-8042-1099</t>
  </si>
  <si>
    <t>Danish Free Research Council [4003-00071B]</t>
  </si>
  <si>
    <t>Danish Free Research Council</t>
  </si>
  <si>
    <t>The author(s) disclosed receipt of the following financial support for the research, authorship and/or publication of this article: The research underpinning this article was paid for in part by an Individual Postdoc Grant, 4003-00071B, from the Danish Free Research Council.</t>
  </si>
  <si>
    <t>10.1177/1465116517717071</t>
  </si>
  <si>
    <t>FM8RV</t>
  </si>
  <si>
    <t>WOS:000415358100004</t>
  </si>
  <si>
    <t>Jenne, N; Urdinez, F; Schenoni, LL</t>
  </si>
  <si>
    <t>Jenne, Nicole; Urdinez, Francisco; Schenoni, Luis Leandro</t>
  </si>
  <si>
    <t>Of words and deeds: Latin American declaratory regionalism, 1994-2014</t>
  </si>
  <si>
    <t>CAMBRIDGE REVIEW OF INTERNATIONAL AFFAIRS</t>
  </si>
  <si>
    <t>INTEGRATION; INSTITUTIONS</t>
  </si>
  <si>
    <t>The idea of an integrated Latin American region goes back to the early post-independence period, and yet, in substance, Latin American regionalism has remained far behind its stated aims. The perceived implementation gap has raised the question why policymakers continued to talk about something they appeared to avoid in practice. This article contributes to the debate on Latin America's integration gap by exploring the phenomenon of declaratory regionalism - the practice of referring to the region and its institutions in political speeches. Based on quantitative text analysis of the speeches presidents delivered annually at the UN's General Assembly between 1994 and 2014, we show that this practice has not been uniform. Presidents distinguish between different forms of regionalism, integration and cooperation, and frame the geographical region they refer to accordingly. In motivating presidents to speak about integration as opposed to cooperation, ideology and democratic performance stand out as crucial factors.</t>
  </si>
  <si>
    <t>[Jenne, Nicole; Urdinez, Francisco] Pontificia Univ Catolica Chile, Santiago, Chile; [Schenoni, Luis Leandro] Univ Notre Dame, Notre Dame, IN 46556 USA</t>
  </si>
  <si>
    <t>Pontificia Universidad Catolica de Chile; University of Notre Dame</t>
  </si>
  <si>
    <t>Jenne, N (corresponding author), Pontificia Univ Catolica Chile, Santiago, Chile.</t>
  </si>
  <si>
    <t>njenne@uc.cl; lschenon@nd.edu; furdinez@uc.cl</t>
  </si>
  <si>
    <t>Schenoni, Luis/I-6679-2019; Jenne, Nicole/GRS-5631-2022; Urdinez, Francisco/AAB-4759-2021</t>
  </si>
  <si>
    <t>Schenoni, Luis/0000-0001-6770-2136; Jenne, Nicole/0000-0001-7114-3146; Urdinez, Francisco/0000-0003-3333-478X</t>
  </si>
  <si>
    <t>Millennium Nucleus for the Study of Stateness and Democracy in Latin America [RS130002]; Millennium Scientific Initiative of the Ministry of Economy, Development and Tourism of Chile; Kellogg Institute for International Studies (University of Notre Dame)</t>
  </si>
  <si>
    <t>Millennium Nucleus for the Study of Stateness and Democracy in Latin America; Millennium Scientific Initiative of the Ministry of Economy, Development and Tourism of Chile; Kellogg Institute for International Studies (University of Notre Dame)</t>
  </si>
  <si>
    <t>The authors would like to thank the Millennium Nucleus for the Study of Stateness and Democracy in Latin America (RS130002), supported by the Millennium Scientific Initiative of the Ministry of Economy, Development and Tourism of Chile, as well as the Kellogg Institute for International Studies (University of Notre Dame) for their generous support. The Robert Schuman Centre for Advanced Studies (European University Institute) also contributed greatly to this project through the publication of an initial working paper. In addition, the authors would like to acknowledge Olivier Dabene, Andres Malamud, Detlef Nolte, Jose Antonio Sanahuja, and Carsten-Andreas Schulz, as well as four patient reviewers, for critical comments that helped to sharpen the arguments put forward here. All remaining errors are our own.</t>
  </si>
  <si>
    <t>0955-7571</t>
  </si>
  <si>
    <t>1474-449X</t>
  </si>
  <si>
    <t>CAMB REV INT AFF</t>
  </si>
  <si>
    <t>Camb. Rev. Int. Aff.</t>
  </si>
  <si>
    <t>2-3</t>
  </si>
  <si>
    <t>10.1080/09557571.2017.1383358</t>
  </si>
  <si>
    <t>FU9AC</t>
  </si>
  <si>
    <t>WOS:000424147300006</t>
  </si>
  <si>
    <t>Katalin, F</t>
  </si>
  <si>
    <t>Katalin, Feher</t>
  </si>
  <si>
    <t>Smart city trends and concepts according to the most popular collaborative documentation</t>
  </si>
  <si>
    <t>INFORMACIOS TARSADALOM</t>
  </si>
  <si>
    <t>Hungarian</t>
  </si>
  <si>
    <t>smart city; city concept; government; business; university research; smart citizen</t>
  </si>
  <si>
    <t>BETWEENNESS; CENTRALITY</t>
  </si>
  <si>
    <t>The purpose of our paper is to provide a global perspective of the current smart city trend topics and concepts of most popular and collaborative public documents. The field is first presented by a brief summary of its changing emphasis on scientific literature. Therefore, a systematic filtered corpus will be presented based on documents of governmental, business and university research co-operation. After describing the methodological concerns, a quantitative text analysis and text-based network analysis are formulated for detection of current trend topics. Last but not least, the most referred concepts of the corpus are briefly expounded. The outcome is a summary of recommendations for smart city planning applying the scientific literature, the most popular and public documentation of current trend topics, and the most referred city concepts according to the research corpus.</t>
  </si>
  <si>
    <t>[Katalin, Feher] Budapesti Gazdasagi Egyet, Kutatokozpontjanak Tud Fomunkatarsa, Budapest, Hungary; [Katalin, Feher] Digital Ident Agcy, Budapest, Hungary; [Katalin, Feher] Masaryk Univ, Brno, Czech Republic</t>
  </si>
  <si>
    <t>Masaryk University Brno</t>
  </si>
  <si>
    <t>Katalin, F (corresponding author), Budapesti Gazdasagi Egyet, Kutatokozpontjanak Tud Fomunkatarsa, Budapest, Hungary.;Katalin, F (corresponding author), Digital Ident Agcy, Budapest, Hungary.;Katalin, F (corresponding author), Masaryk Univ, Brno, Czech Republic.</t>
  </si>
  <si>
    <t>Feher, Katalin/AAF-3175-2020</t>
  </si>
  <si>
    <t>Feher, Katalin/0000-0003-3293-0862</t>
  </si>
  <si>
    <t>INFONIA</t>
  </si>
  <si>
    <t>BUDAPEST</t>
  </si>
  <si>
    <t>MUEGYETEM RKP 9 II EMELET 210, BUDAPEST, 1111, HUNGARY</t>
  </si>
  <si>
    <t>1587-8694</t>
  </si>
  <si>
    <t>INF TARSAD</t>
  </si>
  <si>
    <t>Inf. Tarsad.</t>
  </si>
  <si>
    <t>GC0AU</t>
  </si>
  <si>
    <t>WOS:000429439300003</t>
  </si>
  <si>
    <t>Biasing Politics? Interest Group Participation in EU Policy-Making</t>
  </si>
  <si>
    <t>EUROPEAN-UNION; SUCCESS; POWERFUL</t>
  </si>
  <si>
    <t>Does lobbying success in the European Union vary systematically across interest group type? Interest groups lobby the European institutions in order to achieve policy decisions that are in line with their own preferences. While some argue that different types of interest groups are equally able to shape European policy-making, others contend that lobbying success is systematically biased towards some powerful interest groups. The empirical evidence is contradictory as previous studies focused either on a specific interest group type or on a specific policy area so that it is difficult to draw general conclusions. This study therefore presents an extensive empirical analysis of lobbying success across a wide variety of interest groups and policy issues by combining a quantitative text analysis of Commission consultations with an online survey among interest groups. The findings are promising as they indicate that lobbying success does not vary systematically across interest group type.</t>
  </si>
  <si>
    <t>[Kluever, Heike] Univ Oxford, Dept Polit &amp; Int Relat, Oxford OX1 2JD, England</t>
  </si>
  <si>
    <t>Kluver, H (corresponding author), Univ Oxford Nuffield Coll, Oxford OX1 1NF, England.</t>
  </si>
  <si>
    <t>10.1080/01402382.2012.706413</t>
  </si>
  <si>
    <t>994JI</t>
  </si>
  <si>
    <t>WOS:000307926300009</t>
  </si>
  <si>
    <t>Cei, L; Defrancesco, E; Stefani, G</t>
  </si>
  <si>
    <t>Cei, Leonardo; Defrancesco, Edi; Stefani, Gianluca</t>
  </si>
  <si>
    <t>What topic modelling can show about the development of agricultural economics: evidence from the Journal Citation Report category top journals</t>
  </si>
  <si>
    <t>EUROPEAN REVIEW OF AGRICULTURAL ECONOMICS</t>
  </si>
  <si>
    <t>structural topic modelling; agricultural economics subfields; agricultural economics literature; text analysis</t>
  </si>
  <si>
    <t>TEXT</t>
  </si>
  <si>
    <t>Throughout its history, several attempts have been made to map the structure and subfields of agricultural economics; however, these attempts either rely on the experience of distinguished scholars or require processing a massive amount of textual data. This paper investigates the structural dynamics of agricultural economics, focusing on the changing frequency of different subfields and the diversification of the discipline over time and on the differences between European and non-European scholars. A quantitative text analysis is carried out on abstracts from the major agricultural economics journals in the Journal Citation Reports category 'Agricultural Economics and Policy'. The topics identified are consistent with findings from traditional studies, but their importance differs between the two areas. However, a convergence process has been observed in the last years.</t>
  </si>
  <si>
    <t>[Cei, Leonardo; Defrancesco, Edi] Univ Padua, TESAF Dept, Legnaro, Italy; [Stefani, Gianluca] Univ Firenze, DISEI Dept, Florence, Italy</t>
  </si>
  <si>
    <t>University of Padua; University of Florence</t>
  </si>
  <si>
    <t>Cei, L (corresponding author), Univ Padua, TESAF Dept, Legnaro, Italy.</t>
  </si>
  <si>
    <t>leonardo.cei@unipd.it</t>
  </si>
  <si>
    <t>Stefani, Gianluca/Q-9446-2019; Defrancesco, Edi/M-8654-2015</t>
  </si>
  <si>
    <t>Stefani, Gianluca/0000-0002-0687-9955; CEI, LEONARDO/0000-0002-1622-0716; Defrancesco, Edi/0000-0002-3369-1616</t>
  </si>
  <si>
    <t>0165-1587</t>
  </si>
  <si>
    <t>1464-3618</t>
  </si>
  <si>
    <t>EUR REV AGRIC ECON</t>
  </si>
  <si>
    <t>Eur. Rev. Agric. Econ.</t>
  </si>
  <si>
    <t>10.1093/erae/jbab055</t>
  </si>
  <si>
    <t>Agricultural Economics &amp; Policy; Economics</t>
  </si>
  <si>
    <t>ZF7OH</t>
  </si>
  <si>
    <t>WOS:000756808200001</t>
  </si>
  <si>
    <t>Zollinger, D</t>
  </si>
  <si>
    <t>Zollinger, Delia</t>
  </si>
  <si>
    <t>Cleavage Identities in Voters' Own Words: Harnessing Open-Ended Survey Responses</t>
  </si>
  <si>
    <t>SOCIAL IDENTITY; NATION</t>
  </si>
  <si>
    <t>Fundamental transformations of underlying cleavage structures in advanced democracies should become evident in new collective identities. This article uses quantitative text analysis to investigate how voters describe their ingroups and outgroups in open-ended survey responses. I look at Switzerland, a paradigmatic case of electoral realignment along a second, universalism-particularism dimension of politics opposing the far right and the new left. Keyness statistics and a semi-supervised document scaling method (latent semantic scaling) serve to identify terms associated with the poles of this divide in voters' responses, and hence to measure universalist/particularist identities. Based on voters' own words, the results support the idea of collective identities consolidating an emerging cleavage: Voters' identity descriptions relate to far right versus new left support, along with known sociostructural and attitudinal correlates of the universalism-particularism divide, and they reveal how groups opposed on this dimension antagonistically demarcate themselves from each other.</t>
  </si>
  <si>
    <t>[Zollinger, Delia] Univ Zurich, Dept Polit Sci, Affolternstr 56, CH-8050 Zurich, Switzerland</t>
  </si>
  <si>
    <t>Zollinger, D (corresponding author), Univ Zurich, Dept Polit Sci, Affolternstr 56, CH-8050 Zurich, Switzerland.</t>
  </si>
  <si>
    <t>delia.zollinger@ipz.uzh.ch</t>
  </si>
  <si>
    <t>Zollinger, Delia/0000-0001-8174-0438</t>
  </si>
  <si>
    <t>Universitat Zurich; Swiss National Science Foundation [188365]; University of Zurich</t>
  </si>
  <si>
    <t>Universitat Zurich; Swiss National Science Foundation(Swiss National Science Foundation (SNSF)European Commission); University of Zurich</t>
  </si>
  <si>
    <t>Open access funding provided by Universitat Zurich. I would like to thank four anonymous reviewers, the editors of the AJPS, Kristina Bakkaer Simonsen, Ivo Bantel, Daniel Bischof, Simon Bornschier, Bjorn Bremer, Theresa Gessler, Zac Greene, Lukas Haffert, Silja Hausermann, Sebastian Koehler, Hauke Licht, Stefan Muller, Dylan Paltra, and Marco Steenbergen for detailed comments, as well as seminar participants at the University of Zurich and the European University Institute, and conference attendants at SVPW (2020), CES (2021), and the ECPR joint sessions (workshop on affective polarization, 2021). I gratefully acknowledge support from the Swiss National Science Foundation through their Doc.CH funding scheme (SNSF Doc.CH Grant No. 188365). Data collection was further supported by the University of Zurich.</t>
  </si>
  <si>
    <t>10.1111/ajps.12743</t>
  </si>
  <si>
    <t>5D8EL</t>
  </si>
  <si>
    <t>WOS:000865169000001</t>
  </si>
  <si>
    <t>Yano, K; Endo, S; Kimura, S; Oishi, K</t>
  </si>
  <si>
    <t>Yano, Kosuke; Endo, Shintaro; Kimura, Shunsuke; Oishi, Kazuo</t>
  </si>
  <si>
    <t>Effective coping strategies employed by university students in three sensitivity groups: a quantitative text analysis</t>
  </si>
  <si>
    <t>COGENT PSYCHOLOGY</t>
  </si>
  <si>
    <t>sensory processing sensitivity; coping; quantitative methods; students; temperament</t>
  </si>
  <si>
    <t>SENSORY-PROCESSING SENSITIVITY; DIFFERENTIAL SUSCEPTIBILITY; ENVIRONMENTAL SENSITIVITY; COLLEGE-STUDENTS; STRESS; PERSONALITY; WORLD; ADOLESCENCE; ASSOCIATION; DEPRESSION</t>
  </si>
  <si>
    <t>People differ in their sensitivity to internal and external stimuli, falling into one of three sensitivity groups (low, medium, and high). Studies have pointed out that individual differences in sensitivity should be considered in psychological intervention settings. This study aimed to explore effective coping strategies in the three sensitivity groups. In total, 692 Japanese university students (389 females; M (age) = 20.6 +/- 1.4 years) responded to an open-ended question about the coping strategies they employ, and to two self-report measures assessing their level of sensitivity and mental health. A series of co-occurrence network analyses with two grouping variables (i.e., better or poorer mental health) suggested that effective coping strategies differed among the three sensitivity groups.</t>
  </si>
  <si>
    <t>[Yano, Kosuke] Rikkyo Univ, Grad Sch Community &amp; Human Serv, 1-2-26 Kitano, Niiza, Saitama, Japan; [Yano, Kosuke] Japan Soc Promot Sci Dc1, Tokyo, Japan; [Endo, Shintaro] Chiba Inst Technol, Fac Creat Engn, Chiba, Japan; [Kimura, Shunsuke; Oishi, Kazuo] Rikkyo Univ, Coll Community &amp; Human Serv, Saitama, Japan</t>
  </si>
  <si>
    <t>Rikkyo University; Japan Society for the Promotion of Science; Chiba Institute of Technology; Rikkyo University</t>
  </si>
  <si>
    <t>Yano, K (corresponding author), Rikkyo Univ, Grad Sch Community &amp; Human Serv, 1-2-26 Kitano, Niiza, Saitama, Japan.</t>
  </si>
  <si>
    <t>kosuke.yano1012@gmail.com; endo611101@gmail.com; s.kimura@rikkyo.ac.jp</t>
  </si>
  <si>
    <t>Japan Society for the Promotion of Science [JSPS KAKENHI] [JP18K03079, JP19J20902]; Japan Society for the Promotion of Science [19J20902, 18K03079]</t>
  </si>
  <si>
    <t>Japan Society for the Promotion of Science [JSPS KAKENHI](Ministry of Education, Culture, Sports, Science and Technology, Japan (MEXT)Japan Society for the Promotion of ScienceGrants-in-Aid for Scientific Research (KAKENHI)); Japan Society for the Promotion of Science(Ministry of Education, Culture, Sports, Science and Technology, Japan (MEXT)Japan Society for the Promotion of Science)</t>
  </si>
  <si>
    <t>This work was supported by Japan Society for the Promotion of Science [JSPS KAKENHI]; Grant number JP18K03079, JP19J20902; Japan Society for the Promotion of Science [18K03079]; Japan Society for the Promotion of Science [19J20902].</t>
  </si>
  <si>
    <t>TAYLOR &amp; FRANCIS AS</t>
  </si>
  <si>
    <t>OSLO</t>
  </si>
  <si>
    <t>KARL JOHANS GATE 5, NO-0154 OSLO, NORWAY</t>
  </si>
  <si>
    <t>2331-1908</t>
  </si>
  <si>
    <t>COGENT PSYCHOL</t>
  </si>
  <si>
    <t>Cogent Psychol.</t>
  </si>
  <si>
    <t>DEC 31</t>
  </si>
  <si>
    <t>10.1080/23311908.2021.1988193</t>
  </si>
  <si>
    <t>WD6SC</t>
  </si>
  <si>
    <t>WOS:000705068100001</t>
  </si>
  <si>
    <t>Wratil, C; Hobolt, SB</t>
  </si>
  <si>
    <t>Wratil, Christopher; Hobolt, Sara B.</t>
  </si>
  <si>
    <t>Public deliberations in the Council of the European Union: Introducing and validating DICEU</t>
  </si>
  <si>
    <t>Council; dataset; governments; quantitative text analysis; videos</t>
  </si>
  <si>
    <t>DECISION-MAKING; GOVERNMENT RESPONSIVENESS; BARGAINING SUCCESS; ACTOR ALIGNMENTS; POSITIONS; MODEL; CONSENSUS; MINISTERS; CONFLICT; VOTES</t>
  </si>
  <si>
    <t>The Council of the European Union is the European Union's most powerful legislative body. Yet, we still have limited information about Council politics because of the lack of suitable data. This paper validates a new approach to studying Council politics entitled DICEU - Debates in the Council of the European Union. This approach is the first to leverage the public videos of Council deliberations as a data source. We demonstrate the face, convergent, and predictive validity of DICEU data. Governments' ideal points scaled from these videos yield meaningful and well-known conflict dimensions. Moreover, governments' positions during Council negotiations correlate highly with expert assessments and predict subsequent votes on legislative acts. We conclude that DICEU data provide a promising new approach to studying Council politics and multilevel governance.</t>
  </si>
  <si>
    <t>[Wratil, Christopher] Harvard Univ, Minda de Gunzburg Ctr European Studies, Adolphus Busch Hall,27 Kirkland St, Cambridge, MA 02138 USA; [Wratil, Christopher] Univ Cologne, Cologne Ctr Comparat Polit, Cologne, Germany; [Hobolt, Sara B.] London Sch Econ &amp; Polit Sci, Dept Govt, London, England</t>
  </si>
  <si>
    <t>Harvard University; University of Cologne; University of London; London School Economics &amp; Political Science</t>
  </si>
  <si>
    <t>Wratil, C (corresponding author), Harvard Univ, Minda de Gunzburg Ctr European Studies, Adolphus Busch Hall,27 Kirkland St, Cambridge, MA 02138 USA.</t>
  </si>
  <si>
    <t>cwratil@fas.harvard.edu</t>
  </si>
  <si>
    <t>Wratil, Christopher/ABL-1792-2022</t>
  </si>
  <si>
    <t>Wratil, Christopher/0000-0002-7339-9628</t>
  </si>
  <si>
    <t>10.1177/1465116519839152</t>
  </si>
  <si>
    <t>IO2YQ</t>
  </si>
  <si>
    <t>WOS:000479248100009</t>
  </si>
  <si>
    <t>Ziegler, J</t>
  </si>
  <si>
    <t>Ziegler, Jeffrey</t>
  </si>
  <si>
    <t>A Text-As-Data Approach for Using Open-Ended Responses as Manipulation Checks</t>
  </si>
  <si>
    <t>text-as-data; open-ended responses; manipulation checks; online respondent attention; survey experiments</t>
  </si>
  <si>
    <t>ATTENTION; SHIRKERS</t>
  </si>
  <si>
    <t>Participants that complete online surveys and experiments may be inattentive, which can hinder researchers' abilityto draw substantive or causal inferences. As such, many practitioners include multiple factualor instructional closed-ended manipulation checks to identify low-attention respondents. However, closed-ended manipulation checks are either correct or incorrect, which allows participants to more easily guess and it reduces the potential variation in attention between respondents. In response to these shortcomings, I develop an automatic and standardized methodology to measure attention that relies on the text that respondents provide in an open-ended manipulation check. There are multiple benefits to this approach. First, it provides a continuous measure of attention, which allows for greater variation between respondents. Second, it reduces the reliance on subjective, paid humans to analyze open-ended responses. Last, I outline how to diagnose the impact of inattentive workers on the overall results, including how to assess the average treatment effect of those respondents that likely received the treatment. I provide easy-to-use software in R to implement these suggestions for open-ended manipulation checks.</t>
  </si>
  <si>
    <t>[Ziegler, Jeffrey] Emory Univ, Inst Quantitat Theory &amp; Methods, Atlanta, GA 30322 USA; [Ziegler, Jeffrey] Trinity Coll Dublin, Dept Polit Sci, Dublin, Ireland</t>
  </si>
  <si>
    <t>Emory University; Trinity College Dublin</t>
  </si>
  <si>
    <t>Ziegler, J (corresponding author), Emory Univ, Inst Quantitat Theory &amp; Methods, Atlanta, GA 30322 USA.;Ziegler, J (corresponding author), Trinity Coll Dublin, Dept Polit Sci, Dublin, Ireland.</t>
  </si>
  <si>
    <t>zieglerj@tcd.ie</t>
  </si>
  <si>
    <t>Ziegler, Jeffrey/0000-0003-3905-7488</t>
  </si>
  <si>
    <t>PII S1047198721000024</t>
  </si>
  <si>
    <t>10.1017/pan.2021.2</t>
  </si>
  <si>
    <t>ZP8WZ</t>
  </si>
  <si>
    <t>WOS:000766699500011</t>
  </si>
  <si>
    <t>Dupont, N; Rachuj, M</t>
  </si>
  <si>
    <t>Duepont, Nils; Rachuj, Martin</t>
  </si>
  <si>
    <t>The Ties That Bind: Text Similarities and Conditional Diffusion among Parties</t>
  </si>
  <si>
    <t>diffusion; party policy; text similarity; text-as-data approach; machine translation</t>
  </si>
  <si>
    <t>POLICY DIFFUSION; POLITICAL-PARTIES; GOOGLE TRANSLATE; PUBLIC-OPINION; SPATIAL THEORY; GLOBALIZATION; COMPETITION; UNCERTAINTY; ELECTIONS; HEURISTICS</t>
  </si>
  <si>
    <t>Comparative analyses of party policy diffusion are only just emerging. To better understand the conditions under which diffusion occurs, this article argues that three heuristics - availability, representativeness and anchoring - shape parties' efforts to gather information (from elsewhere), leading to differing diffusion effects. The study operationalizes the outcome as textual similarity of party manifestos in nineteen Western democracies from 1960 to 2016, applying a text-as-data approach and machine translation. Analyzing dyads, it assesses how commonalities and sender/receiver attributes impact diffusion. It finds that there is little room for cross-border diffusion as successful parties stick to their old program. Beyond the still-prevailing domestic context, 'learning from cultural reference groups' in a region is most important. In addition, diffusion appears within EP factions and transnational party organizations independently of the success/loss of the sender. The analysis thus sheds light on (un-)favorable conditions for party policy diffusion and paves the way for future studies applying machine translation and quantitative text analyses.</t>
  </si>
  <si>
    <t>[Duepont, Nils] Univ Bremen, Collaborat Res Ctr 1342, Global Dynam Social Policy, Bremen, Germany; [Rachuj, Martin] Univ Greifswald, Dept Polit Sci &amp; Commun Studies, Greifswald, Germany</t>
  </si>
  <si>
    <t>University of Bremen; Ernst Moritz Arndt Universitat Greifswald</t>
  </si>
  <si>
    <t>Dupont, N (corresponding author), Univ Bremen, Collaborat Res Ctr 1342, Global Dynam Social Policy, Bremen, Germany.</t>
  </si>
  <si>
    <t>duepont@uni-bremen.de</t>
  </si>
  <si>
    <t>Dupont, Nils/0000-0002-4766-9540</t>
  </si>
  <si>
    <t>Deutsche Forschungsgemeinschaft (DFG, German Research Foundation) [(SFB) 1342]; University of Greifswald</t>
  </si>
  <si>
    <t>Deutsche Forschungsgemeinschaft (DFG, German Research Foundation)(German Research Foundation (DFG)); University of Greifswald</t>
  </si>
  <si>
    <t>Nils Dupont appreciates funding from the Deutsche Forschungsgemeinschaft (DFG, German Research Foundation) via Collaborative Research Center (SFB) 1342 Global Dynamics of Social Policy (project A01) at the University of Bremen. Martin Rachuj appreciates funding from the University of Greifswald as a Bogislaw Fellow.</t>
  </si>
  <si>
    <t>PII S0007123420000617</t>
  </si>
  <si>
    <t>10.1017/S0007123420000617</t>
  </si>
  <si>
    <t>ZY3MA</t>
  </si>
  <si>
    <t>WOS:000772490800009</t>
  </si>
  <si>
    <t>Kaine, S; Boersma, M</t>
  </si>
  <si>
    <t>Kaine, Sarah; Boersma, Martijn</t>
  </si>
  <si>
    <t>Women, work and industrial relations in Australia in 2017</t>
  </si>
  <si>
    <t>JOURNAL OF INDUSTRIAL RELATIONS</t>
  </si>
  <si>
    <t>Industrial relations; Leximancer; pay equity; women; work</t>
  </si>
  <si>
    <t>LABOR-MARKET; CHILD-CARE; GENDER; EMPLOYMENT; EDUCATION; OUTCOMES; HEALTH</t>
  </si>
  <si>
    <t>Throughout 2017, public interest, parliamentary debate and academic research about women, work and industrial relations centred around a few key themes: pay and income inequality, health and well-being at work and the intersection of paid and unpaid work. These themes were identified in three related yet distinct mediums: the media, parliamentary debate and academic literature. Automated content analysis software was used to assist in the thematic analysis of media articles and the House of Representatives Hansard, supplemented by a manual analysis of relevant academic publications. A thematic overlap was evident across the three datasets, despite the time lag associated with academic research and publication. This is a significant finding, emphasising that the inequalities experienced by women in the labour market are long term and entrenched.</t>
  </si>
  <si>
    <t>[Kaine, Sarah; Boersma, Martijn] Univ Technol Sydney, Sydney, NSW 2173, Australia</t>
  </si>
  <si>
    <t>University of Technology Sydney</t>
  </si>
  <si>
    <t>Kaine, S (corresponding author), Univ Technol Sydney, Sydney, NSW 2173, Australia.</t>
  </si>
  <si>
    <t>Sarah.Kaine@uts.edu.au</t>
  </si>
  <si>
    <t>Boersma, Martijn/0000-0001-9789-1046</t>
  </si>
  <si>
    <t>0022-1856</t>
  </si>
  <si>
    <t>1472-9296</t>
  </si>
  <si>
    <t>J IND RELAT</t>
  </si>
  <si>
    <t>J. Ind. Relat.</t>
  </si>
  <si>
    <t>10.1177/0022185618764204</t>
  </si>
  <si>
    <t>Industrial Relations &amp; Labor</t>
  </si>
  <si>
    <t>GF6OV</t>
  </si>
  <si>
    <t>WOS:000432087900003</t>
  </si>
  <si>
    <t>Analysis of Linguistic Complexity in Professional and Citizen Media</t>
  </si>
  <si>
    <t>citizen journalism; complexity; cross-media comparison; journalism; quality newspapers; tabloid newspapers</t>
  </si>
  <si>
    <t>USER-GENERATED CONTENT; SOURCE CREDIBILITY; SOCIAL TRUST; JOURNALISM; NEWS; SCIENTIFICNESS; INFORMATION; NEWSPAPERS; KNOWLEDGE; PRINT</t>
  </si>
  <si>
    <t>Structural linguistic characteristics are an important aspect of written communication. Previous research shows that linguistic complexity plays an important role in how people process information. With increasing popularity and readership of citizen journalism, questions of how structurally different this medium is from its professional counterparts and how this difference potentially affects readers become salient. Using automated content analysis methods, the present study investigates the differences in linguistic complexity across various citizen and professional journalism outlets. The analysis shows that the patterns of presenting political information across various media are different. These findings have direct implications for various branches of communication and journalism studies such as the knowledge gap hypothesis, language expectancy theory, and credibility research.</t>
  </si>
  <si>
    <t>[Tolochko, Petro; Boomgaarden, Hajo G.] Univ Vienna, Dept Commun, Vienna, Austria</t>
  </si>
  <si>
    <t>Tolochko, P (corresponding author), Univ Vienna, Dept Commun, Vienna, Austria.</t>
  </si>
  <si>
    <t>10.1080/1461670X.2017.1305285</t>
  </si>
  <si>
    <t>GP7EM</t>
  </si>
  <si>
    <t>WOS:000441056000006</t>
  </si>
  <si>
    <t>Lorcher, I; Taddicken, M</t>
  </si>
  <si>
    <t>Loercher, Ines; Taddicken, Monika</t>
  </si>
  <si>
    <t>Discussing climate change online. Topics and perceptions in online climate change communication in different online public arenas</t>
  </si>
  <si>
    <t>JCOM-JOURNAL OF SCIENCE COMMUNICATION</t>
  </si>
  <si>
    <t>Environmental communication; Public engagement with science and technology; Public perception of science and technology</t>
  </si>
  <si>
    <t>MEDIA COVERAGE; INTERNET; SCIENCE; SPHERE; SKEPTICISM; COUNTRIES; PACKAGE; DEBATE; FRAMES; WEB</t>
  </si>
  <si>
    <t>How users discuss climate change online is one of the crucial questions (science) communication scholars address nowadays. This study contributes by approaching the issue through the theoretical concept of online public arenas. The diversity of topics and perceptions in the climate change discourse is explored by comparing different arenas. German journalistic articles and their reader comments as well as scientific expert blogs are analyzed by quantitative manual and automated content analysis (n = 5, 301). Findings demonstrate a larger diversity of topics and interpretations in arenas with low barriers to communication. Overall, climate change skepticism is rare, but mostly present in lay publics.</t>
  </si>
  <si>
    <t>[Loercher, Ines] Univ Hamburg, DFG, German Res Fdn, Res Project Climate Change Audience Perspect, Hamburg, Germany; [Taddicken, Monika] Tech Univ Carolo Wilhelmina Braunschweig, Commun &amp; Media Studies, Braunschweig, Germany</t>
  </si>
  <si>
    <t>German Research Foundation (DFG); University of Hamburg; Braunschweig University of Technology</t>
  </si>
  <si>
    <t>Lorcher, I (corresponding author), Univ Hamburg, DFG, German Res Fdn, Res Project Climate Change Audience Perspect, Hamburg, Germany.</t>
  </si>
  <si>
    <t>ines.loercher@uni-hamburg.de; m.taddicken@tu-braunschweig.de</t>
  </si>
  <si>
    <t>SCUOLA INT SUPERIORE STUDI AVANZATI-S I S S A-INT SCH ADVANCED STUDIES</t>
  </si>
  <si>
    <t>TRIESTE</t>
  </si>
  <si>
    <t>VIA BEIRUT 2-4, TRIESTE, 34014, ITALY</t>
  </si>
  <si>
    <t>1824-2049</t>
  </si>
  <si>
    <t>JCOM-J SCI COMMUN</t>
  </si>
  <si>
    <t>JCOM-J. Sci. Commun.</t>
  </si>
  <si>
    <t>A03</t>
  </si>
  <si>
    <t>EZ6SY</t>
  </si>
  <si>
    <t>WOS:000404849600004</t>
  </si>
  <si>
    <t>Dickinger, A; Koltringer, C; Korbitz, W</t>
  </si>
  <si>
    <t>Law, R; Fuchs, M; Ricci, F</t>
  </si>
  <si>
    <t>Dickinger, Astrid; Koeltringer, Clemens; Koerbitz, Wolfgang</t>
  </si>
  <si>
    <t>Comparing Online Destination Image with Conventional Image Measurement - The Case of Tallinn</t>
  </si>
  <si>
    <t>INFORMATION AND COMMUNICATION TECHNOLOGIES IN TOURISM 2011</t>
  </si>
  <si>
    <t>International Conference on Information and Communication Technologies in Tourism 2011</t>
  </si>
  <si>
    <t>JAN 26-28, 2011</t>
  </si>
  <si>
    <t>Innsbruck, AUSTRIA</t>
  </si>
  <si>
    <t>text mining; destination representation; tourism Blog analysis; destination image</t>
  </si>
  <si>
    <t>WORD-OF-MOUTH; INFORMATION</t>
  </si>
  <si>
    <t>With the abundant availability of Blogs and reviews marketers are facing the challenge of extracting relevant knowledge from these sources as these insights can be used for marketing intelligence. However, it is uncertain if the topics and the language used in Blogs reflect what researchers traditionally investigate in conventional image studies. This paper provides an overview of a method to automatically analyze thousands of Blog entries. Furthermore, it compares the findings of a conventional image study with the content mining approach to provide insights into destination image representation in the online and offline world. The results indicate that automated content analysis reproduces the findings from image studies to a great extent. Therefore they are a valuable additional source of information for DMOs.</t>
  </si>
  <si>
    <t>[Dickinger, Astrid; Koeltringer, Clemens; Koerbitz, Wolfgang] MODUL Univ Vienna, Dept Tourism &amp; Hospitality Management, Vienna, Austria</t>
  </si>
  <si>
    <t>Astrid.Dickinger@modul.ac.at; Clemens.Koeltringer@modul.ac.at; Wolfgang.Koerbitz@modul.ac.at</t>
  </si>
  <si>
    <t>Dickinger, Astrid/G-9396-2017</t>
  </si>
  <si>
    <t>Dickinger, Astrid/0000-0003-4785-4428</t>
  </si>
  <si>
    <t>SPRINGER-VERLAG WIEN</t>
  </si>
  <si>
    <t>VIENNA</t>
  </si>
  <si>
    <t>SACHSENPLATZ 4-6, A-1201 VIENNA, AUSTRIA</t>
  </si>
  <si>
    <t>978-3-7091-0502-3</t>
  </si>
  <si>
    <t>Communication; Hospitality, Leisure, Sport &amp; Tourism; Management</t>
  </si>
  <si>
    <t>Communication; Social Sciences - Other Topics; Business &amp; Economics</t>
  </si>
  <si>
    <t>BUP48</t>
  </si>
  <si>
    <t>WOS:000289967000014</t>
  </si>
  <si>
    <t>Brosius, A; van Elsas, EJ; de Vreese, CH</t>
  </si>
  <si>
    <t>Brosius, Anna; van Elsas, Erika J.; de Vreese, Claes H.</t>
  </si>
  <si>
    <t>Bad News, Declining Trust? Effects of Exposure to Economic News on Trust in the European Union</t>
  </si>
  <si>
    <t>INTERNATIONAL JOURNAL OF PUBLIC OPINION RESEARCH</t>
  </si>
  <si>
    <t>PUBLIC-OPINION; POLITICAL TRUST; MEDIA; SUPPORT; INFORMATION; DEMOCRACY; EU; SATISFACTION; COVERAGE; CRISIS</t>
  </si>
  <si>
    <t>Evaluations of the economy are often assumed to be at the heart of citizens' support for political systems. Despite being a vital source of information, we know little about how economic news coverage influences political support. The present study investigates how exposure to economic news coverage impacts trust in the European Union (EU), using a combination of automated content analysis data and nine-wave panel survey data between 2007 and 2016. We find that respondents exposed to more EU economic news lose confidence in the economy and trust in the EU. Yet, while exposure to negative EU economic news negatively affects economic confidence, it has a positive effect on trust in the EU. The opposite is the case for positive coverage.</t>
  </si>
  <si>
    <t>[Brosius, Anna; van Elsas, Erika J.; de Vreese, Claes H.] Univ Amsterdam, Amsterdam Sch Commun Res, Nieuwe Achtergracht 166, NL-1018 WV Amsterdam, Netherlands</t>
  </si>
  <si>
    <t>Brosius, A (corresponding author), Univ Amsterdam, Amsterdam Sch Commun Res, Nieuwe Achtergracht 166, NL-1018 WV Amsterdam, Netherlands.</t>
  </si>
  <si>
    <t>a.brosius@uva.nl</t>
  </si>
  <si>
    <t>European Research Council (ERC) [647316]; Netherlands Organization for Scientific Research</t>
  </si>
  <si>
    <t>European Research Council (ERC)(European Research Council (ERC)); Netherlands Organization for Scientific Research(Netherlands Organization for Scientific Research (NWO))</t>
  </si>
  <si>
    <t>This research is funded by a grant from the European Research Council (ERC), grant number 647316. The LISS panel data were collected by CentERdata (Tilburg University, The Netherlands) through its MESS project funded by the Netherlands Organization for Scientific Research.</t>
  </si>
  <si>
    <t>0954-2892</t>
  </si>
  <si>
    <t>1471-6909</t>
  </si>
  <si>
    <t>INT J PUBLIC OPIN R</t>
  </si>
  <si>
    <t>Int. J. Public Opin. Res.</t>
  </si>
  <si>
    <t>10.1093/ijpor/edz025</t>
  </si>
  <si>
    <t>PS2GE</t>
  </si>
  <si>
    <t>WOS:000607745700002</t>
  </si>
  <si>
    <t>Mont'Alverne, C; Hausen, V; Leite, PH</t>
  </si>
  <si>
    <t>Mont'Alverne, Camila; Hausen, Victor; Leite, Pedro Henrique</t>
  </si>
  <si>
    <t>Which political reform does Brazilian journalism discuss? A study about the coverage of Folha de S. Paulo's website between 1994 and 2016</t>
  </si>
  <si>
    <t>CUADERNOS INFO</t>
  </si>
  <si>
    <t>Portuguese</t>
  </si>
  <si>
    <t>political journalism; political reform; journalistic agenda; portal da folha de S. Paulo; content analysis</t>
  </si>
  <si>
    <t>This article analyzes the coverage of the Brazilian political reforms made by Folha de S. Paulo's website between 1994 and 2016 by merging the literature in Political Science on this subject and studies in Political Journalism. To do so, we conducted an automated content analysis of 6,038 texts. The results indicate that political reforms are constantly in the journalistic agenda; that sonic concerns remain during the period, such as discussions about proportional representation, rules related to the party system, and the norms that regulate electoral campaigns, and that although the information and opinion sections have similar agendas, the latter speculates about the party system and the systems of government.</t>
  </si>
  <si>
    <t>[Mont'Alverne, Camila; Hausen, Victor; Leite, Pedro Henrique] Univ Fed Parana, Curitiba, Parana, Brazil</t>
  </si>
  <si>
    <t>Universidade Federal do Parana</t>
  </si>
  <si>
    <t>Mont'Alverne, C (corresponding author), Univ Fed Parana, Curitiba, Parana, Brazil.</t>
  </si>
  <si>
    <t>camilambpp@ufpr.br; hausen.victor@gmail.com; pedrohenri.leite@gmail.com</t>
  </si>
  <si>
    <t>Mont'Alverne, Camila/AAY-5450-2020</t>
  </si>
  <si>
    <t>Mont'Alverne, Camila/0000-0002-6100-4879</t>
  </si>
  <si>
    <t>PONTIFICIA UNIV CATOLICA CHILE, FAC COMUNICACIONES</t>
  </si>
  <si>
    <t>SANTIAGO DE CHILE</t>
  </si>
  <si>
    <t>ALAMEDA 340, SANTIAGO DE CHILE, 00000, CHILE</t>
  </si>
  <si>
    <t>0719-3661</t>
  </si>
  <si>
    <t>0719-367X</t>
  </si>
  <si>
    <t>CUAD INFO-SANTIAGO</t>
  </si>
  <si>
    <t>Cuad. Info</t>
  </si>
  <si>
    <t>10.7764/cdi.43.1289</t>
  </si>
  <si>
    <t>HD6IY</t>
  </si>
  <si>
    <t>WOS:000452642300014</t>
  </si>
  <si>
    <t>Bednarek, M; Carr, G</t>
  </si>
  <si>
    <t>Bednarek, Monika; Carr, Georgia</t>
  </si>
  <si>
    <t>Computer-assisted digital text analysis for journalism and communications research: introducing corpus linguistic techniques that do not require programming</t>
  </si>
  <si>
    <t>MEDIA INTERNATIONAL AUSTRALIA</t>
  </si>
  <si>
    <t>content analysis; corpus linguistics; diabetes; digital humanities; digital social science; discourse analysis; frame analysis; health news; sourcing; textual analysis</t>
  </si>
  <si>
    <t>AUTOMATED CONTENT-ANALYSIS; MEDIA; LANGUAGE; DISCOURSES</t>
  </si>
  <si>
    <t>Digital methods are becoming more and more important for text analysis in communications research. However, many computational methods require either relevant technical expertise or multi-disciplinary collaboration, which has impeded their uptake. This article introduces an alternative: computer-assisted linguistic analysis (corpus linguistics), an approach that is increasingly being used outside linguistics and requires less expertise. The article uses a dataset of almost 700 items of health news to demonstrate how such techniques can aid the analysis of (dis)preferred language, sources, stigma and responsibility, framing, and project-specific text analysis. We conclude with an evaluation of the key advantages and limitations of corpus linguistic analysis.</t>
  </si>
  <si>
    <t>[Bednarek, Monika; Carr, Georgia] Univ Sydney, Sydney, NSW, Australia</t>
  </si>
  <si>
    <t>University of Sydney</t>
  </si>
  <si>
    <t>Bednarek, M (corresponding author), Univ Sydney, Dept Linguist, Charles Perkins Ctr, John Woolley Bldg A20, Sydney, NSW 2006, Australia.</t>
  </si>
  <si>
    <t>monika.bednarek@sydney.edu.au</t>
  </si>
  <si>
    <t>Sydney Informatics Hub, a Core Research Facility of the University of Sydney</t>
  </si>
  <si>
    <t>The author(s) disclosed receipt of the following financial support for the research, authorship, and/or publication of this article: This research was funded through a Sydney Research Accelerator Prize and supported by the Sydney Informatics Hub, a Core Research Facility of the University of Sydney.</t>
  </si>
  <si>
    <t>1329-878X</t>
  </si>
  <si>
    <t>2200-467X</t>
  </si>
  <si>
    <t>MEDIA INT AUST</t>
  </si>
  <si>
    <t>Media Int. Aust.</t>
  </si>
  <si>
    <t>1329878X20947124</t>
  </si>
  <si>
    <t>10.1177/1329878X20947124</t>
  </si>
  <si>
    <t>WL1LE</t>
  </si>
  <si>
    <t>WOS:000563681700001</t>
  </si>
  <si>
    <t>Aljarrah, I; Mohammad, D</t>
  </si>
  <si>
    <t>Aljarrah, Inad; Mohammad, Duaa</t>
  </si>
  <si>
    <t>Video Content Analysis using Convolutional Neural Networks</t>
  </si>
  <si>
    <t>2018 9TH INTERNATIONAL CONFERENCE ON INFORMATION AND COMMUNICATION SYSTEMS (ICICS)</t>
  </si>
  <si>
    <t>International Conference on Information and Communication Systems</t>
  </si>
  <si>
    <t>9th International Conference on Information and Communication Systems (ICICS)</t>
  </si>
  <si>
    <t>APR 03-05, 2018</t>
  </si>
  <si>
    <t>Irbid, JORDAN</t>
  </si>
  <si>
    <t>Jordan Univ Sci &amp; Technol,Atypon</t>
  </si>
  <si>
    <t>video content analysis; convolutional neural networks; VGGNet; object classification</t>
  </si>
  <si>
    <t>Video content analysis has been an active research area due to the huge number of real-life applications that utilize it in a way or another to perform their functionalities. Reviewing videos recorded by video surveillance systems is an area where video content analysis can be handy. Instead of rewinding over hours of recorded video to spot an action, an automated content analysis system that produces a searchable text file that summarizes the video content is proposed. In this work, video surveillance content is analyzed using object classification. Objects appearing in the video are detected and classified using a convolutional neural network model. A text file that contains the classes of detected objects and the time of appearance is generated for later search. To speed up this computational heavy process, only (I) frames are processed.</t>
  </si>
  <si>
    <t>[Aljarrah, Inad; Mohammad, Duaa] Jordan Univ Sci &amp; Technol, Irbid, Jordan</t>
  </si>
  <si>
    <t>Aljarrah, I (corresponding author), Jordan Univ Sci &amp; Technol, Irbid, Jordan.</t>
  </si>
  <si>
    <t>inad@just.edu.jo; drmohammad15@cit.just.edu.jo</t>
  </si>
  <si>
    <t>2471-125X</t>
  </si>
  <si>
    <t>978-1-5386-4366-2</t>
  </si>
  <si>
    <t>INT CONF INFORM COMM</t>
  </si>
  <si>
    <t>Engineering, Electrical &amp; Electronic</t>
  </si>
  <si>
    <t>Engineering</t>
  </si>
  <si>
    <t>BK3DT</t>
  </si>
  <si>
    <t>WOS:000434809300022</t>
  </si>
  <si>
    <t>Like Father Like Son? Correlates of Leadership in North Korea's English Language News</t>
  </si>
  <si>
    <t>KOREA OBSERVER</t>
  </si>
  <si>
    <t>North Korea; Propaganda; Content Analysis; Kim Jong-il; Kim Il-sung</t>
  </si>
  <si>
    <t>North Korea's official news routinely showers praise on Great Leader (Kim Il-sung) and Dear Leader (Kim Jong-il). Instead of simply dismissing North Korea's official news as static propaganda, this paper attempts to uncover patterns within this news and whether common themes (such as the military and economy) are more closely associated with Kim Il-sung or Kim Jong-il. Through the use of automated content analysis - computer software that can code text - this paper analyzes daily English language news from North Korea's Korean Central News Agency (KCNA) from 1997 through 2011. Statistical analysis finds several themes that correlate with references to the individual leaders. These findings suggest that the KCNA reports, rather than simply propaganda, reveal a more complex underlying rationale.</t>
  </si>
  <si>
    <t>Western Kentucky Univ, Bowling Green, KY 42101 USA</t>
  </si>
  <si>
    <t>Rich, TS (corresponding author), Western Kentucky Univ, Bowling Green, KY 42101 USA.</t>
  </si>
  <si>
    <t>timothysrich@gmail.com</t>
  </si>
  <si>
    <t>INST KOREAN STUDIES</t>
  </si>
  <si>
    <t>SEOUL</t>
  </si>
  <si>
    <t>CPO BOX 3410, SEOUL, 100-364, SOUTH KOREA</t>
  </si>
  <si>
    <t>0023-3919</t>
  </si>
  <si>
    <t>KOREA OBS</t>
  </si>
  <si>
    <t>Korea Obs.</t>
  </si>
  <si>
    <t>064OD</t>
  </si>
  <si>
    <t>WOS:000313084000005</t>
  </si>
  <si>
    <t>ISABELLE, DA; HAN, Y; WESTERLUND, M</t>
  </si>
  <si>
    <t>ISABELLE, D. I. A. N. E. A.; HAN, Y. U. (JADE); WESTERLUND, M. I. K. A.</t>
  </si>
  <si>
    <t>A Machine-Learning Analysis of the Impacts of the COVID-19 Pandemic on Small Business Owners and Implications for Canadian Government Policy Response</t>
  </si>
  <si>
    <t>CANADIAN PUBLIC POLICY-ANALYSE DE POLITIQUES</t>
  </si>
  <si>
    <t>COVID-19 crisis management; impacts; small business; topic modelling; Canada</t>
  </si>
  <si>
    <t>CRISIS MANAGEMENT; RESILIENCE; ENTREPRENEURSHIP; CONSERVATION; AFTERMATH; RESOURCES; COMMUNITY; DISASTER; PATHS; UK</t>
  </si>
  <si>
    <t>This study applies a machine-learning technique to a dataset of 38,000 textual comments from Canadian small business owners on the impacts of coronavirus disease 2019 (COVID-19). Topic modelling revealed seven topics covering the short- and longer-term impacts of the pandemic, government relief programs and loan eligibility issues, mental health, and other impacts on business owners. The results emphasize the importance of policy response in aiding small business crisis management and offer implications for theory and policy. Moreover, the study provides an example of using a machine-learning-based automated content analysis in the fields of crisis management, small business, and public policy.</t>
  </si>
  <si>
    <t>[ISABELLE, D. I. A. N. E. A.] Carleton Univ, Prott Sch Business, Ottawa, ON, Canada; [ISABELLE, D. I. A. N. E. A.] Univ Johannesburg, Sch Management, Dept Business Management, Johannesburg, South Africa; [HAN, Y. U. (JADE)] Univ Regina, Fac Business Adm, Regina, SK, Canada; [WESTERLUND, M. I. K. A.] Carleton Univ, Sprott Sch Business, Ottawa, ON, Canada</t>
  </si>
  <si>
    <t>Carleton University; University of Johannesburg; University of Regina; Carleton University</t>
  </si>
  <si>
    <t>ISABELLE, DA (corresponding author), Carleton Univ, Prott Sch Business, Ottawa, ON, Canada.;ISABELLE, DA (corresponding author), Univ Johannesburg, Sch Management, Dept Business Management, Johannesburg, South Africa.</t>
  </si>
  <si>
    <t>Isabelle, Diane A./C-9542-2015</t>
  </si>
  <si>
    <t>Isabelle, Diane A./0000-0002-1833-1110</t>
  </si>
  <si>
    <t>Carleton University COVID-19 Rapid Response Research Grant [112787]</t>
  </si>
  <si>
    <t>Carleton University COVID-19 Rapid Response Research Grant</t>
  </si>
  <si>
    <t>This research received financial support from a Carleton University COVID-19 Rapid Response Research Grant under Contract 112787. Our heartfelt thanks go to editor Mike Veall and to the anonymous reviewers for their insightful comments and suggestions.</t>
  </si>
  <si>
    <t>UNIV TORONTO PRESS INC</t>
  </si>
  <si>
    <t>JOURNALS DIVISION, 5201 DUFFERIN ST, DOWNSVIEW, TORONTO, ON M3H 5T8, CANADA</t>
  </si>
  <si>
    <t>0317-0861</t>
  </si>
  <si>
    <t>1911-9917</t>
  </si>
  <si>
    <t>CAN PUBLIC POL</t>
  </si>
  <si>
    <t>Can. Public Policy-Anal. Polit.</t>
  </si>
  <si>
    <t>e2021018</t>
  </si>
  <si>
    <t>10.3138/cpp.2021-018</t>
  </si>
  <si>
    <t>Economics; Public Administration</t>
  </si>
  <si>
    <t>2Z5MM</t>
  </si>
  <si>
    <t>WOS:000797213000001</t>
  </si>
  <si>
    <t>Trilling, D; Jonkman, JGF</t>
  </si>
  <si>
    <t>Trilling, Damian; Jonkman, Jeroen G. F.</t>
  </si>
  <si>
    <t>Scaling up Content Analysis</t>
  </si>
  <si>
    <t>BIG DATA; SOCIAL-SCIENCE; MEDIA; FRAMES; COMMUNICATION; JOURNALISM; AGENDA; CHALLENGES; TEXT</t>
  </si>
  <si>
    <t>Employing a number of different standalone programs is a prevalent approach among communication scholars who use computational methods to analyze media content. For instance, a researcher might use a specific program or a paid service to scrape some content from the Web, then use another program to process the resulting data, and finally conduct statistical analysis or produce some visualizations in yet another program. This makes it hard to build reproducible workflows, and even harder to build on the work of earlier studies. To improve this situation, we propose and discuss four criteria that a framework for automated content analysis should fulfill: scalability, free and open source, adaptability, and accessibility via multiple interfaces. We also describe how to put these considerations into practice, discuss their feasibility, and point toward future developments.</t>
  </si>
  <si>
    <t>[Trilling, Damian; Jonkman, Jeroen G. F.] Univ Amsterdam, Dept Commun Sci, Amsterdam Sch Commun Res, Amsterdam, Netherlands</t>
  </si>
  <si>
    <t>Trilling, D (corresponding author), Univ Amsterdam, Dept Commun Sci, Amsterdam Sch Commun Res, Amsterdam, Netherlands.</t>
  </si>
  <si>
    <t>SURF Foundation</t>
  </si>
  <si>
    <t>This work was carried out on the Dutch national e-infrastructure with the support of SURF Foundation.</t>
  </si>
  <si>
    <t>10.1080/19312458.2018.1447655</t>
  </si>
  <si>
    <t>GN3JO</t>
  </si>
  <si>
    <t>WOS:000438901400005</t>
  </si>
  <si>
    <t>Schwarz, G; Datcu, M</t>
  </si>
  <si>
    <t>Schwarz, Gottfried; Datcu, Mihai</t>
  </si>
  <si>
    <t>PREPERATION OF SCENARIOS FOR THE PERFORMANCE OPTIMIZATION OF A CONTENT-BASED REMOTE SENSING IMAGE MINING SYSTEM</t>
  </si>
  <si>
    <t>2013 IEEE INTERNATIONAL GEOSCIENCE AND REMOTE SENSING SYMPOSIUM (IGARSS)</t>
  </si>
  <si>
    <t>IEEE International Symposium on Geoscience and Remote Sensing IGARSS</t>
  </si>
  <si>
    <t>IEEE International Geoscience and Remote Sensing Symposium (IGARSS)</t>
  </si>
  <si>
    <t>JUL 21-26, 2013</t>
  </si>
  <si>
    <t>Melbourne, AUSTRALIA</t>
  </si>
  <si>
    <t>IEEE,Inst Elect &amp; Elect Engineers, Geoscience &amp; Remote Sensing Soc</t>
  </si>
  <si>
    <t>Remote sensing; image mining; scenarios</t>
  </si>
  <si>
    <t>MISSION</t>
  </si>
  <si>
    <t>Recent development in the design of modern satellite ground segments include systems and tools for automated content analysis allowing users to conduct systematic semantic searches within satellite image data archives. The need for such tools becomes more and more pressing as future space-borne imaging sensors will deliver enormous quantities of data that cannot be studied manually. For instance, typical examples from a European perspective are described in [1] and [2]. Within this framework, the European Space Agency (ESA) has started to fund the Earth Observation Librarian (EOLib) project to set up the next generation of image information mining systems [3]. Here we report on the preparation of scenarios that are needed for training and to verify and optimize the performance of such systems.</t>
  </si>
  <si>
    <t>[Schwarz, Gottfried; Datcu, Mihai] German Aerosp Ctr DLR, Remote Sensing Technol Inst, Oberpfaffenhofen, Germany</t>
  </si>
  <si>
    <t>Helmholtz Association; German Aerospace Centre (DLR)</t>
  </si>
  <si>
    <t>Schwarz, G (corresponding author), German Aerosp Ctr DLR, Remote Sensing Technol Inst, Oberpfaffenhofen, Germany.</t>
  </si>
  <si>
    <t>DATCU, Mihai/G-1655-2016</t>
  </si>
  <si>
    <t>2153-6996</t>
  </si>
  <si>
    <t>978-1-4799-1114-1</t>
  </si>
  <si>
    <t>INT GEOSCI REMOTE SE</t>
  </si>
  <si>
    <t>10.1109/IGARSS.2013.6723798</t>
  </si>
  <si>
    <t>Engineering, Electrical &amp; Electronic; Geosciences, Multidisciplinary; Remote Sensing</t>
  </si>
  <si>
    <t>Engineering; Geology; Remote Sensing</t>
  </si>
  <si>
    <t>BB7JO</t>
  </si>
  <si>
    <t>WOS:000345638904100</t>
  </si>
  <si>
    <t>Berger, J; Rocklage, MD; Packard, G</t>
  </si>
  <si>
    <t>Berger, Jonah; Rocklage, Matthew D.; Packard, Grant</t>
  </si>
  <si>
    <t>Expression Modalities: How Speaking Versus Writing Shapes Word of Mouth</t>
  </si>
  <si>
    <t>word of mouth; communication modality; emotion; speaking; writing; automated text analysis</t>
  </si>
  <si>
    <t>INDIVIDUAL-DIFFERENCES; LANGUAGE PRODUCTION; THOUGHTFUL MIND; SPEECH REVEALS; REVIEWS; EMOTION; ATTITUDES; WRITTEN; SPOKEN; ACCESSIBILITY</t>
  </si>
  <si>
    <t>Consumers often communicate their attitudes and opinions with others, and such word of mouth has an important impact on what others think, buy, and do. But might the way consumers communicate their attitudes (i.e., through speaking or writing) shape the attitudes they express? And, as a result, the impact of what they share? While a great deal of research has begun to examine drivers of word of mouth, there has been less attention to how communication modality might shape sharing. Six studies, conducted in the laboratory and field, demonstrate that compared to speaking, writing leads consumers to express less emotional attitudes. The effect is driven by deliberation. Writing offers more time to deliberate about what to say, which reduces emotionality. The studies also demonstrate a downstream consequence of this effect: by shaping the attitudes expressed, the modality consumers communicate through can influence the impact of their communication. This work sheds light on word of mouth, effects of communication modality, and the role of language in communication.</t>
  </si>
  <si>
    <t>[Berger, Jonah] Univ Penn, Wharton Sch, Mkt, 3730 Walnut St, Philadelphia, PA 19104 USA; [Rocklage, Matthew D.] Univ Massachusetts Boston, Mkt, 100 Morrissey Blvd, Boston, MA 02125 USA; [Packard, Grant] York Univ, Schulich Sch Business, Mkt, 4700 Keele St, Toronto, ON M3J 1P3, Canada</t>
  </si>
  <si>
    <t>University of Pennsylvania; University of Massachusetts System; University of Massachusetts Boston; York University - Canada</t>
  </si>
  <si>
    <t>Berger, J (corresponding author), Univ Penn, Wharton Sch, Mkt, 3730 Walnut St, Philadelphia, PA 19104 USA.</t>
  </si>
  <si>
    <t>jberger@wharton.upenn.edu; Matthew.Rocklage@umb.edu; gpackard@schulich.yorku.ca</t>
  </si>
  <si>
    <t>SEP 22</t>
  </si>
  <si>
    <t>10.1093/jcr/ucab076</t>
  </si>
  <si>
    <t>4Q8QI</t>
  </si>
  <si>
    <t>WOS:000756729400001</t>
  </si>
  <si>
    <t>Nisser, A; Weidmann, NB</t>
  </si>
  <si>
    <t>Nisser, Annerose; Weidmann, Nils B.</t>
  </si>
  <si>
    <t>Online ethnic segregation in a post-conflict setting</t>
  </si>
  <si>
    <t>EUROPEAN JOURNAL OF COMMUNICATION</t>
  </si>
  <si>
    <t>Blogging; ethnicity; homophily; online fragmentation; online segregation</t>
  </si>
  <si>
    <t>SELECTIVE EXPOSURE; BOSNIA; COMPETITION; COMMUNICATION; CHAMBER</t>
  </si>
  <si>
    <t>Existing research has shown that online networks are often segregated along identity lines, such as political ideology or religious views. Although online segregation should be specifically detrimental when appearing between ethnic groups in a post-conflict setting, to date we have no systematic evidence on the level of online ethnic segregation. To close this gap, the present study examines online ethnic segregation in a large ethnically mixed blogger network in a post-conflict society, Bosnia and Herzegovina. Since politics has been found to enhance ethnic divides in the offline world, we additionally examine whether segregation is higher for bloggers engaging with political topics. Using large-scale web scraping, automated text analysis and Monte Carlo simulation, we find evidence for pronounced ethnic divisions. Furthermore, we find that political bloggers tend to have more ethnically segregated networks. The findings show that a broad public exchange transcending ethnic categories remains limited in the online context we study, and that those who dominate the online political debate tend to be those who in their social interactions put even more weight on ethnic categories than the average.</t>
  </si>
  <si>
    <t>[Nisser, Annerose; Weidmann, Nils B.] Univ Konstanz, Constance, Germany</t>
  </si>
  <si>
    <t>Weidmann, NB (corresponding author), Univ Konstanz, Dept Polit &amp; Publ Adm, D-78457 Constance, Germany.</t>
  </si>
  <si>
    <t>nils.weidmann@uni-konstanz.de</t>
  </si>
  <si>
    <t>Weidmann, Nils B/P-8172-2016</t>
  </si>
  <si>
    <t>Weidmann, Nils B/0000-0002-4791-4913</t>
  </si>
  <si>
    <t>Alexander von Humboldt Foundation</t>
  </si>
  <si>
    <t>Alexander von Humboldt Foundation(Alexander von Humboldt Foundation)</t>
  </si>
  <si>
    <t>The author(s) disclosed receipt of the following financial support for the research, authorship, and/ or publication of this article: The authors gratefully acknowledge funding from the Alexander von Humboldt Foundation (Sofja Kovalevskaja Award for Nils B. Weidmann).</t>
  </si>
  <si>
    <t>0267-3231</t>
  </si>
  <si>
    <t>1460-3705</t>
  </si>
  <si>
    <t>EUR J COMMUN</t>
  </si>
  <si>
    <t>Eur. J. Commun.</t>
  </si>
  <si>
    <t>10.1177/0267323118784816</t>
  </si>
  <si>
    <t>GW0CN</t>
  </si>
  <si>
    <t>WOS:000446530000002</t>
  </si>
  <si>
    <t>Combining CDA and topic modeling: Analyzing discursive connections between Islamophobia and anti-feminism on an online forum</t>
  </si>
  <si>
    <t>DISCOURSE &amp; SOCIETY</t>
  </si>
  <si>
    <t>Anti-feminism; automated text analysis; critical discourse analysis; Internet forum; Islamophobia; methodology; social media; topic modeling</t>
  </si>
  <si>
    <t>CRITICAL DISCOURSE ANALYSIS; CORPUS LINGUISTICS; TEXT; CULTURE; ENGLISH; FIELDS</t>
  </si>
  <si>
    <t>In this article we present an analysis of the discursive connections between Islamophobia and anti-feminism on a large Internet forum. We argue that the incipient shift from traditional media toward user-driven social media brings with it new media dynamics, relocating the (re)production of societal discourses and power structures and thus bringing about new ways in which discursive power is exercised. This clearly motivates the need to critically engage this field. Our research is based on the analysis of a corpus consisting of over 50million posts, collected from the forum using custom web crawlers. In order to approach this vast material of unstructured text, we suggest a novel methodological synergy combining critical discourse analysis (CDA) and topic modeling - a type of statistical model for the automated categorization of large quantities of texts developed in computer science. By rendering an overview or content map' of the corpus, topic modeling provides an enriching complement to CDA, aiding discovery and adding analytical rigor.</t>
  </si>
  <si>
    <t>[Tornberg, Anton] Univ Gothenburg, Dept Sociol &amp; Work Sci, Interdisciplinary Project, S-40530 Gothenburg, Sweden; [Tornberg, Petter] Chalmers, Complex Syst Grp, Phys Resource Theory, Gothenburg, Sweden</t>
  </si>
  <si>
    <t>Tornberg, A (corresponding author), Univ Gothenburg, Dept Sociol &amp; Work Sci, Skanstorget 18,Box 720, S-40530 Gothenburg, Sweden.</t>
  </si>
  <si>
    <t>0957-9265</t>
  </si>
  <si>
    <t>1460-3624</t>
  </si>
  <si>
    <t>DISCOURSE SOC</t>
  </si>
  <si>
    <t>niscl. Soc.</t>
  </si>
  <si>
    <t>10.1177/0957926516634546</t>
  </si>
  <si>
    <t>Communication; Psychology, Multidisciplinary; Sociology</t>
  </si>
  <si>
    <t>Communication; Psychology; Sociology</t>
  </si>
  <si>
    <t>DP8YP</t>
  </si>
  <si>
    <t>WOS:000378784200003</t>
  </si>
  <si>
    <t>Van der Velden, M; Schumacher, G; Vis, B</t>
  </si>
  <si>
    <t>Van der Velden, Mariken; Schumacher, Gijs; Vis, Barbara</t>
  </si>
  <si>
    <t>Living in the Past or Living in the Future? Analyzing Parties' Platform Change In Between Elections,The Netherlands 1997-2014</t>
  </si>
  <si>
    <t>political parties' strategies; electoral performance; anticipation of opinion polls; government-opposition dynamics; topic modeling</t>
  </si>
  <si>
    <t>MEDIA AGENDA; ELECTORAL CONSEQUENCES; POLICY SHIFTS; IMPACT; NEWS; COMPETITION; IDEOLOGIES; COVERAGE; MODEL; POLLS</t>
  </si>
  <si>
    <t>Do parties change their platform in anticipation of electoral losses? Or do parties respond to experienced losses at the previous election? These questions relate to two mechanisms to align public opinion with party platforms: (1) rational anticipation, and (2) electoral performance. While extant work empirically tested, and found support for, the latter mechanism, the effect of rational anticipation has not been put to an empirical test yet. We contribute to the literature on party platform change by theorizing and assessing how party performance motivates parties to change their platform in-between elections. We built a new and unique dataset of &gt;20,000 press releases issued by 15 Dutch national political parties that were in parliament between 1997 and 2014. Utilizing automated text analysis (topic modeling) to measure parties' platform change, we show that electoral defeat motivates party platform change in-between elections. In line with existing findings, we demonstrate that parties are backward-looking.</t>
  </si>
  <si>
    <t>[Van der Velden, Mariken] Univ Zurich, Dept Polit Sci, Zurich, Switzerland; [Schumacher, Gijs] Univ Amsterdam, Dept Polit Sci, Amsterdam, Netherlands; [Vis, Barbara] Univ Utrecht, Sch Governance, Utrecht, Netherlands</t>
  </si>
  <si>
    <t>University of Zurich; University of Amsterdam; Utrecht University</t>
  </si>
  <si>
    <t>Van der Velden, M (corresponding author), Univ Zurich, Zurich, Switzerland.</t>
  </si>
  <si>
    <t>vandervelden@ipz.uzh.ch</t>
  </si>
  <si>
    <t>Vis, Barbara/J-2747-2019</t>
  </si>
  <si>
    <t>Vis, Barbara/0000-0003-2323-3862; Schumacher, Gijs/0000-0002-6503-4514</t>
  </si>
  <si>
    <t>VIDI grant from the Netherlands Organization for Scientific Research [452-11-005]; Danish Council for Independent Research</t>
  </si>
  <si>
    <t>VIDI grant from the Netherlands Organization for Scientific Research; Danish Council for Independent Research(Det Frie Forskningsrad (DFF))</t>
  </si>
  <si>
    <t>Mariken van der Velden's and Barbara Vis' research is supported by a VIDI grant from the Netherlands Organization for Scientific Research awarded to Vis (NWO, grant nr. 452-11-005). Gijs Schumacher's research is supported by a Sapere Aude: Young Elite Researcher grant from the Danish Council for Independent Research awarded to the project Do Party Leaders Respond to the Party, the Electorate or to Potential Coalition Partners? All replication materials are stored at the Data Archiving and Networked Services (DANS) (https://doi.org/10.17026/dans-xqf-aggx) and on www.marikenvandervelden.eu/publications.</t>
  </si>
  <si>
    <t>10.1080/10584609.2017.1384771</t>
  </si>
  <si>
    <t>GM7WX</t>
  </si>
  <si>
    <t>WOS:000438409200004</t>
  </si>
  <si>
    <t>Light, J; Yasuhara, K</t>
  </si>
  <si>
    <t>Light, Jennifer; Yasuhara, Ken</t>
  </si>
  <si>
    <t>Analyzing Large Free-Response Qualitative Data Sets - A Novel Quantitative-Qualitative Hybrid Approach</t>
  </si>
  <si>
    <t>FIE: 2008 IEEE FRONTIERS IN EDUCATION CONFERENCE, VOLS 1-3</t>
  </si>
  <si>
    <t>IEEE Frontiers in Education Conference 2008</t>
  </si>
  <si>
    <t>OCT 22-25, 2008</t>
  </si>
  <si>
    <t>Saratoga Springs, NY</t>
  </si>
  <si>
    <t>Hybrid qualitative-quantitative; Large data sets; Method development</t>
  </si>
  <si>
    <t>Qualitative analysis tends to be unwieldy for large data sets yet is an indispensable tool for understanding how and why phenomena occur. Consequently, the goal of this study was to develop a method that is credible yet economical for large, specific, qualitative data sets. The strength of our hybrid, qualitative-quantitative method comes from using automated text analysis techniques to focus resource-intensive coding efforts on a small, carefully selected subset of data. This paper details the hybrid method as applied to a previously analyzed set of free-response data and argues for the method's validity by comparing results from the hybrid analysis with the previous traditional qualitatively analyzed method. With this data set, the hybrid method yielded comparable results with substantially less manual coding and in less than a third of the time required for the original analysis method. This hybrid analysis provides a more economical alternative for a coarse-cut qualitative analysis and observation of long-term trends, providing insight to practitioners, assessors, and researchers ranging from individual course evaluations to large-scale studies. Short, focused, open-ended survey questions are good candidates for this type of analysis.</t>
  </si>
  <si>
    <t>jlight@lcsc.edu; yasuhara@cs.washington.edu</t>
  </si>
  <si>
    <t>978-1-4244-1969-2</t>
  </si>
  <si>
    <t>Education &amp; Educational Research; Education, Scientific Disciplines; Engineering, Electrical &amp; Electronic</t>
  </si>
  <si>
    <t>BMA59</t>
  </si>
  <si>
    <t>WOS:000271669200154</t>
  </si>
  <si>
    <t>Sethu, M; Kotla, B; Russell, D; Madadi, M; Titu, NA; Coble, JB; Boring, RL; Blache, K; Agarwal, V; Yadav, V; Khojandi, A</t>
  </si>
  <si>
    <t>Sethu, Meenu; Kotla, Bhavya; Russell, Darrell; Madadi, Mahboubeh; Titu, Nesar Ahmed; Coble, Jamie Baalis; Boring, Ronald L.; Blache, Klaus; Agarwal, Vivek; Yadav, Vaibhav; Khojandi, Anahita</t>
  </si>
  <si>
    <t>Application of Artificial Intelligence in Detection and Mitigation of Human Factor Errors in Nuclear Power Plants: A Review</t>
  </si>
  <si>
    <t>NUCLEAR TECHNOLOGY</t>
  </si>
  <si>
    <t>Human factors; human errors; nuclear power plants; artificial intelligence; operator support systems</t>
  </si>
  <si>
    <t>OPERATOR SUPPORT-SYSTEM; SITUATION AWARENESS; ACCIDENT DIAGNOSIS; FAULT-DIAGNOSIS; NEURAL NETWORKS; IDENTIFICATION; SAFETY; MODEL; PERFORMANCE; AUTOMATION</t>
  </si>
  <si>
    <t>Human factors and ergonomics have played an essential role in increasing the safety and performance of operators in the nuclear energy industry. In this critical review, we examine how artificial intelligence (AI) technologies can be leveraged to mitigate human errors, thereby improving the safety and performance of operators in nuclear power plants (NPPs). First, we discuss the various causes of human errors in NPPs. Next, we examine the ways in which AI has been introduced to and incorporated into different types of operator support systems to mitigate these human errors. We specifically examine (1) operator support systems, including decision support systems, (2) sensor fault detection systems, (3) operation validation systems, (4) operator monitoring systems, (5) autonomous control systems, (6) predictive maintenance systems, (7) automated text analysis systems, and (8) safety assessment systems. Finally, we provide some of the shortcomings of the existing AI technologies and discuss the challenges still ahead for their further adoption and implementation to provide future research directions.</t>
  </si>
  <si>
    <t>[Sethu, Meenu; Kotla, Bhavya; Madadi, Mahboubeh] San Jose State Univ, One Washington Sq, San Jose, CA 95192 USA; [Russell, Darrell; Titu, Nesar Ahmed; Coble, Jamie Baalis; Blache, Klaus; Khojandi, Anahita] Univ Tennessee, Knoxville, TN 37996 USA; [Boring, Ronald L.; Agarwal, Vivek; Yadav, Vaibhav] Idaho Natl Lab, POB 1625, Idaho Falls, ID 83415 USA</t>
  </si>
  <si>
    <t>California State University System; San Jose State University; University of Tennessee System; University of Tennessee Knoxville; United States Department of Energy (DOE); Idaho National Laboratory</t>
  </si>
  <si>
    <t>Madadi, M (corresponding author), San Jose State Univ, One Washington Sq, San Jose, CA 95192 USA.</t>
  </si>
  <si>
    <t>mahboubeh.madadi@sjsu.edu</t>
  </si>
  <si>
    <t>Yadav, Vaibhav/B-4551-2018; Boring, Ronald/B-4626-2018</t>
  </si>
  <si>
    <t>Yadav, Vaibhav/0000-0002-4450-4345; Boring, Ronald/0000-0001-5460-9610; Agarwal, Vivek/0000-0003-1334-0509</t>
  </si>
  <si>
    <t>U.S. Department of Energy, an agency of the U.S. government [DE-NE0008978]</t>
  </si>
  <si>
    <t>U.S. Department of Energy, an agency of the U.S. government(United States Department of Energy (DOE))</t>
  </si>
  <si>
    <t>This work of authorship was prepared as an account of work sponsored by the U.S. Department of Energy, an agency of the U.S. government, under grant no. DE-NE0008978 to the University of Tennessee-Knoxville. The authors would also like to thank Erica Christine Swift and Stephen Lamar Farlett for their insights in study design. Neither the U.S. government, nor any agency thereof, nor any of their employees makes any warranty, express or implied, or assumes any legal liability or responsibility for the accuracy, completeness, or usefulness of any information, apparatus, product, or process disclosed, or represents that its use would not infringe privately owned rights.</t>
  </si>
  <si>
    <t>0029-5450</t>
  </si>
  <si>
    <t>1943-7471</t>
  </si>
  <si>
    <t>NUCL TECHNOL</t>
  </si>
  <si>
    <t>Nucl. Technol.</t>
  </si>
  <si>
    <t>10.1080/00295450.2022.2067461</t>
  </si>
  <si>
    <t>Nuclear Science &amp; Technology</t>
  </si>
  <si>
    <t>2L8PP</t>
  </si>
  <si>
    <t>WOS:000817277800001</t>
  </si>
  <si>
    <t>Wang, Z; Zhong, Y</t>
  </si>
  <si>
    <t>Wang, Zhong; Zhong, Ying</t>
  </si>
  <si>
    <t>What were residents' petitions in Beijing-based on text mining</t>
  </si>
  <si>
    <t>JOURNAL OF URBAN MANAGEMENT</t>
  </si>
  <si>
    <t>Petitions; Urban residents; Network platform; Interaction between government and public; Text mining; Case study</t>
  </si>
  <si>
    <t>CITIZEN COMPLAINTS; HOUSING DEMOLITION; CHINA; DETERMINANTS; INFORMATION; MANAGEMENT; SYSTEM</t>
  </si>
  <si>
    <t>Understanding the petition of citizens is the basis for improving urban governance and citizen satisfaction during urbanization. Given Beijing's rapid growth and large scale in urbanization, it represents an interesting case study to explore the petitions of citizens. In this paper, we analyze nearly five thousand petitions through automated text analysis in order to summarize and explore the prevalent concerns voiced by Beijing citizens. We found that citizens' petition issues are regarding household registration (30.3%), illegal construction (22.6%), education (13.4%), demolition (11.8%), city management (9.8%), housing (7.7%), and traffic (4.4%). Petition Network Platform in Chinese cities has accumulated information resources, but the development and utilization is lagging behind. Text Mining of the public letters has been intricate; yet, it may serve as a novel technique to analyze and improve urban governance in China. The public should be encouraged to express their demands through the network platform for enriching information resources. Moreover, the response mechanism should be established for the public opinions derived from Text Mining, to improve public satisfaction.</t>
  </si>
  <si>
    <t>[Wang, Zhong] Beijing Acad Social Sci, Beijing 100101, Peoples R China; [Zhong, Ying] Beijing Official Portal Management Ctr, Beijing 100089, Peoples R China</t>
  </si>
  <si>
    <t>Beijing Academy of Social Sciences</t>
  </si>
  <si>
    <t>Wang, Z (corresponding author), 33 Middle North Fourth Ring Rd, Beijing 100101, Peoples R China.</t>
  </si>
  <si>
    <t>wz.0@hotmail.com</t>
  </si>
  <si>
    <t>2226-5856</t>
  </si>
  <si>
    <t>2589-0360</t>
  </si>
  <si>
    <t>J URBAN MANAG</t>
  </si>
  <si>
    <t>J. Urban Manag.</t>
  </si>
  <si>
    <t>10.1016/j.jum.2019.11.006</t>
  </si>
  <si>
    <t>Urban Studies</t>
  </si>
  <si>
    <t>LW6SY</t>
  </si>
  <si>
    <t>WOS:000539275100009</t>
  </si>
  <si>
    <t>Silva, T; Kartalis, Y; Lobo, MC</t>
  </si>
  <si>
    <t>Silva, Tiago; Kartalis, Yani; Lobo, Marina Costa</t>
  </si>
  <si>
    <t>Highlighting supranational institutions? An automated analysis of EU politicisation (2002-2017)</t>
  </si>
  <si>
    <t>European Union; politicisation; eurozone crisis; legislative elections; media coverage; automated text analysis</t>
  </si>
  <si>
    <t>EUROPEAN INTEGRATION; DIFFERENTIATED POLITICIZATION; NEWS COVERAGE; SENTIMENT; GIANT</t>
  </si>
  <si>
    <t>This article examines, using automated text analyses, the EU politicisation in the media of six Eurozone countries (Belgium, Germany, Greece, Ireland, Portugal and Spain), between 2002 and 2017. By contrasting creditor and debtor countries, the article analyses how the Eurozone crisis affected the politicisation of the EU and its institutions using a unique dataset of 165,341 articles from 12 newspapers. The results show that the Eurozone crisis increased the politicisation of the EU, particularly in the countries that were at the forefront of the Eurozone bailouts. Importantly, the crisis contributed as well to a more multifaceted news coverage of the European Union, namely with a greater emphasis given to supranational institutions vis-a-vis intergovernmental ones. Yet, this supranational coverage was associated with the increasingly negative tone of articles. To that extent, this study shows that greater mention of EU institutions may not necessarily contribute to a Europeanisation of public debates. Supplemental data for this article can be accessed online at: https://doi.org/10.1080/01402382.2021.1910778 .</t>
  </si>
  <si>
    <t>[Silva, Tiago; Kartalis, Yani; Lobo, Marina Costa] Univ Lisbon, Inst Ciencias Sociais, Lisbon, Portugal</t>
  </si>
  <si>
    <t>Institute of Social Sciences, University of Lisbon (ICS-UL); Universidade de Lisboa</t>
  </si>
  <si>
    <t>Silva, T (corresponding author), Univ Lisbon, Inst Ciencias Sociais, Lisbon, Portugal.</t>
  </si>
  <si>
    <t>tiago.silva@ics.ulisboa.pt; eikartalis@campus.ul.pt; marina.costalobo@ics.ul.pt</t>
  </si>
  <si>
    <t>; Costa Lobo, Marina/M-8747-2013</t>
  </si>
  <si>
    <t>Silva, Tiago/0000-0002-3835-9735; Costa Lobo, Marina/0000-0002-7329-0972; Kartalis, Yani/0000-0002-7006-7978</t>
  </si>
  <si>
    <t>ERC MAPLE Consolidator Grant [682125]</t>
  </si>
  <si>
    <t>ERC MAPLE Consolidator Grant</t>
  </si>
  <si>
    <t>This research was funded by the ERC MAPLE Consolidator Grant no. 682125.</t>
  </si>
  <si>
    <t>10.1080/01402382.2021.1910778</t>
  </si>
  <si>
    <t>YQ6ND</t>
  </si>
  <si>
    <t>WOS:000646167500001</t>
  </si>
  <si>
    <t>Smirnova, A; Laranetto, H; Kolenda, N</t>
  </si>
  <si>
    <t>Smirnova, Anastasia; Laranetto, Helena; Kolenda, Nicholas</t>
  </si>
  <si>
    <t>Ideology through sentiment analysis: A changing perspective on Russia and Islam in NYT</t>
  </si>
  <si>
    <t>DISCOURSE &amp; COMMUNICATION</t>
  </si>
  <si>
    <t>9; 11 and Islam; critical discourse analysis; mass media; positive and negative emotions; quantitative methods; representation of the Other'; Russia's annexation of Crimea; sentiment analysis</t>
  </si>
  <si>
    <t>CRITICAL DISCOURSE ANALYSIS; LANGUAGE USE; CORPUS LINGUISTICS; SEPTEMBER 11; WORDS; NEGATIVITY; SYNERGY; UK</t>
  </si>
  <si>
    <t>This article continues the line of research that combines the paradigm of Critical Discourse Analysis (CDA) with quantitative methods. We propose that Linguistic Inquiry and Word Count (LIWC), a software for automated text analysis widely used in social sciences, can enrich the CDA toolkit. The methodological advantage of LIWC is that its semantic categorization was developed and validated independently, which addresses the concerns about subjectivity. In two case studies we use LIWC to analyze the construction and representation of the Other' in mass media. Study 1 focuses on the representation of Russia in The New York Times (NYT) before and after its annexation of Crimea; Study 2 analyzes the change in sentiment toward Islam in NYT before and after 9/11. We find that in both cases the change in attitude is driven by an increase in negative emotion words rather than by a decrease in positive words.</t>
  </si>
  <si>
    <t>[Smirnova, Anastasia; Laranetto, Helena] San Francisco State Univ, Linguist, San Francisco, CA 94132 USA; [Laranetto, Helena] San Francisco State Univ, San Francisco, CA USA; [Kolenda, Nicholas] Univ Michigan, Ann Arbor, MI 48109 USA</t>
  </si>
  <si>
    <t>California State University System; San Francisco State University; California State University System; San Francisco State University; University of Michigan System; University of Michigan</t>
  </si>
  <si>
    <t>Smirnova, A (corresponding author), San Francisco State Univ, Dept English Language &amp; Literature, 1600 Holloway Ave,HUM 429, San Francisco, CA 94132 USA.</t>
  </si>
  <si>
    <t>smirnov@sfsu.edu</t>
  </si>
  <si>
    <t>1750-4813</t>
  </si>
  <si>
    <t>1750-4821</t>
  </si>
  <si>
    <t>DISCOURSE COMMUN</t>
  </si>
  <si>
    <t>Discourse Commun.</t>
  </si>
  <si>
    <t>10.1177/1750481317699347</t>
  </si>
  <si>
    <t>EV5GZ</t>
  </si>
  <si>
    <t>WOS:000401792900004</t>
  </si>
  <si>
    <t>Pipal, C; Song, H; Boomgaarden, HG</t>
  </si>
  <si>
    <t>Pipal, Christian; Song, Hyunjin; Boomgaarden, Hajo G.</t>
  </si>
  <si>
    <t>If You Have Choices, Why Not Choose (and Share) All of Them? A Multiverse Approach to Understanding News Engagement on Social Media</t>
  </si>
  <si>
    <t>Multiverse analysis; online news engagement; news values; open science; text analysis; sentiment analysis</t>
  </si>
  <si>
    <t>QUESTIONABLE RESEARCH PRACTICES; COMMUNICATION; TEXT; OPPORTUNITIES; SENTIMENT; PITFALLS; ME</t>
  </si>
  <si>
    <t>Social sciences are facing a crisis of replicability, and concerns about the confidence in quantitative findings have resulted in an increasing interest in open science practices across many fields. In this article we introduce scholars of (digital) journalism studies and communication science to multiverse analysis while addressing the possible reasons of heterogeneity in the findings of research on engagement with news on social media. Using the question of which news article characteristics predict news engagement on social media, this illustration of the multiverse approach shows how different measurement, data processing, and modelling choices lead to divergent conclusions. In particular, we show how the selection of widely used automated text analysis tools and preprocessing steps influence the conclusions drawn from the analysis. We also use this illustration to guide interested scholars through the different steps of doing a multiverse analysis. More broadly, we demonstrate how multiverse analysis can be an open and transparent research approach in a field that is increasingly faced with a wide range of analytical choices.</t>
  </si>
  <si>
    <t>[Pipal, Christian] Univ Amsterdam, Dept Polit Sci, Amsterdam, Netherlands; [Song, Hyunjin] Yonsei Univ, Dept Commun, Seoul, South Korea; [Boomgaarden, Hajo G.] Univ Vienna, Dept Commun, Vienna, Austria</t>
  </si>
  <si>
    <t>University of Amsterdam; Yonsei University; University of Vienna</t>
  </si>
  <si>
    <t>Pipal, C (corresponding author), Univ Amsterdam, Dept Polit Sci, Amsterdam, Netherlands.</t>
  </si>
  <si>
    <t>c.pipal@uva.nl</t>
  </si>
  <si>
    <t>Song, Hyunjin/ABD-2100-2020; Pipal, Christian/ABY-0629-2022</t>
  </si>
  <si>
    <t>Song, Hyunjin/0000-0001-7752-3035; Pipal, Christian/0000-0002-5395-2035; Boomgaarden, Hajo G./0000-0002-5260-1284</t>
  </si>
  <si>
    <t>European Research Council (ERC) under the European Union's Horizon 2020 research and innovation programme [759079]</t>
  </si>
  <si>
    <t>European Research Council (ERC) under the European Union's Horizon 2020 research and innovation programme(European Research Council (ERC))</t>
  </si>
  <si>
    <t>unding Christian Pipal received funding from the European Research Council (ERC) under the European Union's Horizon 2020 research and innovation programme under grant agreement No 759079, POLEMIC.</t>
  </si>
  <si>
    <t>10.1080/21670811.2022.2036623</t>
  </si>
  <si>
    <t>ZK9YJ</t>
  </si>
  <si>
    <t>WOS:000763337300001</t>
  </si>
  <si>
    <t>Markowitz, DM; Griffin, DJ</t>
  </si>
  <si>
    <t>Markowitz, David M.; Griffin, Darrin J.</t>
  </si>
  <si>
    <t>When context matters: how false, truthful, and genre-related communication styles are revealed in language</t>
  </si>
  <si>
    <t>PSYCHOLOGY CRIME &amp; LAW</t>
  </si>
  <si>
    <t>Deception; language; context; automated text analysis; genre</t>
  </si>
  <si>
    <t>DECEPTION; ACCURACY; VALIDITY; WORDS; LIES; CUES</t>
  </si>
  <si>
    <t>In this preregistered experiment, we address an understudied question in the deception and language literature: What is the impact of context on false and truthful language patterns? Drawing on two theories, Truth-Default Theory and the Contextual Organization of Language and Deception model, we instructed participants (N = 639) to lie, tell the truth, or write within a genre without explicit lying or truth-telling instructions across different topics (e.g. their friends, attitudes on abortion). The results successfully replicate several cue-based models for self-references and negative affect, such as the Newman Pennebaker model of deception. Participants without lying or truth-telling instructions, but who wrote within genre conventions, showed markedly similar patterns to truth-tellers, though indicators of analytic thinking, adjectives, and auxiliary verbs were distinct. The data were also evaluated with a topic modeling approach and suggest that the abortion process was construed negatively when people lied about the topic. Truth-tellers construed abortion in objective terms and genre-related speech highlighted key role-players (e.g. the government, men, women, baby). We discuss how these data advance deception and language theory.</t>
  </si>
  <si>
    <t>[Markowitz, David M.] Univ Oregon, Sch Journalism &amp; Commun, Eugene, OR 97403 USA; [Griffin, Darrin J.] Univ Alabama, Dept Commun Studies, Tuscaloosa, AL USA</t>
  </si>
  <si>
    <t>University of Oregon; University of Alabama System; University of Alabama Tuscaloosa</t>
  </si>
  <si>
    <t>Markowitz, DM (corresponding author), Univ Oregon, Eugene, OR 97403 USA.</t>
  </si>
  <si>
    <t>1068-316X</t>
  </si>
  <si>
    <t>1477-2744</t>
  </si>
  <si>
    <t>PSYCHOL CRIME LAW</t>
  </si>
  <si>
    <t>Psychol. Crime Law</t>
  </si>
  <si>
    <t>10.1080/1068316X.2019.1652751</t>
  </si>
  <si>
    <t>Criminology &amp; Penology; Law; Psychology, Multidisciplinary</t>
  </si>
  <si>
    <t>KU3FT</t>
  </si>
  <si>
    <t>WOS:000481299400001</t>
  </si>
  <si>
    <t>Curini, L; Vignoli, V</t>
  </si>
  <si>
    <t>Curini, Luigi; Vignoli, Valerio</t>
  </si>
  <si>
    <t>Committed Moderates and Uncommitted Extremists: Ideological Leaning and Parties' Narratives on Military Interventions in Italy</t>
  </si>
  <si>
    <t>FOREIGN POLICY ANALYSIS</t>
  </si>
  <si>
    <t>INTERNATIONAL CONFLICT BEHAVIOR; FOREIGN-POLICY; OPERATIONS; POLITICS; PARTNER; IRAQ; WAR</t>
  </si>
  <si>
    <t>Current research highlights that ideology decisively affects political contestation concerning peace and security operations in European countries. In particular, recent studies suggest that party preferences on this issue follow a curvilinear distribution along the left-right axis, delineating a conflict between moderate and extreme parties. However, the impact of this cleavage on the use of strategic narratives to either support or criticize these missions requires more attention. This article aims to fill this gap by employing seeded latent Dirichlet allocation, a semi-supervised automated text analysis method, to analyze parliamentary debates on Italy's most significant troop deployments between 1994 and 2013. We expect to find that while moderates express a supportive narrative aimed at justifying the use of force, extremists attempt to delegitimize military interventions. Accordingly, we hypothesize that moderate parties emphasize more on the multilateral and humanitarian framework of a mission, while extremist parties focus more on its military means. The empirical findings largely confirm our hypotheses. By means of its method and results, the article contributes both empirically and methodologically to the debate on the party politics of military interventions in Europe.</t>
  </si>
  <si>
    <t>[Curini, Luigi; Vignoli, Valerio] Univ Milan, Polit Sci, Milan, Italy</t>
  </si>
  <si>
    <t>Curini, L (corresponding author), Univ Milan, Polit Sci, Milan, Italy.</t>
  </si>
  <si>
    <t>Curini, Luigi/0000-0003-1974-9815; VIGNOLI, VALERIO/0000-0002-7893-1433</t>
  </si>
  <si>
    <t>1743-8586</t>
  </si>
  <si>
    <t>1743-8594</t>
  </si>
  <si>
    <t>FOREIGN POL ANAL-US</t>
  </si>
  <si>
    <t>Foreign Policy Anal.</t>
  </si>
  <si>
    <t>orab016</t>
  </si>
  <si>
    <t>10.1093/fpa/orab016</t>
  </si>
  <si>
    <t>YL6AU</t>
  </si>
  <si>
    <t>WOS:000745972800003</t>
  </si>
  <si>
    <t>Lindstedt, NC</t>
  </si>
  <si>
    <t>Lindstedt, Nathan C.</t>
  </si>
  <si>
    <t>Structural Topic Modeling For Social Scientists: A Brief Case Study with Social Movement Studies Literature, 2005-2017</t>
  </si>
  <si>
    <t>SOCIAL CURRENTS</t>
  </si>
  <si>
    <t>topic modeling; methodology; collective behavior and social movements</t>
  </si>
  <si>
    <t>CULTURE; TEXT</t>
  </si>
  <si>
    <t>Sociologists frequently make use of language as data in their research using methodologies including open-ended surveys, in-depth interviews, and content analyses. Unfortunately, the ability of researchers to analyze the growing amount of these data declines as the costs and time associated with the research process increases. Topic modeling is a computer-assisted technique that can help social scientists to address these data challenges. Despite the central role of language in sociological research, to date, the field has largely overlooked the promise of automated text analysis in favor of more familiar and more traditional methods. This article provides an overview of a topic modeling framework especially suited for social scientific research. By way of a case study using abstracts from social movement studies literature, a short tutorial from data preparation through data analysis is given for the method of structural topic modeling. This example demonstrates how text analytics can be applied to research in sociology and encourages academics to consider such methods not merely as novel tools, but as useful supplements that can work beside and enhance existing methodologies.</t>
  </si>
  <si>
    <t>[Lindstedt, Nathan C.] Washington State Univ, Pullman, WA 99164 USA</t>
  </si>
  <si>
    <t>Washington State University</t>
  </si>
  <si>
    <t>Lindstedt, NC (corresponding author), Washington State Univ, Dept Sociol, POB 644020, Pullman, WA 99164 USA.</t>
  </si>
  <si>
    <t>nathan.lindstedt@wsu.edu</t>
  </si>
  <si>
    <t>2329-4965</t>
  </si>
  <si>
    <t>2329-4973</t>
  </si>
  <si>
    <t>SOC CURR</t>
  </si>
  <si>
    <t>Soc. Curr.</t>
  </si>
  <si>
    <t>10.1177/2329496519846505</t>
  </si>
  <si>
    <t>KG5BE</t>
  </si>
  <si>
    <t>WOS:000509961500001</t>
  </si>
  <si>
    <t>Tvinnereim, E; Flottum, K</t>
  </si>
  <si>
    <t>Tvinnereim, Endre; Flottum, Kjersti</t>
  </si>
  <si>
    <t>Explaining topic prevalence in answers to open-ended survey questions about climate change</t>
  </si>
  <si>
    <t>NATURE CLIMATE CHANGE</t>
  </si>
  <si>
    <t>IMAGE ASSOCIATIONS; UNITED-STATES; FUTURE</t>
  </si>
  <si>
    <t>Citizens' opinions are crucial for action on climate change, but are, owing to the complexity of the issue, diverse and potentially unformed(1). We contribute to the understanding of public views on climate change and to knowledge needed by decision-makers by using a new approach to analyse answers to the open survey question 'what comes to mind when you hear the words 'climate change'?'. We apply automated text analysis, specifically structural topic modelling(2), which induces distinct topics based on the relative frequencies of the words used in 2,115 responses. From these data, originating from the new, nationally representative Norwegian Citizen Panel, four distinct topics emerge: Weather/Ice, Future/Impact, Money/Consumption and Attribution. We find that Norwegians emphasize societal aspects of climate change more than do respondents in previous US and UK studies(3-6). Furthermore, variables that explain variation in closed questions, such as gender and education, yield different and surprising results when employed to explain variation in what respondents emphasize. Finally, the sharp distinction between scepticism and acceptance of conventional climate science, often seen in previous studies, blurs in many textual responses as scepticism frequently turns into ambivalence.</t>
  </si>
  <si>
    <t>[Tvinnereim, Endre] Uni Res Rokkan Ctr, N-5015 Bergen, Norway; [Flottum, Kjersti] Univ Bergen, Dept Foreign Languages, N-5020 Bergen, Norway</t>
  </si>
  <si>
    <t>University of Bergen</t>
  </si>
  <si>
    <t>Tvinnereim, E (corresponding author), Uni Res Rokkan Ctr, Nygardsgaten 5, N-5015 Bergen, Norway.</t>
  </si>
  <si>
    <t>endre.tvinnereim@uni.no</t>
  </si>
  <si>
    <t>Tvinnereim, Endre/AFQ-8791-2022</t>
  </si>
  <si>
    <t>Tvinnereim, Endre/0000-0001-8891-2503</t>
  </si>
  <si>
    <t>Research Council of Norway [220654]</t>
  </si>
  <si>
    <t>Research Council of Norway(Research Council of Norway)</t>
  </si>
  <si>
    <t>The Research Council of Norway provided financial support for part of the work under the Lingclim project (grant no. 220654). We are very grateful to B. M. Stewart for support on technical issues related to our structural topic models. We also thank participants at the Norwegian Citizen Panel conference, Bergen, 6-7 November 2014.</t>
  </si>
  <si>
    <t>NATURE PUBLISHING GROUP</t>
  </si>
  <si>
    <t>MACMILLAN BUILDING, 4 CRINAN ST, LONDON N1 9XW, ENGLAND</t>
  </si>
  <si>
    <t>1758-678X</t>
  </si>
  <si>
    <t>1758-6798</t>
  </si>
  <si>
    <t>NAT CLIM CHANGE</t>
  </si>
  <si>
    <t>Nat. Clim. Chang.</t>
  </si>
  <si>
    <t>U158</t>
  </si>
  <si>
    <t>10.1038/NCLIMATE2663</t>
  </si>
  <si>
    <t>Environmental Sciences; Environmental Studies; Meteorology &amp; Atmospheric Sciences</t>
  </si>
  <si>
    <t>Environmental Sciences &amp; Ecology; Meteorology &amp; Atmospheric Sciences</t>
  </si>
  <si>
    <t>CN5QN</t>
  </si>
  <si>
    <t>WOS:000358484400016</t>
  </si>
  <si>
    <t>Bergmann, B; Villmann, T; Gumz, A</t>
  </si>
  <si>
    <t>Bergmann, Beate; Villmann, Thomas; Gumz, Antje</t>
  </si>
  <si>
    <t>From Chaos to Insight - The Character of the Dynamics of Therapeutic Changes with a Linguistic Analysis of Verbatim Transcripts</t>
  </si>
  <si>
    <t>emotion; abstraction; cycles model; key session; psychotherapeutic processes; dynamic system</t>
  </si>
  <si>
    <t>The objective of this study is to determine and to analyze so-called key sessions in the frameworks of Therapeutic Cycles Model introduced by Mergenthaler and the Energy Model proposed by Caspar. For this purpose, different measures for key session identification are used based on linguistic text variables. The investigation is done for 10 high-frequency, psychodynamic, inpatient, individual therapies consisting of overall 206 therapeutic sessions, all of which were completely videotaped and transcribed. The text analysis was performed using the automated text analysis tool provided by Mergenthaler, which measures the construct of Emotional Tone as a linguistic manifestation of the emotional event and the construct of Abstraction as a linguistic manifestation of cognitive-reflective processes in speech and texts. Feeding these variables into both models, results reveal their coherence: Therapeutic change may occur, whenever an emotional and cognitive-reflective processing of the internal conflicts begins after destabilisation of coherent patterns of behaviour and experiencing. The discussion suggests a more detailed specification of the definition of key sessions in the Therapeutic Cycles Model by Mergenthaler.</t>
  </si>
  <si>
    <t>[Bergmann, Beate; Villmann, Thomas; Gumz, Antje] Univ Leipzig Prof Dr M Geyer, Klin &amp; Poliklin Psychotherapie &amp; Psychosomat Med, Leipzig, Germany</t>
  </si>
  <si>
    <t>Bergmann, B (corresponding author), Univ Klinikum Leipzig, AoR Klin &amp; Poliklin Psychotherapie &amp; Psychosomat, Semmelweisstr 10, D-04103 Leipzig, Germany.</t>
  </si>
  <si>
    <t>beate.bergmann@medizin.uni-leipzig.de</t>
  </si>
  <si>
    <t>Gumz, Antje/ABF-7163-2021</t>
  </si>
  <si>
    <t>Gumz, Antje/0000-0002-2193-6540</t>
  </si>
  <si>
    <t>SEP-OCT</t>
  </si>
  <si>
    <t>9-10</t>
  </si>
  <si>
    <t>10.1055/s-2007-986360</t>
  </si>
  <si>
    <t>371PZ</t>
  </si>
  <si>
    <t>WOS:000260844700008</t>
  </si>
  <si>
    <t>Moore, RL; Oliver, KM; Wang, C</t>
  </si>
  <si>
    <t>Moore, Robert L.; Oliver, Kevin M.; Wang, Chuang</t>
  </si>
  <si>
    <t>Setting the pace: examining cognitive processing in MOOC discussion forums with automatic text analysis</t>
  </si>
  <si>
    <t>INTERACTIVE LEARNING ENVIRONMENTS</t>
  </si>
  <si>
    <t>MOOCs; automated text analysis; learning analytics; discussion forums; LIWC; cognitive presence</t>
  </si>
  <si>
    <t>ONLINE DISCUSSIONS; CRITICAL THINKING; SELF-REGULATION; INQUIRY; COMMUNITY; LANGUAGE; BEHAVIOR; WORDS; LIWC</t>
  </si>
  <si>
    <t>Learning analytics focuses on extracting meaning from large amounts of data. One of the largest datasets in education comes from Massive Open Online Courses (MOOCs) that typically feature enrollments in the tens of thousands. Analyzing MOOC discussion forums presents logistical issues, resulting chiefly from the size of the dataset, which can create challenges for understanding and adequately describing student behaviors. Utilizing automatic text analysis, this study built a hierarchical linear model that examines the influence of the pacing condition of a massive open online course (MOOC), whether it is self-paced or instructor-paced, on the demonstration of cognitive processing in a HarvardX MOOC. The analysis of 2,423 discussion posts generated by 671 students revealed the number of dictionary words used were positively associated with cognitive processing while analytical thinking and clout was negatively associated. We found that none of the student background information (gender, education), status of the course engagement (explored or completed), or the course pace (self-paced versus instructor paced) significantly influenced the cognitive processing of the postings.</t>
  </si>
  <si>
    <t>[Moore, Robert L.] Old Dominion Univ, Dept STEM Educ &amp; Profess Studies, Norfolk, VA 23529 USA; [Oliver, Kevin M.] North Carolina State Univ, Teacher Educ &amp; Learning Sci, Raleigh, NC 27695 USA; [Wang, Chuang] Univ N Carolina, Dept Educ Leadership, Charlotte, NC 28223 USA</t>
  </si>
  <si>
    <t>Old Dominion University; University of North Carolina; North Carolina State University; University of North Carolina; University of North Carolina Charlotte</t>
  </si>
  <si>
    <t>Moore, RL (corresponding author), Old Dominion Univ, Dept STEM Educ &amp; Profess Studies, Norfolk, VA 23529 USA.</t>
  </si>
  <si>
    <t>moore@odu.edu</t>
  </si>
  <si>
    <t>Oliver, Kevin/AAE-6114-2020; Moore, Robert L./G-8114-2018</t>
  </si>
  <si>
    <t>Moore, Robert L./0000-0002-5645-9297; Oliver, Kevin/0000-0001-8463-0621; Wang, Chuang/0000-0003-3372-2053</t>
  </si>
  <si>
    <t>1049-4820</t>
  </si>
  <si>
    <t>1744-5191</t>
  </si>
  <si>
    <t>INTERACT LEARN ENVIR</t>
  </si>
  <si>
    <t>Interact. Learn. Environ.</t>
  </si>
  <si>
    <t>10.1080/10494820.2019.1610453</t>
  </si>
  <si>
    <t>APR 2019</t>
  </si>
  <si>
    <t>IG0ZW</t>
  </si>
  <si>
    <t>WOS:000470487600001</t>
  </si>
  <si>
    <t>Disaggregating Repression: Identifying Physical Integrity Rights Allegations in Human Rights Reports</t>
  </si>
  <si>
    <t>INTERNATIONAL STUDIES QUARTERLY</t>
  </si>
  <si>
    <t>US STATE-DEPARTMENT; TORTURE ALLEGATIONS; ILL-TREATMENT</t>
  </si>
  <si>
    <t>Most cross-national human rights datasets rely on human coding to produce yearly, country-level indicators of state human rights practices. Hand-coding the documents that contain the information on which these scores are based is tedious and time-consuming, but has been viewed as necessary given the complexity and detail of the information contained in the text. However, advances in automated text analysis have the potential to streamline this process without sacrificing accuracy. In this research note, we take the first step in creating this streamlined process by employing a supervised machine learning automated coding method that extracts specific allegations of physical integrity rights violations from the original text of country reports on human rights. This method produces a dataset including 163,512 unique abuse allegations in 196 countries between 1999 and 2016. This dataset and method will assist researchers of physical integrity rights abuse because it will allow them to produce allegation-level human rights measures that have previously not existed and provide a jumping-off point for future projects aimed at using supervised machine learning to create global human rights metrics.</t>
  </si>
  <si>
    <t>[Cordell, Rebecca] Univ Texas Dallas, Richardson, TX 75083 USA; [Clay, K. Chad] Univ Georgia, Athens, GA 30602 USA; [Fariss, Christopher J.] Univ Michigan, Ann Arbor, MI 48109 USA; [Wood, Reed M.] Univ Essex, Colchester, Essex, England; [Wright, Thorin M.] Arizona State Univ, Tempe, AZ 85287 USA</t>
  </si>
  <si>
    <t>University of Texas System; University of Texas Dallas; University System of Georgia; University of Georgia; University of Michigan System; University of Michigan; University of Essex; Arizona State University; Arizona State University-Tempe</t>
  </si>
  <si>
    <t>Clay, K. Chad/0000-0001-8276-6998; Cordell, Rebecca/0000-0002-3722-2454; Wood, Reed/0000-0001-6898-7575; Fariss, Christopher/0000-0001-9837-186X</t>
  </si>
  <si>
    <t>This project was supported by the National Science Foundation, award numbers 1627464, 1626775, and 1627101.</t>
  </si>
  <si>
    <t>0020-8833</t>
  </si>
  <si>
    <t>1468-2478</t>
  </si>
  <si>
    <t>INT STUD QUART</t>
  </si>
  <si>
    <t>Int. Stud. Q.</t>
  </si>
  <si>
    <t>MAY 31</t>
  </si>
  <si>
    <t>sqac016</t>
  </si>
  <si>
    <t>10.1093/isq/sqac016</t>
  </si>
  <si>
    <t>1T0IC</t>
  </si>
  <si>
    <t>WOS:000804422700003</t>
  </si>
  <si>
    <t>Barbera, P; Gohdes, AR; Iakhnis, E; Zeitzoff, T</t>
  </si>
  <si>
    <t>Barbera, Pablo; Gohdes, Anita R.; Iakhnis, Evgeniia; Zeitzoff, Thomas</t>
  </si>
  <si>
    <t>Distract and Divert: How World Leaders Use Social Media During Contentious Politics</t>
  </si>
  <si>
    <t>social media; world leaders; automated text analysis; foreign policy</t>
  </si>
  <si>
    <t>FOREIGN-POLICY; REPRESSION; ELITES; EXTERNALIZATION; DICTATORSHIP; STRATEGIES; DEMOCRACY; CONFLICT; OPINION; SUPPORT</t>
  </si>
  <si>
    <t>How do leaders communicate during domestic crises? We provide the first global analysis of world leader communication on social media during social unrest. We develop a theory of leaders' digital communication strategies, building on the diversionary theory of foreign policy, as well as research on the role of democratic institutions in explaining elite responsiveness. To test our theory, we construct a new dataset that characterizes leader communication through social media posts published by any head of state or government on Twitter or Facebook, employing a combination of automated translation and supervised machine learning methods. Our findings show that leaders increase their social media activity and shift the topic from domestic to foreign policy issues during moments of social unrest, which is consistent with a conscious strategy to divert public attention when their position could be at risk. These effects are larger in democracies and in particular in the run-up to elections, which we attribute to incentives created by democratic institutions. Our results demonstrate how social media provide meaningful comparative insight into leaders' political behavior in the digital age.</t>
  </si>
  <si>
    <t>[Barbera, Pablo; Iakhnis, Evgeniia] Univ Southern Calif, Dept Polit Sci &amp; Int Relat, 3518 Trousdale Pkwy,CROW 330, Los Angeles, CA 94089 USA; [Gohdes, Anita R.] Hertie Sch Governance, Berlin, Germany; [Zeitzoff, Thomas] Amer Univ, Sch Publ Affairs, Washington, DC 20016 USA</t>
  </si>
  <si>
    <t>University of Southern California; American University</t>
  </si>
  <si>
    <t>Barbera, P (corresponding author), Univ Southern Calif, Dept Polit Sci &amp; Int Relat, 3518 Trousdale Pkwy,CROW 330, Los Angeles, CA 94089 USA.</t>
  </si>
  <si>
    <t>pbarbera@usc.edu</t>
  </si>
  <si>
    <t>Center for International Studies at USC; USC Undergraduate Research Associates Program</t>
  </si>
  <si>
    <t>For excellent research assistance, we are grateful to former USC undergraduate students Sophia Benavides, Rudia Kim, Alma Velazquez, Haley Schusterman, Diana Ciocan, Lindsay Lauder, Megan Thompson, and Julia Thorne; and former University of Zurich undergraduate students Alina Gaumann and Shuting Ling. We thank Adam Badawy, Adam Harris, Jason Lyall, Nils Metternich, Megan Metzger, Sebastian Stier, Denis Stukal, Joshua Tucker and audiences at UCL, Oxford, NYU, Universidad Carlos III de Madrid, USC, Exeter, Konstanz, St Gallen, Bern, Essex, Birmingham, Basel, Bilkent, Hebrew University, and Hertie for helpful comments and suggestions to previous versions of the paper. We also gratefully acknowledge financial support from the Center for International Studies at USC and the USC Undergraduate Research Associates Program.</t>
  </si>
  <si>
    <t>10.1177/19401612221102030</t>
  </si>
  <si>
    <t>1U3LX</t>
  </si>
  <si>
    <t>WOS:000805319700001</t>
  </si>
  <si>
    <t>Moore, RL; Yen, CJ; Powers, FEP</t>
  </si>
  <si>
    <t>Moore, Robert L.; Yen, Cherng-Jyh; Powers, F. Eamonn Powers</t>
  </si>
  <si>
    <t>Exploring the relationship between clout and cognitive processing in MOOC discussion forums</t>
  </si>
  <si>
    <t>BRITISH JOURNAL OF EDUCATIONAL TECHNOLOGY</t>
  </si>
  <si>
    <t>ASYNCHRONOUS ONLINE; TEXT ANALYSIS; LANGUAGE; WORDS</t>
  </si>
  <si>
    <t>The purpose of this study was to explore the relationship between clout and cognitive processing in massive open online course (MOOC) discussion forum posts. Cognitive processing, a category variable generated by the automated text analysis tool, Linguistic Inquiry Word Count (LIWC), is made up of six sub-scores (insight, causation, discrepancy, tentativeness, certainty and differentiation). Clout is a nontransparent summary variable in LIWC that can be used to understand the level of confidence conveyed in the text. Because clout is nontransparent, we do not know the algorithm used to calculate its value. To better understand this variable, this study examined cognitive processing alongside clout. In this study, a series of linear mixed models were fitted to evaluate, after controlling for gender, degree and type of post, if the focal relationship between each sub-score of cognitive processing as the predictor variables and clout as the dependent variable changed across courses with different pacing (self-paced or instructor-paced). Next, the focal relationship between each predictor and clout was examined with or without regard to pacing. Findings showed words classified as showing discrepancy, certainty or differentiation were negatively associated with clout scores.</t>
  </si>
  <si>
    <t>[Moore, Robert L.] Old Dominion Univ, Instruct Design &amp; Technol, Norfolk, VA USA; [Yen, Cherng-Jyh] Old Dominion Univ, Educ Res &amp; Stat, Norfolk, VA USA; [Powers, F. Eamonn Powers] Old Dominion Univ, Instruct Design &amp; Technol Program, Norfolk, VA USA</t>
  </si>
  <si>
    <t>Old Dominion University; Old Dominion University; Old Dominion University</t>
  </si>
  <si>
    <t>Moore, RL (corresponding author), Old Dominion Univ, Darden Coll Educ &amp; Profess Studies, 4301 Hampton Blvd,Suite 4128, Norfolk, VA 23529 USA.</t>
  </si>
  <si>
    <t>robmoorephd@gmail.com</t>
  </si>
  <si>
    <t>; Moore, Robert/G-8114-2018</t>
  </si>
  <si>
    <t>Powers, Eamonn/0000-0003-1405-6753; Moore, Robert/0000-0002-5645-9297</t>
  </si>
  <si>
    <t>0007-1013</t>
  </si>
  <si>
    <t>1467-8535</t>
  </si>
  <si>
    <t>BRIT J EDUC TECHNOL</t>
  </si>
  <si>
    <t>Br. J. Educ. Technol.</t>
  </si>
  <si>
    <t>10.1111/bjet.13033</t>
  </si>
  <si>
    <t>QA9JR</t>
  </si>
  <si>
    <t>WOS:000574178600001</t>
  </si>
  <si>
    <t>Huang, MH; Rust, RT</t>
  </si>
  <si>
    <t>Huang, Ming-Hui; Rust, Roland T.</t>
  </si>
  <si>
    <t>A strategic framework for artificial intelligence in marketing</t>
  </si>
  <si>
    <t>JOURNAL OF THE ACADEMY OF MARKETING SCIENCE</t>
  </si>
  <si>
    <t>Artificial intelligence; Machine learning; Mechanical AI; Thinking AI; Feeling AI; Strategic AI marketing; Marketing strategy; Standardization; Personalization; Relationalization; Segmentation; Targeting; Positioning; 4Ps; 4Cs</t>
  </si>
  <si>
    <t>AUTOMATED TEXT ANALYSIS; SERVICE ROBOTS; CONSUMER; SEGMENTATION; INFORMATION; INTERNET; TRACKING; SCIENCE; THINGS; MUSIC</t>
  </si>
  <si>
    <t>The authors develop a three-stage framework for strategic marketing planning, incorporating multiple artificial intelligence (AI) benefits: mechanical AI for automating repetitive marketing functions and activities, thinking AI for processing data to arrive at decisions, and feeling AI for analyzing interactions and human emotions. This framework lays out the ways that AI can be used for marketing research, strategy (segmentation, targeting, and positioning, STP), and actions. At the marketing research stage, mechanical AI can be used for data collection, thinking AI for market analysis, and feeling AI for customer understanding. At the marketing strategy (STP) stage, mechanical AI can be used for segmentation (segment recognition), thinking AI for targeting (segment recommendation), and feeling AI for positioning (segment resonance). At the marketing action stage, mechanical AI can be used for standardization, thinking AI for personalization, and feeling AI for relationalization. We apply this framework to various areas of marketing, organized by marketing 4Ps/4Cs, to illustrate the strategic use of AI.</t>
  </si>
  <si>
    <t>[Huang, Ming-Hui] Natl Taiwan Univ, Coll Management, Dept Informat Management, 1,Sec 4,Roosevelt Rd, Taipei 10617, Taiwan; [Rust, Roland T.] Univ Maryland, Ctr Excellence Serv, Robert H Smith Sch Business, 3451 Van Munching Hall, College Pk, MD 20742 USA</t>
  </si>
  <si>
    <t>National Taiwan University; University System of Maryland; University of Maryland College Park</t>
  </si>
  <si>
    <t>Huang, MH (corresponding author), Natl Taiwan Univ, Coll Management, Dept Informat Management, 1,Sec 4,Roosevelt Rd, Taipei 10617, Taiwan.</t>
  </si>
  <si>
    <t>huangmh@ntu.edu.tw; rrust@rhsmith.umd.edu</t>
  </si>
  <si>
    <t>Ministry of Science and Technology, Taiwan [106-2410-H-002-056MY3, 107-2410-H-002-115-MY3]</t>
  </si>
  <si>
    <t>Ministry of Science and Technology, Taiwan(Ministry of Science and Technology, TaiwanMinistry of Science, ICT &amp; Future Planning, Republic of Korea)</t>
  </si>
  <si>
    <t>This research was supported by grants (106-2410-H-002-056MY3 and 107-2410-H-002-115-MY3) from the Ministry of Science and Technology, Taiwan.</t>
  </si>
  <si>
    <t>0092-0703</t>
  </si>
  <si>
    <t>1552-7824</t>
  </si>
  <si>
    <t>J ACAD MARKET SCI</t>
  </si>
  <si>
    <t>J. Acad. Mark. Sci.</t>
  </si>
  <si>
    <t>10.1007/s11747-020-00749-9</t>
  </si>
  <si>
    <t>NOV 2020</t>
  </si>
  <si>
    <t>PP1TL</t>
  </si>
  <si>
    <t>WOS:000585729700001</t>
  </si>
  <si>
    <t>Aronsson, FS; Kuhlmann, M; Jelic, V; Ostberg, P</t>
  </si>
  <si>
    <t>Aronsson, Fredrik; Kuhlmann, Marco; Jelic, Vesna; Ostberg, Per</t>
  </si>
  <si>
    <t>Is cognitive impairment associated with reduced syntactic complexity in writing? Evidence from automated text analysis</t>
  </si>
  <si>
    <t>APHASIOLOGY</t>
  </si>
  <si>
    <t>Syntactic complexity; average dependency distance; Alzheimer's disease; mci; sci</t>
  </si>
  <si>
    <t>EARLY ALZHEIMERS-DISEASE; WORKING-MEMORY; LANGUAGE IMPAIRMENT; LINGUISTIC ABILITY; SEMANTIC MEMORY; EARLY-LIFE; MILD; AGRAPHIA; DECLINE; DYSFUNCTION</t>
  </si>
  <si>
    <t>Background: Written language impairments are common in Alzheimer's disease and reduced syntactic complexity in written discourse has been observed decades before the onset of dementia. The validity of average dependency distance (ADD), a measure of syntactic complexity, in cognitive decline needs to be studied further to evaluate its clinical relevance. Aims: The aim of the study was to determine whether ADD is associated with levels of cognitive impairment in memory clinic patients. Methods &amp; procedures: We analyzed written texts collected in clinical practice from 114 participants with subjective cognitive impairment, mild cognitive impairment, and Alzheimer's disease during routine assessment at a memory clinic. ADD was measured using automated analysis methods consisting of a syntactic parser and a part-of-speech tagger. Outcomes &amp; results: Our results show a significant association between ADD and levels of cognitive impairment, using ordinal logistic regression models. Conclusion: These results suggest that ADD is clinically relevant with regard to levels of cognitive impairment and indicate a diagnostic potential for ADD in cognitive assessment.</t>
  </si>
  <si>
    <t>[Aronsson, Fredrik; Ostberg, Per] Karolinska Inst, Dept Clin Sci Intervent &amp; Technol, Div Speech &amp; Language Pathol, Stockholm, Sweden; [Aronsson, Fredrik; Ostberg, Per] Karolinska Univ Hosp, Speech &amp; Language Pathol Med Unit, Stockholm, Sweden; [Kuhlmann, Marco] Linkoping Univ, Dept Comp &amp; Informat Sci, Linkoping, Sweden; [Jelic, Vesna] Karolinska Inst, Div Clin Geriatr, Dept Neurobiol Care Sci &amp; Soc, Stockholm, Sweden; [Jelic, Vesna] Karolinska Univ Hosp, Theme Aging, Stockholm, Sweden</t>
  </si>
  <si>
    <t>Karolinska Institutet; Karolinska Institutet; Karolinska University Hospital; Linkoping University; Karolinska Institutet; Karolinska Institutet; Karolinska University Hospital</t>
  </si>
  <si>
    <t>Aronsson, FS (corresponding author), Karolinska Univ Hosp, Karolinska Inst, Dept Clin Sci Intervent &amp; Technol, Div Speech &amp; Language Pathol, F67, SE-14186 Stockholm, Sweden.</t>
  </si>
  <si>
    <t>fredrik.sand@ki.se</t>
  </si>
  <si>
    <t>Östberg, Per/GQZ-8379-2022</t>
  </si>
  <si>
    <t>Sand Aronsson, Fredrik/0000-0001-8452-0043; Kuhlmann, Marco/0000-0002-2492-9872</t>
  </si>
  <si>
    <t>Alzheimerfonden (The Swedish Alzheimer's Foundation); Karolinska Institutet</t>
  </si>
  <si>
    <t>Alzheimerfonden (The Swedish Alzheimer's Foundation); Karolinska Institutet(Karolinska Institutet)</t>
  </si>
  <si>
    <t>This research was supported by Alzheimerfonden (The Swedish Alzheimer's Foundation) and Karolinska Institutet.</t>
  </si>
  <si>
    <t>0268-7038</t>
  </si>
  <si>
    <t>1464-5041</t>
  </si>
  <si>
    <t>Aphasiology</t>
  </si>
  <si>
    <t>10.1080/02687038.2020.1742282</t>
  </si>
  <si>
    <t>Audiology &amp; Speech-Language Pathology; Linguistics; Clinical Neurology; Rehabilitation</t>
  </si>
  <si>
    <t>Audiology &amp; Speech-Language Pathology; Linguistics; Neurosciences &amp; Neurology; Rehabilitation</t>
  </si>
  <si>
    <t>TC0YH</t>
  </si>
  <si>
    <t>WOS:000526283200001</t>
  </si>
  <si>
    <t>Chang, Y</t>
  </si>
  <si>
    <t>Chang, Yonghwan</t>
  </si>
  <si>
    <t>Spectators' emotional responses in tweets during the Super Bowl 50 game</t>
  </si>
  <si>
    <t>SPORT MANAGEMENT REVIEW</t>
  </si>
  <si>
    <t>Emotions; Big data; Automated text analysis; Social media; Spectator sports</t>
  </si>
  <si>
    <t>OPPONENT-PROCESS THEORY; SOCIAL MEDIA; SENTIMENT ANALYSIS; MIXED EMOTIONS; SPORTING EVENT; TWITTER; CONSUMPTION; MOTIVATION; SENSE; DISCLOSURE</t>
  </si>
  <si>
    <t>The author explored spectators' emotional reactions manifested on social media. By using Twitter search application programming interface, 328,000 real-time tweets posted by fans of the Panthers and the Broncos during the Super Bowl 50 game were collected. The lexicon-based text mining approach (a big data analysis in social media analytics) was employed to classify tweets into five different emotions. The findings indicated that spectators expressed positive emotions when their team scored; conversely, they expressed negative emotions when the opposite team scored. Interestingly, spectators became habituated with each subsequent score from either of their preferred teams, which resulted in fewer expressions of emotions. However, when a team scored soon after the opposite team scored, fans expressed a surge of positive or negative emotions, accordingly. The results supported both the theories of affective disposition and opponent-process. Spectators' simultaneous experience of positive and negative emotions may contribute to fans' satisfaction, continued patronage, and mental health. (C) 2018 Sport Management Association of Australia and New Zealand. Published by Elsevier Ltd. All rights reserved.</t>
  </si>
  <si>
    <t>[Chang, Yonghwan] Univ Minnesota, Sch Kinesiol, 223A Cooke Hall,1900 Univ Ave SE, Minneapolis, MN 55455 USA</t>
  </si>
  <si>
    <t>University of Minnesota System; University of Minnesota Twin Cities</t>
  </si>
  <si>
    <t>Chang, Y (corresponding author), Univ Minnesota, Sch Kinesiol, 223A Cooke Hall,1900 Univ Ave SE, Minneapolis, MN 55455 USA.</t>
  </si>
  <si>
    <t>Chang, Yonghwan/AAC-6379-2021; chang, yonghwan/AAI-7689-2021</t>
  </si>
  <si>
    <t>chang, yonghwan/0000-0003-1057-0448</t>
  </si>
  <si>
    <t>1441-3523</t>
  </si>
  <si>
    <t>SPORT MANAG REV</t>
  </si>
  <si>
    <t>Sport Manag. Rev.</t>
  </si>
  <si>
    <t>10.1016/j.smr.2018.04.008</t>
  </si>
  <si>
    <t>Hospitality, Leisure, Sport &amp; Tourism; Management</t>
  </si>
  <si>
    <t>Social Sciences - Other Topics; Business &amp; Economics</t>
  </si>
  <si>
    <t>IC4PU</t>
  </si>
  <si>
    <t>WOS:000470948600004</t>
  </si>
  <si>
    <t>Delle Monache, S; Misdariis, N; Ozcan, E</t>
  </si>
  <si>
    <t>Delle Monache, Stefano; Misdariis, Nicolas; Ozcan, Elif</t>
  </si>
  <si>
    <t>Semantic models of sound-driven design: Designing with listening in mind</t>
  </si>
  <si>
    <t>DESIGN STUDIES</t>
  </si>
  <si>
    <t>design research; design knowledge; interdisciplinarity; sound-driven design</t>
  </si>
  <si>
    <t>NVIVO</t>
  </si>
  <si>
    <t>Sound-driven design is a design practice informed by technology and listening in the multisensory dimension of interaction. An automated content analysis of 20 semi-structured interviews with sound designers, design researchers, engineers and expert users stressed the inherently embodied and situated conceptualisation of sound, and how it relates to their professional activity. The four categories of professionals bring in different designerly orientations towards sound. Listening, as a way of knowing by using sound in interaction, proves to be the red thread between the participants' semantic models. Overall, the findings contribute to characterise the concept of sound in current design practices, and position the role of nonverbal, yet auditory representations in the design process.(c) 2022 The Author(s). Published by Elsevier Ltd. This is an open access article under the CC BY license (http://creativecommons.org/licenses/by/4.0/).</t>
  </si>
  <si>
    <t>[Delle Monache, Stefano; Ozcan, Elif] Delft Univ Technol, Fac Ind Design Engn, Crit Alarms Lab, Delft, Netherlands; [Delle Monache, Stefano; Ozcan, Elif] Erasmus MC, Dept Adult Intens Care, Rotterdam, Netherlands; [Misdariis, Nicolas] STMS Ircam Cnrs SU SPD Grp, Inst Res &amp; Coordinat Acoust Mus, Paris, France</t>
  </si>
  <si>
    <t>Delft University of Technology; Erasmus University Rotterdam; Erasmus MC</t>
  </si>
  <si>
    <t>Delle Monache, S (corresponding author), Delft Univ Technol, Fac Ind Design Engn, Crit Alarms Lab, Delft, Netherlands.;Delle Monache, S (corresponding author), Erasmus MC, Dept Adult Intens Care, Rotterdam, Netherlands.</t>
  </si>
  <si>
    <t>s.dellemonache@tudelft.nl</t>
  </si>
  <si>
    <t>European Union;  [893622]</t>
  </si>
  <si>
    <t xml:space="preserve">European Union(European Commission); </t>
  </si>
  <si>
    <t>The work described in this paper is part of the project Participatory Designing with Sound (PaDS, 2020-2022) , which received funding from the European Union's Horizon 2020 research and innovation programme under the Marie Sk1odowska-Curie grant agreement No. 893622.</t>
  </si>
  <si>
    <t>0142-694X</t>
  </si>
  <si>
    <t>1872-6909</t>
  </si>
  <si>
    <t>DESIGN STUD</t>
  </si>
  <si>
    <t>Design Stud.</t>
  </si>
  <si>
    <t>10.1016/j.destud.2022.101134</t>
  </si>
  <si>
    <t>Engineering, Multidisciplinary; Engineering, Manufacturing</t>
  </si>
  <si>
    <t>5D5VP</t>
  </si>
  <si>
    <t>WOS:000865009300001</t>
  </si>
  <si>
    <t>Chang, C; Masterson, M</t>
  </si>
  <si>
    <t>Chang, Charles; Masterson, Michael</t>
  </si>
  <si>
    <t>Using Word Order in Political Text Classification with Long Short-term Memory Models</t>
  </si>
  <si>
    <t>statistical analysis of texts; machine learning; computational methods; Automated content analysis</t>
  </si>
  <si>
    <t>NEURAL-NETWORK; CONFLICT; SMOTE; LSTM</t>
  </si>
  <si>
    <t>Political scientists often wish to classify documents based on their content to measure variables, such as the ideology of political speeches or whether documents describe a Militarized Interstate Dispute. Simple classifiers often serve well in these tasks. However, if words occurring early in a document alter the meaning of words occurring later in the document, using a more complicated model that can incorporate these time-dependent relationships can increase classification accuracy. Long short-term memory (LSTM) models are a type of neural network model designed to work with data that contains time dependencies. We investigate the conditions under which these models are useful for political science text classification tasks with applications to Chinese social media posts as well as US newspaper articles. We also provide guidance for the use of LSTM models.</t>
  </si>
  <si>
    <t>[Chang, Charles] Yale Univ, Council East Asian Studies, New Haven, CT 06511 USA; [Chang, Charles] Purdue Univ, Ctr Relig &amp; Chinese Soc, W Lafayette, IN 47907 USA; [Masterson, Michael] Univ Wisconsin, Polit Sci, Madison, WI 53706 USA</t>
  </si>
  <si>
    <t>Yale University; Purdue University System; Purdue University; Purdue University West Lafayette Campus; University of Wisconsin System; University of Wisconsin Madison</t>
  </si>
  <si>
    <t>Chang, C (corresponding author), Yale Univ, Council East Asian Studies, New Haven, CT 06511 USA.;Chang, C (corresponding author), Purdue Univ, Ctr Relig &amp; Chinese Soc, W Lafayette, IN 47907 USA.</t>
  </si>
  <si>
    <t>charles.chang@yale.edu; masterson2@wisc.edu</t>
  </si>
  <si>
    <t>Masterson, Michael/0000-0001-7546-9039; Chang, Charles/0000-0002-6518-9014</t>
  </si>
  <si>
    <t>PII S1047198719000469</t>
  </si>
  <si>
    <t>10.1017/pan.2019.46</t>
  </si>
  <si>
    <t>LT6JZ</t>
  </si>
  <si>
    <t>WOS:000537176300006</t>
  </si>
  <si>
    <t>Liu, JW; Wang, ZZ; Yan, G; Lian, H</t>
  </si>
  <si>
    <t>Liu, Jiawei; Wang, Zhenzhen; Yan, Ge; Lian, Hao</t>
  </si>
  <si>
    <t>Quality Measurement of Judgment Documents</t>
  </si>
  <si>
    <t>2019 COMPANION OF THE 19TH IEEE INTERNATIONAL CONFERENCE ON SOFTWARE QUALITY, RELIABILITY AND SECURITY (QRS-C 2019)</t>
  </si>
  <si>
    <t>19th IEEE International Conference on Software Quality, Reliability and Security (QRS)</t>
  </si>
  <si>
    <t>JUL 22-26, 2019</t>
  </si>
  <si>
    <t>Sofia, BULGARIA</t>
  </si>
  <si>
    <t>IEEE,IEEE Comp Soc,IEEE Reliabil Soc</t>
  </si>
  <si>
    <t>Judicial documents; Data quality; Unstructured; Data; Natural Language Understanding</t>
  </si>
  <si>
    <t>This paper defines the dimensions and indicators of the quality metrics of unstructured text data and explores its relevance in adjudication documents. The unstructured texts involved in the article refer to all unstructured data in the form of text as data. On this basis, the quality metrics are summarized and explained, and how to measure each specific dimension. Analyze and use the realistic scene of the refereeing document as a carrier to explore its specific application and implementation.</t>
  </si>
  <si>
    <t>[Liu, Jiawei; Wang, Zhenzhen] Jinling Inst Technol, Sch Software, Nanjing, Peoples R China; [Liu, Jiawei; Yan, Ge; Lian, Hao] Nanjing Univ, State Key Lab Novel Software Technol, Nanjing, Peoples R China; [Wang, Zhenzhen] Software Testing Engn Lab Jiangsu Prov, Nanjing, Peoples R China</t>
  </si>
  <si>
    <t>Jinling Institute of Technology; Nanjing University</t>
  </si>
  <si>
    <t>Wang, ZZ (corresponding author), Jinling Inst Technol, Sch Software, Nanjing, Peoples R China.;Wang, ZZ (corresponding author), Software Testing Engn Lab Jiangsu Prov, Nanjing, Peoples R China.</t>
  </si>
  <si>
    <t>wangzhenzhen@jit.edu.cn</t>
  </si>
  <si>
    <t>National Key Research and Development Program of China [2016YFC0800805]; National Natural Science Foundation of China [61772014]</t>
  </si>
  <si>
    <t>National Key Research and Development Program of China; National Natural Science Foundation of China(National Natural Science Foundation of China (NSFC))</t>
  </si>
  <si>
    <t>The work is supported in part by the National Key Research and Development Program of China (2016YFC0800805) and the National Natural Science Foundation of China (61772014).</t>
  </si>
  <si>
    <t>978-1-7281-3925-8</t>
  </si>
  <si>
    <t>10.1109/QRS-C.2019.00063</t>
  </si>
  <si>
    <t>Computer Science, Software Engineering; Computer Science, Theory &amp; Methods</t>
  </si>
  <si>
    <t>BQ3OW</t>
  </si>
  <si>
    <t>WOS:000587590500049</t>
  </si>
  <si>
    <t>Windsor, LC; Cupit, JG; Windsor, AJ</t>
  </si>
  <si>
    <t>Windsor, Leah Cathryn; Cupit, James Grayson; Windsor, Alistair James</t>
  </si>
  <si>
    <t>Automated content analysis across six languages</t>
  </si>
  <si>
    <t>PLOS ONE</t>
  </si>
  <si>
    <t>SENTIMENT ANALYSIS; GOOGLE TRANSLATE; WORDS; NEWS; TOOL</t>
  </si>
  <si>
    <t>Corpus selection bias in international relations research presents an epistemological problem: How do we know what we know? Most social science research in the field of text analytics relies on English language corpora, biasing our ability to understand international phenomena. To address the issue of corpus selection bias, we introduce results that suggest that machine translation may be used to address non-English sources. We use human translation and machine translation (Google Translate) on a collection of aligned sentences from United Nations documents extracted from the Multi-UN corpus, analyzed with a bag of words analysis tool, Linguistic Inquiry Word Count (LIWC). Overall, the LIWC indices proved relatively stable across machine and human translated sentences. We find that while there are statistically significant differences between the original and translated documents, the effect sizes are relatively small, especially when looking at psychological processes.</t>
  </si>
  <si>
    <t>[Windsor, Leah Cathryn; Cupit, James Grayson] Univ Memphis, Inst Intelligent Syst, Memphis, TN 38152 USA; [Windsor, Alistair James] Univ Memphis, Dept Math Sci, Memphis, TN USA</t>
  </si>
  <si>
    <t>University of Memphis; University of Memphis</t>
  </si>
  <si>
    <t>Windsor, LC (corresponding author), Univ Memphis, Inst Intelligent Syst, Memphis, TN 38152 USA.</t>
  </si>
  <si>
    <t>Department of Defense Minerva Initiative [FA9550-14-1-0308]</t>
  </si>
  <si>
    <t>Department of Defense Minerva Initiative</t>
  </si>
  <si>
    <t>Funded by LW. FA9550-14-1-0308. Department of Defense Minerva Initiative. https://minerva.defense.gov.The funders had no role in study design, data collection and analysis, decision to publish, or preparation of the manuscript.</t>
  </si>
  <si>
    <t>PUBLIC LIBRARY SCIENCE</t>
  </si>
  <si>
    <t>1160 BATTERY STREET, STE 100, SAN FRANCISCO, CA 94111 USA</t>
  </si>
  <si>
    <t>1932-6203</t>
  </si>
  <si>
    <t>PLoS One</t>
  </si>
  <si>
    <t>NOV 20</t>
  </si>
  <si>
    <t>e0224425</t>
  </si>
  <si>
    <t>10.1371/journal.pone.0224425</t>
  </si>
  <si>
    <t>LO8NF</t>
  </si>
  <si>
    <t>WOS:000533881900010</t>
  </si>
  <si>
    <t>Schonhardt-Bailey, C</t>
  </si>
  <si>
    <t>Schonhardt-Bailey, Cheryl</t>
  </si>
  <si>
    <t>The congressional debate on Partial-Birth Abortion: Constitutional gravitas and moral passion</t>
  </si>
  <si>
    <t>Conference on Comparative Analysis of Legislative Behavior</t>
  </si>
  <si>
    <t>Univ Calif San Diego, San Diego, CA</t>
  </si>
  <si>
    <t>Univ Calif San Diego</t>
  </si>
  <si>
    <t>PREFERENCE FORMATION; DISCOURSE ANALYSIS; POLICY POSITIONS; DECISION-MAKING; POLITICAL TEXTS; SUPREME-COURT; DIMENSIONALITY; COMPETITION; EVOLUTION; ISSUE</t>
  </si>
  <si>
    <t>Automated content analysis is employed to measure the dimensionality of Senate debates on the 2003 Partial-Birth Abortion Ban Act and compare these results with the final vote. The underlying verbal conflict leading up to the final roll-call vote contains two important dimensions: (1) an emotive battle over the abortion procedure itself, and (2) the battle over the constitutionality of the bill. Surprisingly, senators appear not to have voted along the first dimension of the verbal conflict, but rather along the second dimension. The analysis of the deliberations of senators not only enables us to understand the complexity of the arguments that is not captured in the vote, but it also uncovers (and measures empirically) the strategies employed by legislators to shape the relevant lines of conflict, and ultimately, the final content of the bill.</t>
  </si>
  <si>
    <t>Univ London London Sch Econ &amp; Polit Sci, Dept Govt, London WC2A 2AE, England</t>
  </si>
  <si>
    <t>University of London; London School Economics &amp; Political Science</t>
  </si>
  <si>
    <t>Schonhardt-Bailey, C (corresponding author), Univ London London Sch Econ &amp; Polit Sci, Dept Govt, London WC2A 2AE, England.</t>
  </si>
  <si>
    <t>10.1017/S0007123408000203</t>
  </si>
  <si>
    <t>317WB</t>
  </si>
  <si>
    <t>WOS:000257049900001</t>
  </si>
  <si>
    <t>Aradhye, HB; Myers, GK</t>
  </si>
  <si>
    <t>Werner, B</t>
  </si>
  <si>
    <t>Aradhye, Hrishikesh B.; Myers, Gregory K.</t>
  </si>
  <si>
    <t>Exploiting videotext Events for improved videotext detection</t>
  </si>
  <si>
    <t>ICDAR 2007: NINTH INTERNATIONAL CONFERENCE ON DOCUMENT ANALYSIS AND RECOGNITION, VOLS I AND II, PROCEEDINGS</t>
  </si>
  <si>
    <t>Proceedings of the International Conference on Document Analysis and Recognition</t>
  </si>
  <si>
    <t>9th International Conference on Document Analysis and Recognition</t>
  </si>
  <si>
    <t>SEP 23-26, 2007</t>
  </si>
  <si>
    <t>Curitiba, BRAZIL</t>
  </si>
  <si>
    <t>Int Assoc Pattern Recognit TC 10,Int Assoc Pattern Recognit TC 11</t>
  </si>
  <si>
    <t>Text in video, whether overlaid or in-scene, contains a wealth of information vital to automated content analysis systems. However, low resolution of the imagery, coupled with richness of the background and compression artifacts limit the detection accuracy that can be achieved in practice using existing text detection algorithms. This paper presents a novel, noncausal temporal aggregation method that acts as a second pass over the output of an existing text detector over the entire video clip. A multiresolution change detection algorithm is used along the time axis to detect the appearance and disappearance of multiple, concurrent lines of text followed by recursive time-averaged projections on Y and X axes. This algorithm detects and rectifies instances of missed text and enhances spatial boundaries of detected text lines using consensus estimates. Experimental results, which demonstrate significant performance gain on publicly collected and annotated data, are presented.</t>
  </si>
  <si>
    <t>[Aradhye, Hrishikesh B.; Myers, Gregory K.] SRI Int, Menlo Pk, CA 94025 USA</t>
  </si>
  <si>
    <t>SRI International</t>
  </si>
  <si>
    <t>Aradhye, HB (corresponding author), SRI Int, 333 Ravenswood Ave, Menlo Pk, CA 94025 USA.</t>
  </si>
  <si>
    <t>Hrishikesh.aradhye@sri.com</t>
  </si>
  <si>
    <t>1520-5363</t>
  </si>
  <si>
    <t>978-0-7695-2822-9</t>
  </si>
  <si>
    <t>PROC INT CONF DOC</t>
  </si>
  <si>
    <t>Computer Science, Artificial Intelligence; Imaging Science &amp; Photographic Technology</t>
  </si>
  <si>
    <t>Computer Science; Imaging Science &amp; Photographic Technology</t>
  </si>
  <si>
    <t>BHC21</t>
  </si>
  <si>
    <t>WOS:000252162600179</t>
  </si>
  <si>
    <t>Alamer, SM; Phillipson, SN</t>
  </si>
  <si>
    <t>Alamer, Saad M.; Phillipson, Shane N.</t>
  </si>
  <si>
    <t>Current status and future prospects of Saudi gifted education: A macro-systemic perspective</t>
  </si>
  <si>
    <t>HIGH ABILITY STUDIES</t>
  </si>
  <si>
    <t>Evaluation; gifted education; macro-systemic; Saudi Arabia</t>
  </si>
  <si>
    <t>Gifted education in the Kingdom of Saudi Arabia has developed significantly since its tentative beginnings in 1969. Increasingly, however, there are concerns that gifted education is not meeting its objectives. Based on the Ziegler-Balestrini-Stoegerian framework, we evaluate Saudi gifted education from a macro-systemic perspective, including the identification of the ten important exogenous and endogenous capitals and the six principles (law of the minimum, continuity, developmental level, support systems, control system and external management). Using information obtained from 25 source documents, we conduct an automated content analysis using Leximancer to find information related to each of the ten capitals and six principles. Our finding that the absence of a clearly articulated set of objectives and expected outcomes impact the system on many levels, and that, at best, Saudi gifted education is best described as a proto-system.</t>
  </si>
  <si>
    <t>[Alamer, Saad M.] King Saud Univ, Special Educ Dept, Fac Educ, Riyadh, Saudi Arabia; [Phillipson, Shane N.] Monash Univ, Fac Educ, Clayton, Vic, Australia</t>
  </si>
  <si>
    <t>King Saud University; Monash University</t>
  </si>
  <si>
    <t>Alamer, SM (corresponding author), King Saud Univ, Special Educ Dept, Fac Educ, Riyadh, Saudi Arabia.</t>
  </si>
  <si>
    <t>alamer@ksu.edu.sa</t>
  </si>
  <si>
    <t>1359-8139</t>
  </si>
  <si>
    <t>1469-834X</t>
  </si>
  <si>
    <t>HIGH ABIL STUD</t>
  </si>
  <si>
    <t>High Abil. Stud.</t>
  </si>
  <si>
    <t>10.1080/13598139.2020.1840966</t>
  </si>
  <si>
    <t>Education, Special; Psychology, Educational</t>
  </si>
  <si>
    <t>1N1AZ</t>
  </si>
  <si>
    <t>WOS:000600464900001</t>
  </si>
  <si>
    <t>Bullen, T; Katchabaw, M; Dyer-Witheford, N</t>
  </si>
  <si>
    <t>McDowell, P</t>
  </si>
  <si>
    <t>Bullen, T.; Katchabaw, M.; Dyer-Witheford, N.</t>
  </si>
  <si>
    <t>Instrumentation of video game software to support automated content analyses</t>
  </si>
  <si>
    <t>GAMEON-NA 2006: 2nd International North-American Conference on Intelligent Games and Simulation</t>
  </si>
  <si>
    <t>2nd International North-American Conference on Intelligent Games and Simulation</t>
  </si>
  <si>
    <t>SEP 19-20, 2006</t>
  </si>
  <si>
    <t>Naval Postgrad Sch, Monterey, CA</t>
  </si>
  <si>
    <t>ETI,EUROSIS,Ghent Univ,UBISOFT,Larian Studios,GAME PIPE,GRAM</t>
  </si>
  <si>
    <t>Naval Postgrad Sch</t>
  </si>
  <si>
    <t>content analysis; automated content analysis; software instrumentation; Unreal Engine</t>
  </si>
  <si>
    <t>Content analysis of video games is an important process that supports many business, policy, social, and scholarly activities related to the games industry. Unfortunately, collecting the large quantity of data and statistics required for content analyses tends to be an incredibly arduous task. Supports are clearly necessary to facilitate content analysis procedures for video games. This paper introduces an approach to automating content analyses for video games through the use of software instrumentation. By properly instrumenting video game software, content analysis procedures can be either partially or fully automated, depending on the game in question. This paper discusses our overall approach to instrumentation and automation, as well as our experiences to date in instrumenting Epic's Unreal Engine, providing sample results from early experiments conducted to date. Results have been quite positive, demonstrating great promise for continued work in this area.</t>
  </si>
  <si>
    <t>Univ Western Ontario, Dept Comp Sci, London, ON N6A 5B7, Canada; Univ Western Ontario, Fac Informat &amp; Media Studies, London, ON N6A 5B7, Canada</t>
  </si>
  <si>
    <t>Western University (University of Western Ontario); Western University (University of Western Ontario)</t>
  </si>
  <si>
    <t>Bullen, T (corresponding author), Univ Western Ontario, Dept Comp Sci, London, ON N6A 5B7, Canada.</t>
  </si>
  <si>
    <t>EUROSIS</t>
  </si>
  <si>
    <t>GHENT</t>
  </si>
  <si>
    <t>GHENT UNIV, COUPURE LINKS 653, GHENT, B-9000, BELGIUM</t>
  </si>
  <si>
    <t>978-90-77381-29-8</t>
  </si>
  <si>
    <t>BFY97</t>
  </si>
  <si>
    <t>WOS:000245508500006</t>
  </si>
  <si>
    <t>Dumitru, CO; Schwarz, G; Datcu, M</t>
  </si>
  <si>
    <t>Dumitru, Corneliu Octavian; Schwarz, Gottfried; Datcu, Mihai</t>
  </si>
  <si>
    <t>EVALUATION OF RETRIEVED CATEGORIES FROM A TERRASAR-X BENCHMARKING DATA SET</t>
  </si>
  <si>
    <t>IGARSS 2018 - 2018 IEEE INTERNATIONAL GEOSCIENCE AND REMOTE SENSING SYMPOSIUM</t>
  </si>
  <si>
    <t>38th IEEE International Geoscience and Remote Sensing Symposium (IGARSS)</t>
  </si>
  <si>
    <t>JUL 22-27, 2018</t>
  </si>
  <si>
    <t>Valencia, SPAIN</t>
  </si>
  <si>
    <t>Inst Elect &amp; Elect Engineers,Inst Elect &amp; Elect Engineers Geoscience &amp; Remote Sensing Soc,European Space Agcy</t>
  </si>
  <si>
    <t>cascaded learning; satellite image classification; semantic annotation; TerraSAR-X</t>
  </si>
  <si>
    <t>Advanced interpretation of satellite images calls for automated content analysis as well as interactive content search. A typical example of such systems is EOLib, an ESA funded project that already demonstrated the application potential of TerraSAR-X data within a satellite payload ground segment. In this paper, we analyze the validation results of image content classification using a large set of selected TerraSAR-X images. The classification was done with a cascaded learning method. The main advantage of this method is a coarse-to-fine approach for semantically annotating pixel patches with decreasing size. Once a reliable label is found for a given pixel patch, no further subdivision into still smaller patch sizes is necessary. This leads to a considerable reduction of the computational effort during classification of large-size satellite images.</t>
  </si>
  <si>
    <t>[Dumitru, Corneliu Octavian; Schwarz, Gottfried; Datcu, Mihai] German Aerosp Ctr DLR, Remote Sensing Technol Inst IMF, Munchener Str 20, D-82234 Wessling, Germany</t>
  </si>
  <si>
    <t>Dumitru, CO (corresponding author), German Aerosp Ctr DLR, Remote Sensing Technol Inst IMF, Munchener Str 20, D-82234 Wessling, Germany.</t>
  </si>
  <si>
    <t>H2020 ECOPOTENTIAL project</t>
  </si>
  <si>
    <t>This work was supported by the H2020 ECOPOTENTIAL project. We thank all EOLib team members for their involvement and support as well as the TerraSAR-X Science Service System for providing access to the image data.</t>
  </si>
  <si>
    <t>978-1-5386-7150-4</t>
  </si>
  <si>
    <t>BL4XL</t>
  </si>
  <si>
    <t>WOS:000451039802133</t>
  </si>
  <si>
    <t>Denkovski, O; Trilling, D</t>
  </si>
  <si>
    <t>Denkovski, Ognjan; Trilling, Damian</t>
  </si>
  <si>
    <t>Whose Fingerprint Does the News Show? Developing Machine Learning Classifiers for Automatically Identifying Russian State-Funded News in Serbia</t>
  </si>
  <si>
    <t>disinformation; computational text analysis; text classification; automated frame identification; fragmented audience; Western Balkans</t>
  </si>
  <si>
    <t>COMMUNICATION; DISINFORMATION; JOURNALISM; FRAMES; MEDIA</t>
  </si>
  <si>
    <t>Democratic nations around the globe are facing increasing levels of false and misleading information circulating on social media and news websites, propagating alternative sociopolitical realities. One of the most innovative actors in this process has been the Russian state, whose disinformation campaigns have influenced elections and shaped political discourse globally. A key element of these campaigns is the content produced by state-funded outlets like RT and Sputnik, whose articles are republished by underfunded or sympathetic local media, as well as coordinated groups that attempt to shape mainstream political narratives. Using a tailored text-as-data approach, we examine the thematic and linguistic differences in articles produced by U.S. and Russian state-funded and mainstream outlets in Serbia. We use 11 features (frames and in-text characteristics) to construct an article country-source classifier with a high degree of accuracy. The article contributes toward an understanding of the structural characteristics of Russian state-funded news in the Western Balkans, enhances the application of computational text analysis in Serbian, and provides suggestions for the application of text-as-data methods to the study of online disinformation.</t>
  </si>
  <si>
    <t>[Denkovski, Ognjan; Trilling, Damian] Univ Amsterdam, Amsterdam, Netherlands</t>
  </si>
  <si>
    <t>Denkovski, O (corresponding author), Univ Amsterdam, Amsterdam, Netherlands.</t>
  </si>
  <si>
    <t>o.denkovski@uva.nl; d.c.trilling@uva.nl</t>
  </si>
  <si>
    <t>University of Amsterdam Digital Communication Methods Lab</t>
  </si>
  <si>
    <t>We thank the University of Amsterdam Digital Communication Methods Lab for funding this research.</t>
  </si>
  <si>
    <t>WOS:000616658300127</t>
  </si>
  <si>
    <t>Hopkins, DJ; King, G</t>
  </si>
  <si>
    <t>Hopkins, Daniel J.; King, Gary</t>
  </si>
  <si>
    <t>A Method of Automated Nonparametric Content Analysis for Social Science</t>
  </si>
  <si>
    <t>The increasing availability of digitized text presents enormous opportunities for social scientists. Yet hand coding many blogs, speeches, government records, newspapers, or other sources of unstructured text is infeasible. Although computer scientists have methods for automated content analysis, most are optimized to classify individual documents, whereas social scientists instead want generalizations about the population of documents, such as the proportion in a given category. Unfortunately, even a method with a high percent of individual documents correctly classified can be hugely biased when estimating category proportions. By directly optimizing for this social science goal, we develop a method that gives approximately unbiased estimates of category proportions even when the optimal classifier performs poorly. We illustrate with diverse data sets, including the daily expressed opinions of thousands of people about the U.S. presidency. We also make available software that implements our methods and large corpora of text for further analysis.</t>
  </si>
  <si>
    <t>[Hopkins, Daniel J.] Georgetown Univ, Intercultural Ctr 681, Washington, DC 20057 USA; [King, Gary] Harvard Univ, Inst Quantitat Social Sci, Cambridge, MA 02138 USA</t>
  </si>
  <si>
    <t>Georgetown University; Harvard University</t>
  </si>
  <si>
    <t>Hopkins, DJ (corresponding author), Georgetown Univ, Intercultural Ctr 681, Washington, DC 20057 USA.</t>
  </si>
  <si>
    <t>dhopkins@iq.harvard.edu; king@harvard.edu</t>
  </si>
  <si>
    <t>10.1111/j.1540-5907.2009.00428.x</t>
  </si>
  <si>
    <t>538CM</t>
  </si>
  <si>
    <t>WOS:000273161800015</t>
  </si>
  <si>
    <t>Ruigrok, N; van Atteveldt, W</t>
  </si>
  <si>
    <t>Ruigrok, Nel; van Atteveldt, Wouter</t>
  </si>
  <si>
    <t>Global angling with a local angle: How US, British, and Dutch newspapers frame global and local terrorist attacks</t>
  </si>
  <si>
    <t>HARVARD INTERNATIONAL JOURNAL OF PRESS-POLITICS</t>
  </si>
  <si>
    <t>terrorism; automated content analysis; framing; glocalization; localization; globalization; computer text analysis</t>
  </si>
  <si>
    <t>INTERNATIONAL NEWS; COVERAGE; MEDIA; CHOICE; PRESS; WAR</t>
  </si>
  <si>
    <t>The 9/11 terrorist attacks and later attacks such as those in London and Madrid shocked the world and found their way into the newspapers of many countries. The authors study the international coverage of these events in the context of globalization versus localization and the creation of the dominant post-cold war frame of the War on Terror. Using automatic co-occurrence analysis based on the notion of associative framing, they investigate whether these events were mainly framed in a local or global way in the American, British, and Dutch press. The authors found that although proximity is still a strong determinant of attention for events, the framing of these events was more affected by the global event of 9/11 than by local considerations.</t>
  </si>
  <si>
    <t>Univ Amsterdam, Dept Commun Sci, NL-1012 CX Amsterdam, Netherlands; Free Univ Amsterdam, Fac Sci, Dept Artificial Intelligence, NL-1081 HV Amsterdam, Netherlands</t>
  </si>
  <si>
    <t>University of Amsterdam; Vrije Universiteit Amsterdam</t>
  </si>
  <si>
    <t>Ruigrok, N (corresponding author), Univ Amsterdam, Dept Commun Sci, Kloveniersburgwal 48, NL-1012 CX Amsterdam, Netherlands.</t>
  </si>
  <si>
    <t>p.c.ruigrok@uva.nl; wouter@2at.nl</t>
  </si>
  <si>
    <t>van Atteveldt, Wouter/L-8685-2013</t>
  </si>
  <si>
    <t>van Atteveldt, Wouter/0000-0003-1237-538X</t>
  </si>
  <si>
    <t>1081-180X</t>
  </si>
  <si>
    <t>HARV INT J PRESS-POL</t>
  </si>
  <si>
    <t>Harv. Int. J. Press-Polit.</t>
  </si>
  <si>
    <t>10.1177/1081180X06297436</t>
  </si>
  <si>
    <t>138FU</t>
  </si>
  <si>
    <t>WOS:000244349300004</t>
  </si>
  <si>
    <t>de Melo, JIB; Cordeiro, IL; Gomes, DMDA</t>
  </si>
  <si>
    <t>Batista de Melo Filho, Jose Iran; Cordeiro, Igor Lopes; de Oliveira Arruda Gomes, Danielle Miranda</t>
  </si>
  <si>
    <t>Hate speech in social media activism</t>
  </si>
  <si>
    <t>AUSTRAL COMUNICACION</t>
  </si>
  <si>
    <t>hate speech; social media; political activism; influence; behavior</t>
  </si>
  <si>
    <t>CUSTOMER ENGAGEMENT</t>
  </si>
  <si>
    <t>The goal of this study is to understand how hate speech emerges as part of political activism on social media. From a qualitative perspective, we developed a multi-method investigation. Our thematic content analysis delves into the motivations of activists and the consequences of social media conflicts, while our automated content analysis identifies the frequency of hate speech and the types of publications that lead to such reactions. Social media are democratic environments and fertile ground for ideological and political activism, which can sometimes spark violent, hate-filled debates that transform these environments into dangerous and toxic places. Among our main theoretical and practical results, we found that the self-construction of online havens or shelters contributes to the increase of social bubbles as well as the rise in hate speech and its consequences for the lives of individuals.</t>
  </si>
  <si>
    <t>[Batista de Melo Filho, Jose Iran; de Oliveira Arruda Gomes, Danielle Miranda] Univ Estadual Ceara, Programa Posgrad Adm, Fortaleza, Ceara, Brazil; [Cordeiro, Igor Lopes] Univ Estadual Ceara, Fortaleza, Ceara, Brazil</t>
  </si>
  <si>
    <t>Universidade Estadual do Ceara; Universidade Estadual do Ceara</t>
  </si>
  <si>
    <t>de Melo, JIB (corresponding author), Univ Estadual Ceara, Programa Posgrad Adm, Fortaleza, Ceara, Brazil.</t>
  </si>
  <si>
    <t>irandemelo.idm@gmail.com; igorcordeiro85@gmail.com; daniellearrudagomes@gmail.com</t>
  </si>
  <si>
    <t>UNIV AUSTRAL, FAC COMUNICACION</t>
  </si>
  <si>
    <t>BUENOS AIRES</t>
  </si>
  <si>
    <t>CERRITO 1250, CABA MARIANO ACOSTA S-N NATIONAL 8 PILAR, BUENOS AIRES, C1063ABB, ARGENTINA</t>
  </si>
  <si>
    <t>2313-9129</t>
  </si>
  <si>
    <t>2313-9137</t>
  </si>
  <si>
    <t>AUSTRAL COMUN</t>
  </si>
  <si>
    <t>Austral Comun.</t>
  </si>
  <si>
    <t>10.26422/aucom.2022.1101.dem</t>
  </si>
  <si>
    <t>2T9OU</t>
  </si>
  <si>
    <t>WOS:000822796300001</t>
  </si>
  <si>
    <t>McRoy, S; Rastegar-Mojarad, M; Wang, YS; Ruddy, KJ; Haddad, TC; Liu, HF</t>
  </si>
  <si>
    <t>McRoy, Susan; Rastegar-Mojarad, Majid; Wang, Yanshan; Ruddy, Kathryn J.; Haddad, Tufia C.; Liu, Hongfang</t>
  </si>
  <si>
    <t>Assessing Unmet Information Needs of Breast Cancer Survivors: Exploratory Study of Online Health Forums Using Text Classification and Retrieval</t>
  </si>
  <si>
    <t>JMIR CANCER</t>
  </si>
  <si>
    <t>online health forum; automated content analysis; text retrieval; text classification</t>
  </si>
  <si>
    <t>SUPPORTIVE CARE NEEDS; QUESTIONS</t>
  </si>
  <si>
    <t>Background: Patient education materials given to breast cancer survivors may not be a good fit for their information needs. Needs may change over time, be forgotten, or be misreported, for a variety of reasons. An automated content analysis of survivors' postings to online health forums can identify expressed information needs over a span of time and be repeated regularly at low cost. Identifying these unmet needs can guide improvements to existing education materials and the creation of new resources. Objective: The primary goals of this project are to assess the unmet information needs of breast cancer survivors from their own perspectives and to identify gaps between information needs and current education materials. Methods: This approach employs computational methods for content modeling and supervised text classification to data from online health forums to identify explicit and implicit requests for health-related information. Potential gaps between needs and education materials are identified using techniques from information retrieval. Results: We provide a new taxonomy for the classification of sentences in online health forum data. 260 postings from two online health forums were selected, yielding 4179 sentences for coding. After annotation of data and training alternative one-versus-others classifiers, a random forest-based approach achieved F1 scores from 66% (Other, dataset2) to 90% (Medical, datasetl) on the primary information types. 136 expressions of need were used to generate queries to indexed education materials. Upon examination of the best two pages retrieved for each query, 12% (17/136) of queries were found to have relevant content by all coders, and 33% (45/136) were judged to have relevant content by at least one. Conclusions: Text from online health forums can be analyzed effectively using automated methods. Our analysis confirms that breast cancer survivors have many information needs that are not covered by the written documents they typically receive, as our results suggest that at most a third of breast cancer survivors' questions would be addressed by the materials currently provided to them.</t>
  </si>
  <si>
    <t>[McRoy, Susan] Univ Wisconsin, Dept Elect Engn &amp; Comp Sci, Milwaukee, WI 53201 USA; [Rastegar-Mojarad, Majid; Wang, Yanshan; Ruddy, Kathryn J.; Haddad, Tufia C.; Liu, Hongfang] Mayo Clin, Rochester, MN USA</t>
  </si>
  <si>
    <t>University of Wisconsin System; University of Wisconsin Milwaukee; Mayo Clinic</t>
  </si>
  <si>
    <t>McRoy, S (corresponding author), Univ Wisconsin, Coll Engn &amp; Appl Sci, Dept Elect Engn &amp; Comp Sci, POB 784, Milwaukee, WI 53201 USA.</t>
  </si>
  <si>
    <t>mcroy@uwm.edu</t>
  </si>
  <si>
    <t>Mayo Clinic intramural funds; National Center for Advancing Translational Sciences, National Institutes of Health (NIH) [UL1TR001436, U01TR002062]; National Institute of General Medical Sciences (NIGMS) [R01GM102282]; National Institute of Biomedical Imaging and Bioengineering (NIBIB) [R01EB19403]; NATIONAL CENTER FOR ADVANCING TRANSLATIONAL SCIENCES [U01TR002062] Funding Source: NIH RePORTER; NATIONAL INSTITUTE OF BIOMEDICAL IMAGING AND BIOENGINEERING [R01EB019403] Funding Source: NIH RePORTER</t>
  </si>
  <si>
    <t>Mayo Clinic intramural funds; National Center for Advancing Translational Sciences, National Institutes of Health (NIH); National Institute of General Medical Sciences (NIGMS)(United States Department of Health &amp; Human ServicesNational Institutes of Health (NIH) - USANIH National Institute of General Medical Sciences (NIGMS)); National Institute of Biomedical Imaging and Bioengineering (NIBIB)(United States Department of Health &amp; Human ServicesNational Institutes of Health (NIH) - USANIH National Institute of Biomedical Imaging &amp; Bioengineering (NIBIB)); NATIONAL CENTER FOR ADVANCING TRANSLATIONAL SCIENCES(United States Department of Health &amp; Human ServicesNational Institutes of Health (NIH) - USANIH National Center for Advancing Translational Sciences (NCATS)); NATIONAL INSTITUTE OF BIOMEDICAL IMAGING AND BIOENGINEERING(United States Department of Health &amp; Human ServicesNational Institutes of Health (NIH) - USANIH National Institute of Biomedical Imaging &amp; Bioengineering (NIBIB))</t>
  </si>
  <si>
    <t>The authors thank their colleagues from Mayo Clinic Health Sciences Research, especially Donna Ihrke, Corina Moreno, and members of the Biomedical Informatics group for their advice and assistance in conducting the studies reported here. In addition, we acknowledge financial support from Mayo Clinic intramural funds and from the National Center for Advancing Translational Sciences, National Institutes of Health (NIH), Award Numbers UL1TR001436 and U01TR002062; the National Institute of General Medical Sciences (NIGMS) R01GM102282; and the National Institute of Biomedical Imaging and Bioengineering (NIBIB) R01EB19403. The content is solely the responsibility of the authors and does not necessarily represent the official views of the NIH.</t>
  </si>
  <si>
    <t>JMIR PUBLICATIONS, INC</t>
  </si>
  <si>
    <t>130 QUEENS QUAY E, STE 1102, TORONTO, ON M5A 0P6, CANADA</t>
  </si>
  <si>
    <t>2369-1999</t>
  </si>
  <si>
    <t>JMIR Cancer</t>
  </si>
  <si>
    <t>MAY 15</t>
  </si>
  <si>
    <t>e10</t>
  </si>
  <si>
    <t>10.2196/cancer.9050</t>
  </si>
  <si>
    <t>Oncology</t>
  </si>
  <si>
    <t>HE5RX</t>
  </si>
  <si>
    <t>WOS:000453445600001</t>
  </si>
  <si>
    <t>Long, JCA; Eveland, WP</t>
  </si>
  <si>
    <t>Long, Jacob A.; Eveland, William P., Jr.</t>
  </si>
  <si>
    <t>Entertainment Use and Political Ideology: Linking Worldviews to Media Content</t>
  </si>
  <si>
    <t>morality; big data; computational social science; rap; hip-hop; LIWC; selective exposure</t>
  </si>
  <si>
    <t>MORAL FOUNDATIONS THEORY; COUNTRY-MUSIC; INDIVIDUAL-DIFFERENCES; RAP MUSIC; GRATIFICATIONS; EXPOSURE; LIBERALS; AUDIENCE; CULTURE; LYRICS</t>
  </si>
  <si>
    <t>This study integrates and builds upon research on moral psychology, entertainment media selection, and political communication that has established a link between political ideology and moral sentiments. An automated content analysis of the lyrics of 37,309 songs across 10 genres assessed the extent of appeals to five different moral domains defined by moral foundations theory. The results of the content analysis are integrated with nationally representative survey data (N = 1,000) by linking lyrical content with self-reported preference for and exposure to musical genres. We then correlate the content of preferred genres with self-reported moral sentiments and political ideology. We find the moral content of music lyrics in the genres used by respondents is associated with their moral preferences and political ideology.</t>
  </si>
  <si>
    <t>[Long, Jacob A.; Eveland, William P., Jr.] Ohio State Univ, Sch Commun, 3139 Derby Hall,154 N Oval Mall, Columbus, OH 43210 USA; [Eveland, William P., Jr.] Ohio State Univ, Dept Polit Sci, Columbus, OH 43210 USA</t>
  </si>
  <si>
    <t>University System of Ohio; Ohio State University; University System of Ohio; Ohio State University</t>
  </si>
  <si>
    <t>Eveland, WP (corresponding author), Ohio State Univ, Sch Commun, 3139 Derby Hall,154 N Oval Mall, Columbus, OH 43210 USA.</t>
  </si>
  <si>
    <t>eveland.6@osu.edu</t>
  </si>
  <si>
    <t>Long, Jacob A./AAB-9838-2019</t>
  </si>
  <si>
    <t>Long, Jacob A./0000-0002-1582-6214; Eveland, William/0000-0002-4761-1066</t>
  </si>
  <si>
    <t>10.1177/0093650218791011</t>
  </si>
  <si>
    <t>SA6JX</t>
  </si>
  <si>
    <t>WOS:000649409500001</t>
  </si>
  <si>
    <t>Weiss, T; Konig, M; Stecker, C; Muller, J; Blatte, A; Lewandowsky, M</t>
  </si>
  <si>
    <t>Weiss, Tobias; Koenig, Marina; Stecker, Christian; Mueller, Jochen; Blaette, Andreas; Lewandowsky, Marcel</t>
  </si>
  <si>
    <t>Since Cologne, and after Chemnitz-key events in German parliamentary discourse</t>
  </si>
  <si>
    <t>Key events; Framing; Political discourse; Parliament; Populism</t>
  </si>
  <si>
    <t>COMPETITION</t>
  </si>
  <si>
    <t>New Year's Eve 2015 in Cologne and unrests in Chemnitz in 2018 are key events in recent German history that are closely linked to conflicts in migration an immigration policy. We evaluate how these events were processed in the parliamentary discourse in German state legislatures. To this end, we bring together qualitative and quantitative approaches to text analysis and analyze a comprehensive corpus of plenary debates that took place since the events at 2015-16 New Year's Eve. Our quantitative text analysis shows that Koln and Chemnitz have long-lasting impact as points of reference in parliamentary discourse. With the help of a framing analysis we identify parties' interpretative patterns. We find that the New Year's Eve in Cologne has challenged, however, not fundamentally changed the partisan interpretative patterns. Chemnitz 2018, by contrast, reveals new partisan interpretations as well as an increasing polarization between the AfD and the established parties.</t>
  </si>
  <si>
    <t>[Weiss, Tobias; Koenig, Marina] Univ Mannheim, Mannheimer Zentrum Europa Sozialforsch MZES, Mannheim, Germany; [Stecker, Christian] Tech Univ Darmstadt, Inst Politikwissensch, Darmstadt, Germany; [Mueller, Jochen] Humboldt Univ, Inst Sozialwissensch, Berlin, Germany; [Blaette, Andreas] Univ Duisburg Essen, Inst Politikwissensch, Duisburg, Germany; [Lewandowsky, Marcel] Univ Florida, Ctr European Studies, Gainesville, FL USA</t>
  </si>
  <si>
    <t>University of Mannheim; Technical University of Darmstadt; Humboldt University of Berlin; University of Duisburg Essen; State University System of Florida; University of Florida</t>
  </si>
  <si>
    <t>Stecker, C (corresponding author), Tech Univ Darmstadt, Inst Politikwissensch, Darmstadt, Germany.</t>
  </si>
  <si>
    <t>tobias.weiss@mzes.uni-mannheim.de; marina.p.koenig@gmail.com; christian.stecker@tu-darmstadt.de; jochen.mueller@hu-berlin.de; andreas.blaette@uni-due.de; mlewandowsky@ufl.edu</t>
  </si>
  <si>
    <t>Lewandowsky, Marcel/AAM-8348-2020</t>
  </si>
  <si>
    <t>Lewandowsky, Marcel/0000-0002-0197-4531</t>
  </si>
  <si>
    <t>10.1007/s12286-021-00480-x</t>
  </si>
  <si>
    <t>RY2ES</t>
  </si>
  <si>
    <t>WOS:000646932000001</t>
  </si>
  <si>
    <t>Kucera, D; Mehl, MR</t>
  </si>
  <si>
    <t>Kucera, Dalibor; Mehl, Matthias R.</t>
  </si>
  <si>
    <t>Beyond English: Considering Language and Culture in Psychological Text Analysis</t>
  </si>
  <si>
    <t>natural language processing; cross-language; culture; closed-vocabulary approaches; LIWC</t>
  </si>
  <si>
    <t>NATURAL-LANGUAGE; PSYCHOTHERAPY-RESEARCH; LINGUISTIC INQUIRY; PERSONALITY; LIWC; DICTIONARY; TRANSLATION; SENTIMENT; REGISTER; SCIENCE</t>
  </si>
  <si>
    <t>The paper discusses the role of language and culture in the context of quantitative text analysis in psychological research. It reviews current automatic text analysis methods and approaches from the perspective of the unique challenges that can arise when going beyond the default English language. Special attention is paid to closed-vocabulary approaches and related methods (and Linguistic Inquiry and Word Count in particular), both from the perspective of cross-cultural research where the analytic process inherently consists of comparing phenomena across cultures and languages and the perspective of generalizability beyond the language and the cultural focus of the original investigation. We highlight the need for a more universal and flexible theoretical and methodological grounding of current research, which includes the linguistic, cultural, and situational specifics of communication, and we provide suggestions for procedures that can be implemented in future studies and facilitate psychological text analysis across languages and cultures.</t>
  </si>
  <si>
    <t>[Kucera, Dalibor] Univ South Bohemia Ceske Budejovice, Fac Educ, Dept Psychol, Ceske Budejovice, Czech Republic; [Mehl, Matthias R.] Univ Arizona, Dept Psychol, Coll Sci, Tucson, AZ 85721 USA</t>
  </si>
  <si>
    <t>University of South Bohemia Ceske Budejovice; University of Arizona</t>
  </si>
  <si>
    <t>Kucera, D (corresponding author), Univ South Bohemia Ceske Budejovice, Fac Educ, Dept Psychol, Ceske Budejovice, Czech Republic.</t>
  </si>
  <si>
    <t>dkucera@pf.jcu.cz</t>
  </si>
  <si>
    <t>Kučera, Dalibor/D-8393-2016</t>
  </si>
  <si>
    <t>Kučera, Dalibor/0000-0002-7023-8140</t>
  </si>
  <si>
    <t>Fulbright Scholarship Program; Fulbright-Masaryk Scholarship [2020-28-11]</t>
  </si>
  <si>
    <t>Fulbright Scholarship Program; Fulbright-Masaryk Scholarship</t>
  </si>
  <si>
    <t>Funding This study was supported by the Fulbright Scholarship Program, Fulbright-Masaryk Scholarship no. 2020-28-11.</t>
  </si>
  <si>
    <t>MAR 4</t>
  </si>
  <si>
    <t>10.3389/fpsyg.2022.819543</t>
  </si>
  <si>
    <t>ZY4VE</t>
  </si>
  <si>
    <t>WOS:000772585100001</t>
  </si>
  <si>
    <t>Schonhardt-Bailey, C; Dann, C; Chapman, J</t>
  </si>
  <si>
    <t>Schonhardt-Bailey, Cheryl; Dann, Christopher; Chapman, Jacob</t>
  </si>
  <si>
    <t>The accountability gap: Deliberation on monetary policy in Britain and America during the financial crisis</t>
  </si>
  <si>
    <t>EUROPEAN JOURNAL OF POLITICAL ECONOMY</t>
  </si>
  <si>
    <t>POLITICAL-PARTIES; CENTRAL BANK; UNITED-STATES; INDEPENDENCE; RECIPROCITY; STRATEGY</t>
  </si>
  <si>
    <t>We employ multiple methods to gauge empirically the quality of the deliberative process whereby central bankers are held to account for their policy decisions. We use quantitative text analysis on the monetary policy legislative oversight hearing transcripts in the UK and US during the financial crisis. We find that the UK performs significantly better than the US in holding the central bank head to account on monetary policy, namely by engaging in a reciprocal dialogue between the legislative committee and the central banker. We then manually code selected exchanges from these transcripts, according to four criteria of deliberation: partisanship, accountability, narrative and response quality. We find that British MPs invoke almost no partisan rhetoric and target their questions more to relevant aspects of monetary policy; by comparison, their American counterparts seek to appeal more to their constituents and tend to veer away from discussing the details of monetary policy.</t>
  </si>
  <si>
    <t>[Schonhardt-Bailey, Cheryl; Dann, Christopher; Chapman, Jacob] London Sch Econ &amp; Polit Sci, London, England</t>
  </si>
  <si>
    <t>Schonhardt-Bailey, C (corresponding author), London Sch Econ &amp; Polit Sci, London, England.</t>
  </si>
  <si>
    <t>c.m.schonhardt-bailey@lse.ac.uk</t>
  </si>
  <si>
    <t>0176-2680</t>
  </si>
  <si>
    <t>1873-5703</t>
  </si>
  <si>
    <t>EUR J POLIT ECON</t>
  </si>
  <si>
    <t>Eur. J. Polit. Econ.</t>
  </si>
  <si>
    <t>10.1016/j.ejpoleco.2022.102209</t>
  </si>
  <si>
    <t>Economics; Political Science</t>
  </si>
  <si>
    <t>5B1HI</t>
  </si>
  <si>
    <t>WOS:000863325900009</t>
  </si>
  <si>
    <t>Durian, D</t>
  </si>
  <si>
    <t>Corpus-based text analysis from a qualitative perspective: A closer look at NVivo</t>
  </si>
  <si>
    <t>STYLE</t>
  </si>
  <si>
    <t>NVivo is a powerful yet easy-to-use entry level qualitative text analysis software program released by Qualitative Solutions and research Pty, Ltd., an Australian software company. NVivo is the latest version of NUD-IST, a qualitative analysis program originally created in the early 1990s by QSR and used in fields such as sociology, sports psychology, and education. This review presents an overview of the program's capabilities, discusses its system requirements, and presents suggested applications for the use of the program in corpus-based text analysis, something which has been previously unexplored in the text analysis software review literature. Examples of the types of analyses NVivo can perform are discussed, and a brief overview of key features of the program is provided. Similarities and differences between NVivo and the popular quantitative text analysis programs TACT and Wordsmith Tools are also discussed, and the different analytical approaches facilitated through the use of these programs are explored.</t>
  </si>
  <si>
    <t>No Illinois Univ, De Kalb, IL 60115 USA</t>
  </si>
  <si>
    <t>Northern Illinois University</t>
  </si>
  <si>
    <t>Durian, D (corresponding author), No Illinois Univ, De Kalb, IL 60115 USA.</t>
  </si>
  <si>
    <t>ddurian@ncrel.org</t>
  </si>
  <si>
    <t>NORTHERN ILLINOIS UNIV</t>
  </si>
  <si>
    <t>DE KALB</t>
  </si>
  <si>
    <t>DEPT ENGLISH, DE KALB, IL 60115 USA</t>
  </si>
  <si>
    <t>0039-4238</t>
  </si>
  <si>
    <t>Style</t>
  </si>
  <si>
    <t>Literary Theory &amp; Criticism; Language &amp; Linguistics; Literature</t>
  </si>
  <si>
    <t>Literature; Linguistics</t>
  </si>
  <si>
    <t>645HZ</t>
  </si>
  <si>
    <t>WOS:000180971300009</t>
  </si>
  <si>
    <t>The effect of electoral autocracy in Egypt's failed transition: a party politics perspective</t>
  </si>
  <si>
    <t>ITALIAN POLITICAL SCIENCE REVIEW-RIVISTA ITALIANA DI SCIENZA POLITICA</t>
  </si>
  <si>
    <t>Authoritarian resilience; democratization; Egypt; LDA; political parties; transition</t>
  </si>
  <si>
    <t>DEMOCRATIZATION; MANIFESTOS; MODERATION; ELECTIONS; ISLAMISTS; TUNISIA; FORCES; MODEL; VOTE; TIME</t>
  </si>
  <si>
    <t>Although the failed democratic transition in Egypt following the Arab Spring is unanimously held as a poster child for the stubbornness of authoritarianism in the MENA region, its determinants remain disputed. Contributing to this debate, this article focuses on the noxious effects of past electoral authoritarianism on the transitional party system. More specifically, through quantitative text analysis, the article demonstrates that transitional parties' agency is largely the by-product of the way in which political competition was structured under the previous electoral autocracy. On the one hand, the uneven structure of opportunity upholding previous rule is central to the lack of pluralism. On the other hand, the previous regime's practice of playing opposition actors against each other through identity politics is at the root of the absence of common ground among the aforementioned parties during the transition.</t>
  </si>
  <si>
    <t>[Resta, Valeria] Sapienza Univ Rome, Dept Polit Sci, Rome, Italy</t>
  </si>
  <si>
    <t>Sapienza University Rome</t>
  </si>
  <si>
    <t>Resta, V (corresponding author), Sapienza Univ Rome, Dept Polit Sci, Rome, Italy.</t>
  </si>
  <si>
    <t>Resta, Valeria/0000-0002-0440-7946</t>
  </si>
  <si>
    <t>0048-8402</t>
  </si>
  <si>
    <t>2057-4908</t>
  </si>
  <si>
    <t>ITAL POLIT SCI REV</t>
  </si>
  <si>
    <t>Ital. Polit. Sci. Rev.</t>
  </si>
  <si>
    <t>10.1017/ipo.2019.6</t>
  </si>
  <si>
    <t>IH6HU</t>
  </si>
  <si>
    <t>WOS:000474596400004</t>
  </si>
  <si>
    <t>Intra-party politics in 140 characters</t>
  </si>
  <si>
    <t>estimating policy positions; intraparty politics; social media; Twitter; Wordfish</t>
  </si>
  <si>
    <t>TEXT ANALYSIS; PARTY; TWITTER; COMPETITION; MODEL</t>
  </si>
  <si>
    <t>Scholars have emphasized the need to deepen investigation of intraparty politics. Recent studies look at social media as a source of information on the ideological preferences of politicians and political actors. In this regard, the present article tests whether social media messages published by politicians are a suitable source of data. It applies quantitative text analysis to the public statements released by politicians on social media in order to measure intraparty heterogeneity and assess its effects. Three different applications to the Italian case are discussed. Indeed, the content of messages posted online is informative on the ideological preferences of politicians and proved to be useful to understand intraparty dynamics. Intraparty divergences measured through social media analysis explain: (a) a politician's choice to endorse one or another party leader, (b) a politician's likelihood to switch off from his or her parliamentary party group; and (c) a politician's probability to be appointed as a minister.</t>
  </si>
  <si>
    <t>[Ceron, Andrea] Univ Milan, Dept Social &amp; Polit Sci, Polit Sci, Milan, Italy</t>
  </si>
  <si>
    <t>Ceron, A (corresponding author), Univ Milan, Dipartimento Sci Sociali &amp; Polit, Via Pass 13, I-20122 Milan, Italy.</t>
  </si>
  <si>
    <t>10.1177/1354068816654325</t>
  </si>
  <si>
    <t>EH5GY</t>
  </si>
  <si>
    <t>WOS:000391801800002</t>
  </si>
  <si>
    <t>Friedman, M</t>
  </si>
  <si>
    <t>Friedman, Mike</t>
  </si>
  <si>
    <t>Religious Fundamentalism and Responses to Mortality Salience: A Quantitative Text Analysis</t>
  </si>
  <si>
    <t>INTERNATIONAL JOURNAL FOR THE PSYCHOLOGY OF RELIGION</t>
  </si>
  <si>
    <t>MODERATED MULTIPLE-REGRESSION; TERROR MANAGEMENT; LANGUAGE USE; SELF-ESTEEM; DEATH; COMPLEXITY; BELIEF; THOUGHT; WORDS; FEAR</t>
  </si>
  <si>
    <t>Investigating an issue of critical importance for the psychology of religion and for terror management theory, this study examines the relationship between religious fundamentalism and beliefs about death as articulated during a mortality salience (MS) manipulation. Participants wrote about the emotions and events surrounding their own death (MS), or a control topic, and linguistic content in the essays was related to levels of self-reported fundamentalism of the essay authors. Higher levels of fundamentalism were associated with responses to MS that were less cognitively complex, contained more positive emotion, and were more future and socially oriented. There was virtually no relationship between fundamentalism and linguistic properties of writings about a control topic. The discussion centers on the influence of fundamentalist belief systems on attitudes toward death and suggests how the current results might aid future study of religious belief and of terror management.</t>
  </si>
  <si>
    <t>Catholic Univ Louvain, B-1348 Louvain, Belgium</t>
  </si>
  <si>
    <t>Universite Catholique Louvain</t>
  </si>
  <si>
    <t>Friedman, M (corresponding author), Catholic Univ Louvain, Pl Cardinal Mercier 10, B-1348 Louvain, Belgium.</t>
  </si>
  <si>
    <t>mike.d.friedman@gmail.com</t>
  </si>
  <si>
    <t>1050-8619</t>
  </si>
  <si>
    <t>1532-7582</t>
  </si>
  <si>
    <t>INT J PSYCHOL RELIG</t>
  </si>
  <si>
    <t>Int. J. Psychol. Relig.</t>
  </si>
  <si>
    <t>10.1080/10508610802115800</t>
  </si>
  <si>
    <t>Psychology, Multidisciplinary; Religion</t>
  </si>
  <si>
    <t>Psychology; Religion</t>
  </si>
  <si>
    <t>498CH</t>
  </si>
  <si>
    <t>WOS:000270113600003</t>
  </si>
  <si>
    <t>Fytilakos, I</t>
  </si>
  <si>
    <t>Fytilakos, Ioannis</t>
  </si>
  <si>
    <t>Text mining in fisheries scientific literature: A term coding approach</t>
  </si>
  <si>
    <t>ECOLOGICAL INFORMATICS</t>
  </si>
  <si>
    <t>Coding; Correspondence analysis; Fisheries; Inference extraction; Quantitative; Text mining</t>
  </si>
  <si>
    <t>INFORMATION; MANAGEMENT; SCIENCE</t>
  </si>
  <si>
    <t>Text mining has not yet been fully explored in fisheries scientific literature and applications in existing studies have been limited. In the present study, quantitative text analysis was used in order to identify various subtopic trends and gaps in the knowledge of the fisheries science field. Several multivariate and descriptive analyses ?including word extraction, word association, cluster analysis, co-occurrence network and correspondence analysis? were used for this purpose. Common words existed between periods, while each period was also characterized by unique words. Cluster analysis revealed four major thematic groups of words during the period 1971?2020. Categorization of words in eight major subsets highlighted the diachronically significant positively increasing engagement of literature with the ecological, economic and social dimension of fisheries science. A constant progress has been done in the field of fisheries management and in the use of functions/equations. Correspondence analysis indicated relationships between two decades, from 2001 to 2010 and from 2011 to present.</t>
  </si>
  <si>
    <t>[Fytilakos, Ioannis] Inst Marine Biol Resources &amp; Inland Waters, Hellen Ctr Marine Res, 46-7 Km Athens,Sounio Ave,POB 712, Athens 19013, Greece</t>
  </si>
  <si>
    <t>Hellenic Centre for Marine Research</t>
  </si>
  <si>
    <t>Fytilakos, I (corresponding author), Inst Marine Biol Resources &amp; Inland Waters, Hellen Ctr Marine Res, 46-7 Km Athens,Sounio Ave,POB 712, Athens 19013, Greece.</t>
  </si>
  <si>
    <t>ifitilakos@ymail.com</t>
  </si>
  <si>
    <t>1574-9541</t>
  </si>
  <si>
    <t>1878-0512</t>
  </si>
  <si>
    <t>ECOL INFORM</t>
  </si>
  <si>
    <t>Ecol. Inform.</t>
  </si>
  <si>
    <t>10.1016/j.ecoinf.2020.101203</t>
  </si>
  <si>
    <t>RC2BP</t>
  </si>
  <si>
    <t>WOS:000632609300002</t>
  </si>
  <si>
    <t>Small, ML</t>
  </si>
  <si>
    <t>Cook, KS; Massey, DS</t>
  </si>
  <si>
    <t>Small, Mario Luis</t>
  </si>
  <si>
    <t>How to Conduct a Mixed Methods Study: Recent Trends in a Rapidly Growing Literature</t>
  </si>
  <si>
    <t>ANNUAL REVIEW OF SOCIOLOGY, VOL 37</t>
  </si>
  <si>
    <t>Annual Review of Sociology</t>
  </si>
  <si>
    <t>qualitative versus quantitative; multimethod research; research design; methodology; formal models</t>
  </si>
  <si>
    <t>EVENT-STRUCTURE ANALYSIS; QUANTITATIVE TEXT ANALYSIS; PARTICIPANT OBSERVATION; QUALITATIVE RESEARCH; SEQUENCE-ANALYSIS; FORMAL METHODS; NETWORKS; SCIENCE; FRAMEWORK; GENDER</t>
  </si>
  <si>
    <t>The present article selectively reviews the large number of recent studies that have been described as based on mixed methods. I begin by discussing a body of work that has emerged to promote mixed methods research across the social sciences. I then review and critique empirical studies in each of two general approaches to mixed methods: mixed data-collection studies, which combine two or more kinds of data; and mixed data-analysis studies, which combine two or more analytical strategies, examine qualitative data with quantitative methods, or explore quantitative data with qualitative techniques. I argue that, although mixed methods research is by no means new, empirical studies today combine methods in more diverse and, at times, innovative ways. Nevertheless, important methodological tensions will likely surface as the research becomes more self-reflexive.</t>
  </si>
  <si>
    <t>Univ Chicago, Dept Sociol, Chicago, IL 60637 USA</t>
  </si>
  <si>
    <t>Small, ML (corresponding author), Univ Chicago, Dept Sociol, Chicago, IL 60637 USA.</t>
  </si>
  <si>
    <t>mariosmall@uchicago.edu</t>
  </si>
  <si>
    <t>0360-0572</t>
  </si>
  <si>
    <t>1545-2115</t>
  </si>
  <si>
    <t>978-0-8243-2237-3</t>
  </si>
  <si>
    <t>ANNU REV SOCIOL</t>
  </si>
  <si>
    <t>Annu. Rev. Sociol.</t>
  </si>
  <si>
    <t>10.1146/annurev.soc.012809.102657</t>
  </si>
  <si>
    <t>BWE61</t>
  </si>
  <si>
    <t>WOS:000293761700004</t>
  </si>
  <si>
    <t>Takahashi, Y; Nakazawa, S; Sasaki, H</t>
  </si>
  <si>
    <t>Takahashi, Yu; Nakazawa, Shun; Sasaki, Hideyuki</t>
  </si>
  <si>
    <t>Study of Reflections on University Fieldwork Courses: The Characteristics of Learning Content of Students Who Visited Disaster-Affected Areas</t>
  </si>
  <si>
    <t>reflection; active learning; fieldwork; content analysis; reconstruction</t>
  </si>
  <si>
    <t>EDUCATION</t>
  </si>
  <si>
    <t>While learning opportunities dealing with communities have been increasing in Japan in recent years, learning itself has not been subjected to significant analysis. In this study, we converted into text data the reflection sheets of a total of 1,305 students who were enrolled in the community fieldwork course required for all first-year students at Miyagi University, a public university, from 2017 to 2019, and used quantitative text analysis to analyze the data. The results suggested that the students acquired knowledge that could not be obtained from pre-learning by visiting the communities, encountering locals, and interviewing local company personnel. In particular, those who visited tsunami-affected municipalities along the coast came into contact with the realities of tsunami damage and manifested discoveries with regard to the community's activities before and after the disaster, such as the residents' daily lives and industries.</t>
  </si>
  <si>
    <t>[Takahashi, Yu; Nakazawa, Shun; Sasaki, Hideyuki] Miyagi Univ, 1-1 Gakuen,Taiwa Cho, Kurokawagun, Miyagi 9813298, Japan</t>
  </si>
  <si>
    <t>Miyagi University</t>
  </si>
  <si>
    <t>Takahashi, Y (corresponding author), Miyagi Univ, 1-1 Gakuen,Taiwa Cho, Kurokawagun, Miyagi 9813298, Japan.</t>
  </si>
  <si>
    <t>yu.takahashi.b1@tohoku.ac.jp</t>
  </si>
  <si>
    <t>PA4CT</t>
  </si>
  <si>
    <t>WOS:000595586500014</t>
  </si>
  <si>
    <t>Sullivan, D; Palitsky, R; Schmitt, H</t>
  </si>
  <si>
    <t>Sullivan, Daniel; Palitsky, Roman; Schmitt, Harrison</t>
  </si>
  <si>
    <t>The spatialization and temporalization of environmental suffering</t>
  </si>
  <si>
    <t>NARRATIVE INQUIRY</t>
  </si>
  <si>
    <t>environmental racism; contamination narratives; time; space; false consciousness; redemption narratives</t>
  </si>
  <si>
    <t>INEQUALITY</t>
  </si>
  <si>
    <t>Many people live in circumstances of environmental suffering: exposure to contaminated natural resources and toxic chemicals due to a history of accident or misuse. Environmental suffering is disproportionately experienced by politically, ethnically, and economically disadvantaged group members. An analysis rooted in the concept of false consciousness (Gabel, 1975) suggests that environmental suffering narratives tend toward perspectival distortions. Although narratives from disadvantaged group members may contain defensive distortions, these are warranted by experiences of environmental suffering, and expert narratives also regularly contain distortions. Disadvantaged narratives of environmental suffering tend toward spatializing distortions: emphasizing spatial aspects, objectifying people and agents, and fixating on a tragic past. Advantaged narratives of environmental suffering tend toward temporalizing distortions: emphasizing temporal aspects, refusing to clearly assign blame, and fixating on a miraculous future. We present a preliminary supporting study, using quantitative text analysis, of parallel environmental suffering narratives from community members, EPA officials, and other experts.</t>
  </si>
  <si>
    <t>[Sullivan, Daniel] Univ Arizona, Tucson, AZ 85721 USA; [Palitsky, Roman; Schmitt, Harrison] Univ Arizona, Dept Psychol, 1503 E Univ Blvd, Tucson, AZ 85721 USA</t>
  </si>
  <si>
    <t>University of Arizona; University of Arizona</t>
  </si>
  <si>
    <t>Sullivan, D (corresponding author), Univ Arizona, Dept Psychol, 1503 E Univ Blvd, Tucson, AZ 85721 USA.</t>
  </si>
  <si>
    <t>swolf22@email.arizona.edu; romanp@email.arizona.edu; hschmitt@email.arizona.edu</t>
  </si>
  <si>
    <t>Palitsky, Roman/0000-0002-0415-6411</t>
  </si>
  <si>
    <t>1387-6740</t>
  </si>
  <si>
    <t>NARRAT INQ</t>
  </si>
  <si>
    <t>Narrat. Inq.</t>
  </si>
  <si>
    <t>10.1075/ni.18054.sul</t>
  </si>
  <si>
    <t>Communication; Linguistics; Language &amp; Linguistics</t>
  </si>
  <si>
    <t>Communication; Linguistics</t>
  </si>
  <si>
    <t>LR4ZC</t>
  </si>
  <si>
    <t>WOS:000535704000003</t>
  </si>
  <si>
    <t>Losada, DE; Parapar, J</t>
  </si>
  <si>
    <t>Losada, David E.; Parapar, Javier</t>
  </si>
  <si>
    <t>Psychological Features for Automatic Text Summarization</t>
  </si>
  <si>
    <t>INTERNATIONAL JOURNAL OF UNCERTAINTY FUZZINESS AND KNOWLEDGE-BASED SYSTEMS</t>
  </si>
  <si>
    <t>Automatic text summarization; psychology of natural language use; linguistic inquiry word count; predicting summarization difficulty</t>
  </si>
  <si>
    <t>WORDS</t>
  </si>
  <si>
    <t>Automatically summarizing a document requires conveying the important points of a large document in only a few sentences. Extractive strategies for summarization are based on selecting the most important sentences from the input document(s). We claim here that standard features for estimating sentence importance can be effectively combined with innovative features that encode psychological aspects of communication. We employ Quantitative Text analysis tools for estimating psychological features and we inject them into state-of-the-art extractive summarizers. Our experiments demonstrate that this novel set of features is a good guidance for selecting salient sentences. Our empirical study concludes that psychological features are best suited for hard summarization cases. This motivated us to formally define and study the problem of predicting the difficulty of summarization. We propose a number of predictors to model the difficulty of every summarization problem and we evaluate several learning methods to perform this prediction task.</t>
  </si>
  <si>
    <t>[Losada, David E.] Univ Santiago de Compostela, Ctr Singular Invest Tecnoloxias Informac CiTIUS, Santiago De Compostela, Spain; [Parapar, Javier] Univ A Coruna, Informat Retrieval Lab, Dept Comp Sci, La Coruna, Spain</t>
  </si>
  <si>
    <t>Universidade de Santiago de Compostela; Universidade da Coruna</t>
  </si>
  <si>
    <t>Losada, DE (corresponding author), Univ Santiago de Compostela, Ctr Singular Invest Tecnoloxias Informac CiTIUS, Santiago De Compostela, Spain.</t>
  </si>
  <si>
    <t>david.losada@usc.es; javierparapar@udc.es</t>
  </si>
  <si>
    <t>Ministerio de Economia y Competitividad of the Government of Spain and FEDER Funds [TIN2015-64282-R]; Xunta de Galicia [GPC2016/035]; Xunta de Galicia - Conselleria de Cultura, Educacion e Ordenacion Universitaria; European Regional Development Fund (ERDF) [ED431G/01, ED431G/08]</t>
  </si>
  <si>
    <t>Ministerio de Economia y Competitividad of the Government of Spain and FEDER Funds; Xunta de Galicia(Xunta de GaliciaEuropean Commission); Xunta de Galicia - Conselleria de Cultura, Educacion e Ordenacion Universitaria(Xunta de Galicia); European Regional Development Fund (ERDF)(European Commission)</t>
  </si>
  <si>
    <t>This work has received financial support from the Ministerio de Economia y Competitividad of the Government of Spain and FEDER Funds under the research project TIN2015-64282-R, Xunta de Galicia (project GPC2016/035), and Xunta de Galicia - Conselleria de Cultura, Educacion e Ordenacion Universitaria and the European Regional Development Fund (ERDF) through the following 2016-2019 accreditations: ED431G/01 (Centro singular de Investigacion de Galicia) and ED431G/08.</t>
  </si>
  <si>
    <t>WORLD SCIENTIFIC PUBL CO PTE LTD</t>
  </si>
  <si>
    <t>SINGAPORE</t>
  </si>
  <si>
    <t>5 TOH TUCK LINK, SINGAPORE 596224, SINGAPORE</t>
  </si>
  <si>
    <t>0218-4885</t>
  </si>
  <si>
    <t>1793-6411</t>
  </si>
  <si>
    <t>INT J UNCERTAIN FUZZ</t>
  </si>
  <si>
    <t>Int. J. Uncertainty Fuzziness Knowl.-Based Syst.</t>
  </si>
  <si>
    <t>10.1142/S0218488517400153</t>
  </si>
  <si>
    <t>FQ6HB</t>
  </si>
  <si>
    <t>WOS:000418463300009</t>
  </si>
  <si>
    <t>Lits, B</t>
  </si>
  <si>
    <t>Lits, Brieuc</t>
  </si>
  <si>
    <t>Exploring astroturf lobbying in the EU: The case of responsible energy citizen coalition(sic)(sic)(sic)PALABRAS CLAVE</t>
  </si>
  <si>
    <t>EUROPEAN POLICY ANALYSIS</t>
  </si>
  <si>
    <t>astroturfing; fracking; grassroots; interest groups; lobbying</t>
  </si>
  <si>
    <t>SUCCESS; FRACKING; ACCESS</t>
  </si>
  <si>
    <t>This paper explores the creation of an astroturf group, which is a fake grassroots movement, and looks at the strategies that were used to influence EU policies. The case under scrutiny is the Responsible Energy Citizen Coalition. This alleged citizen movement launched a campaign to influence two European Parliament reports regarding shale gas exploration in 2012. A quantitative text analysis offers insights regarding the astroturf group's communication strategy in comparison to 39 other interest groups who published position papers on the issue. This study shows how the astroturf group's communication is aligned with that of the organizations, which were behind its creation. Furthermore, the distinction between lobbying success and lobbying influence is discussed and a correspondence analysis shows how the astroturf group might have contributed to the success of the pro-shale coalition on the outcome of one of the two policy proposals.</t>
  </si>
  <si>
    <t>[Lits, Brieuc] Univ Libre Bruxelles, Res Ctr ReSIC, Dept Informat &amp; Commun Sci, Brussels, Belgium</t>
  </si>
  <si>
    <t>Universite Libre de Bruxelles</t>
  </si>
  <si>
    <t>Lits, B (corresponding author), Univ Libre Bruxelles, Ave FD Roosevelt 50,CP 123, B-1050 Brussels, Belgium.</t>
  </si>
  <si>
    <t>Brieuc.Lits@gmail.com</t>
  </si>
  <si>
    <t>Lits, Brieuc/0000-0002-1057-8100</t>
  </si>
  <si>
    <t>2380-6567</t>
  </si>
  <si>
    <t>EUR POLICY ANAL</t>
  </si>
  <si>
    <t>Eur. Policy Anal.</t>
  </si>
  <si>
    <t>10.1002/epa2.1086</t>
  </si>
  <si>
    <t>SL0GU</t>
  </si>
  <si>
    <t>WOS:000656595900006</t>
  </si>
  <si>
    <t>Changing politics, changing language The effect of institutional and communicative changes on political language measured through content analysis of Italian intra-party debates</t>
  </si>
  <si>
    <t>ideology; leadership; populism; text analysis; lexicon; left-right</t>
  </si>
  <si>
    <t>PARTY; MEDIATIZATION; BERLUSCONI; DISCOURSE; LEADERS</t>
  </si>
  <si>
    <t>This paper examines the changes in political language that occurred after 1989 in Italy and focuses on textual documents drafted by intra-party subgroups between 1946 and 2010 that were related to the internal debates of Italian political parties. These documents, which are addressed to party members and activists rather than the wider public, have been analyzed through quantitative text analysis of word frequencies. The results confirm that a few relevant changes occurred that involve the lexicon, tone, and content of messages. However, concepts such as left and right are still relevant, and we observed neither a strong decline in the use of ideological terms nor a wider usage of populist words. Despite the growing personalization of politics, the main political leaders are not frequently mentioned, with two exceptions: Prodi and Berlusconi. Overall, there is a distance between intra-party politics and the logic of entertainment.</t>
  </si>
  <si>
    <t>[Ceron, Andrea] Univ Milan, Dipartimento Sci Sociali &amp; Polit, I-20122 Milan, Italy</t>
  </si>
  <si>
    <t>Ceron, A (corresponding author), Univ Milan, Dipartimento Sci Sociali &amp; Polit, Via Passione 13, I-20122 Milan, Italy.</t>
  </si>
  <si>
    <t>10.1075/jlp.14.4.03cer</t>
  </si>
  <si>
    <t>CZ8VT</t>
  </si>
  <si>
    <t>WOS:000367377900003</t>
  </si>
  <si>
    <t>Kluver, H; Mahoney, C; Opper, M</t>
  </si>
  <si>
    <t>Kluever, Heike; Mahoney, Christine; Opper, Marc</t>
  </si>
  <si>
    <t>Framing in context: how interest groups employ framing to lobby the European Commission</t>
  </si>
  <si>
    <t>framing; European Union; quantitative text analysis; lobbying; interest groups; Directorates General; European Commission</t>
  </si>
  <si>
    <t>PREFERENCE FORMATION; DELIBERATION; POLITICS; FRAMES; EU</t>
  </si>
  <si>
    <t>Framing plays an important role in public policy. Interest groups strategically highlight some aspects of a policy proposal while ignoring others in order to gain an advantage in the policy debate. However, we know remarkably little about how interest groups choose their frames. This contribution therefore studies the determinants of frame choice during the policy formulation stage in the European Union. We argue that frame choice is a complex process which is simultaneously affected by interest groups as well as contextual characteristics. With regard to interest group characteristics, we expect that frame choice varies systematically across actor type. With regard to contextual characteristics, we hypothesize that the frames that interest groups employ are specifically tailored towards the DGs in charge of drafting the proposal. Our theoretical expectations are tested based on a new and innovative dataset on frame choice of more than 3,000 interest groups in 44 policy debates.</t>
  </si>
  <si>
    <t>[Kluever, Heike] Univ Bamberg, D-96045 Bamberg, Germany; [Mahoney, Christine] Univ Virginia, Batten Sch Leadership &amp; Publ Policy, Charlottesville, VA 22903 USA; [Opper, Marc] Univ Virginia, Dept Polit, Charlottesville, VA 22904 USA</t>
  </si>
  <si>
    <t>Otto Friedrich University Bamberg; University of Virginia; University of Virginia</t>
  </si>
  <si>
    <t>Kluver, H (corresponding author), Univ Bamberg, Feldkirchenstr 21, D-96045 Bamberg, Germany.</t>
  </si>
  <si>
    <t>heike.kluever@uni-bamberg.de; C.Mahoney@virginia.edu; mho8gc@virginia.edu</t>
  </si>
  <si>
    <t>The authors thank the National Science Foundation for generous research funding (Grant number 1102978).</t>
  </si>
  <si>
    <t>APR 21</t>
  </si>
  <si>
    <t>10.1080/13501763.2015.1008550</t>
  </si>
  <si>
    <t>CC1NJ</t>
  </si>
  <si>
    <t>WOS:000350107500003</t>
  </si>
  <si>
    <t>Misuraca, M; Scepi, G; Spano, M</t>
  </si>
  <si>
    <t>Misuraca, Michelangelo; Scepi, Germana; Spano, Maria</t>
  </si>
  <si>
    <t>Using Opinion Mining as an educational analytic: An integrated strategy for the analysis of students? feedback</t>
  </si>
  <si>
    <t>STUDIES IN EDUCATIONAL EVALUATION</t>
  </si>
  <si>
    <t>Quantitative text analysis; Sentiment analysis; Polarity score detection</t>
  </si>
  <si>
    <t>SENTIMENT ANALYSIS; POLARITY; QUALITY; LEXICON; MODEL</t>
  </si>
  <si>
    <t>The analysis of students? feedback written in natural language has been poorly considered in academic institutions, looking more frequently at students? ratings as a base to evaluate courses and instructors. Statistical text analyses offer the possibility of exploring text collections from a quantitative viewpoint. Particularly interesting is Opinion Mining (OM), a family of techniques at the crossroads of Statistics, Linguistics and Computer Science. OM allows evaluating the sentiment of individual opinions, highlighting their semantic orientation. In an educational context, this approach allows processing students? comments and creating powerful analytics. This paper aims at introducing readers to OM, presenting a strategy to compute the sentiment polarity of students? comments. After explaining the rationale of the proposal and its mathematical formalisation, a toy example is presented to show how it works in practice. A discussion about theoretical and empirical implications offers some hints about its potentiality in a learning environment.</t>
  </si>
  <si>
    <t>[Misuraca, Michelangelo] Univ Calabria, DiScAG, Campus Arcavacata, Arcavacata Di Rende, Italy; [Scepi, Germana; Spano, Maria] Univ Naples Federico II, DiSES, Campus Monte St Angelo, Naples, Italy</t>
  </si>
  <si>
    <t>University of Calabria; University of Naples Federico II</t>
  </si>
  <si>
    <t>Misuraca, M (corresponding author), Univ Calabria, DiScAG, Campus Arcavacata, Arcavacata Di Rende, Italy.</t>
  </si>
  <si>
    <t>michelangelo.misuraca@unical.it</t>
  </si>
  <si>
    <t>Misuraca, Michelangelo/L-2513-2019</t>
  </si>
  <si>
    <t>Misuraca, Michelangelo/0000-0002-8794-966X</t>
  </si>
  <si>
    <t>0191-491X</t>
  </si>
  <si>
    <t>STUD EDUC EVAL</t>
  </si>
  <si>
    <t>Stud. Educ. Eval.</t>
  </si>
  <si>
    <t>10.1016/j.stueduc.2021.100979</t>
  </si>
  <si>
    <t>Education &amp; Educational Research; Psychology, Educational</t>
  </si>
  <si>
    <t>QX3PV</t>
  </si>
  <si>
    <t>WOS:000629259300002</t>
  </si>
  <si>
    <t>Arnold, C; Doyle, D; Wiesehomeier, N</t>
  </si>
  <si>
    <t>Arnold, Christian; Doyle, David; Wiesehomeier, Nina</t>
  </si>
  <si>
    <t>Presidents, Policy Compromise, and Legislative Success</t>
  </si>
  <si>
    <t>presidents; speeches; legislative success; text analysis; executive-legislative relations</t>
  </si>
  <si>
    <t>LATIN-AMERICA; POLITICAL TEXTS; GOVERNMENT COALITIONS; PUBLIC-OPINION; PARTIES; POSITIONS; INSTITUTIONS; PITFALLS; POWER</t>
  </si>
  <si>
    <t>Presidents play a central role in legislative activity in Latin America. Previous research highlights that some form of ideological compromise on behalf of the president is vital to sustain successful legislative coalitions. Yet, primarily due to the lack of a firm empirical basis on which to measure such presidential give-and-take, the extent to which presidents make use of such policy compromise, and under what conditions this is a viable strategy, remains unknown. Applying quantitative text analysis to 305 annual state of the union addresses of 73 presidents in 13 Latin American countries, we remedy this situation and provide comparable time-series data for Latin American presidential movements in a one-dimensional issue space between 1980 and 2014. Our results indicate that presidents will compromise in response to changes in the median party, although this effect will be mediated by the institutional context within which the president operates.</t>
  </si>
  <si>
    <t>[Arnold, Christian] Univ Mannheim, Chair Quantitat Methods, D-68131 Mannheim, Germany; [Doyle, David] Univ Oxford, Dept Polit &amp; Int Relat, Polit, Oxford OX1 3UQ, England; [Doyle, David] Univ Oxford, Latin Amer Ctr, Oxford OX1 3UQ, England; [Doyle, David] Univ Oxford, St Hughs Coll, Oxford OX1 3UQ, England; [Wiesehomeier, Nina] IE Sch Int Relat, Madrid 28006, Spain</t>
  </si>
  <si>
    <t>University of Mannheim; University of Oxford; University of Oxford; University of Oxford</t>
  </si>
  <si>
    <t>Arnold, C (corresponding author), Univ Mannheim, Chair Quantitat Methods, D-68131 Mannheim, Germany.</t>
  </si>
  <si>
    <t>chriarno@mail.uni-mannheim.de; david.doyle@politics.ox.ac.uk; nwiesehomeier@faculty.ie.edu</t>
  </si>
  <si>
    <t>Wiesehomeier, Nina/P-6889-2016</t>
  </si>
  <si>
    <t>Wiesehomeier, Nina/0000-0002-0134-5647; Arnold, Christian/0000-0002-7042-594X</t>
  </si>
  <si>
    <t>10.1086/688080</t>
  </si>
  <si>
    <t>ER3EB</t>
  </si>
  <si>
    <t>Green Accepted, Green Submitted</t>
  </si>
  <si>
    <t>WOS:000398677500012</t>
  </si>
  <si>
    <t>Tibubos, AN; Kober, C; Habermas, T; Rohrmann, S</t>
  </si>
  <si>
    <t>Tibubos, Ana N.; Koeber, Christin; Habermas, Tilmann; Rohrmann, Sonja</t>
  </si>
  <si>
    <t>Does self-acceptance captured by life narratives and self-report predict mental health? A longitudinal multi-method approach</t>
  </si>
  <si>
    <t>JOURNAL OF RESEARCH IN PERSONALITY</t>
  </si>
  <si>
    <t>Life narratives; Self-acceptance; Mental health; Quantitative text analysis</t>
  </si>
  <si>
    <t>NURSING-HOME LIFE; AUTOBIOGRAPHICAL MEMORY; PERSONALITY JUDGMENTS; TRAIT INFERENCES; OTHER AGREEMENT; LENS MODEL; IDENTITY; COHERENCE; EVENTS; ACCURACY</t>
  </si>
  <si>
    <t>We aimed to investigate the validity of different self-acceptance measures to predict mental health. Self-acceptance and negative life events, assessed via self-report and rated from life narratives (N = 149), served as predictors of mental health at baseline (T1) and four years later (T2). Path models showed distinguishable, complementary effects of self-reports and other-ratings. A moderate congruence of self- and other-ratings of self-acceptance was observed. Exploratory analyses revealed an association of self-acceptance with emotional words in life narratives. Controlling for negative life events, a positive link and a moderating effect of self-acceptance on mental health at Tl, but no prediction of mental health at T2, were found. The study connects research on personality and narratives from a methodological and health psychological perspective. (C) 2019 Elsevier Inc. All rights reserved.</t>
  </si>
  <si>
    <t>[Tibubos, Ana N.] Johannes Gutenberg Univ Mainz, Univ Med Ctr, Dept Psychosomat Med &amp; Psychotherapy, Zahlbacher Str 8, D-55131 Mainz, Germany; [Tibubos, Ana N.; Habermas, Tilmann; Rohrmann, Sonja] Goethe Univ Frankfurt, Dept Psychol, Frankfurt, Germany; [Koeber, Christin] New York Univ Abu Dhabi, Div Sci, Psychol Program, Abu Dhabi, U Arab Emirates</t>
  </si>
  <si>
    <t>Johannes Gutenberg University of Mainz; Goethe University Frankfurt</t>
  </si>
  <si>
    <t>Tibubos, AN (corresponding author), Johannes Gutenberg Univ Mainz, Univ Med Ctr, Dept Psychosomat Med &amp; Psychotherapy, Zahlbacher Str 8, D-55131 Mainz, Germany.</t>
  </si>
  <si>
    <t>AnaNanette.Tibubos@unimedizin-mainz.de</t>
  </si>
  <si>
    <t>Habermas, Tilmann/K-8233-2012</t>
  </si>
  <si>
    <t>Habermas, Tilmann/0000-0002-3386-4767; Camia, Christin/0000-0002-7553-2349</t>
  </si>
  <si>
    <t>German Research Foundation (DFG) [HA2077-6, HA2077-10]</t>
  </si>
  <si>
    <t>The author(s) disclosed receipt of the following financial support for the research, authorship, and/or publication of this article: Preparation of this manuscript was supported by the German Research Foundation (DFG, grant #HA2077-6, wave 1; grant #HA2077-10, wave 3) to the third author.</t>
  </si>
  <si>
    <t>0092-6566</t>
  </si>
  <si>
    <t>1095-7251</t>
  </si>
  <si>
    <t>J RES PERS</t>
  </si>
  <si>
    <t>J. Res. Pers.</t>
  </si>
  <si>
    <t>10.1016/j.jrp.2019.01.003</t>
  </si>
  <si>
    <t>HT3SA</t>
  </si>
  <si>
    <t>WOS:000464482300002</t>
  </si>
  <si>
    <t>Fay, EM</t>
  </si>
  <si>
    <t>Webb, G; Zhang, Z; Tseng, VS; Williams, G; Vlachos, M; Cao, L</t>
  </si>
  <si>
    <t>Fay, Erik M.</t>
  </si>
  <si>
    <t>Measuring Indirect External Threat: A Time Series Sentiment Analysis of NATO Resolutions</t>
  </si>
  <si>
    <t>2020 IEEE 7TH INTERNATIONAL CONFERENCE ON DATA SCIENCE AND ADVANCED ANALYTICS (DSAA 2020)</t>
  </si>
  <si>
    <t>Proceedings of the International Conference on Data Science and Advanced Analytics</t>
  </si>
  <si>
    <t>7th IEEE International Conference on Data Science and Advanced Analytics (DSAA)</t>
  </si>
  <si>
    <t>OCT 06-09, 2020</t>
  </si>
  <si>
    <t>Univ Technol Sydney, ELECTR NETWORK</t>
  </si>
  <si>
    <t>IEEE,IEEE Comp Soc,IEEE Computat Intelligence Soc,Amer Stat Assoc,Assoc Comp Machinery,ACM SIGKDD,China Comp Confederat,Macquarie Univ,Monash Univ,Business Events Sydney</t>
  </si>
  <si>
    <t>Univ Technol Sydney</t>
  </si>
  <si>
    <t>Time Series; Text Analysis; External Threat; NATO</t>
  </si>
  <si>
    <t>This article uses a text-as-data approach via Sentiment Analysis that addresses several flaws in existing measures of direct external security threats by identifying the level of indirect external security threat within the international system and creating a continuous measure of indirect external threat that varies over time. This measure is constructed using the text of NATO Parliamentary Assembly resolutions and demonstrate that indirect external threat is a crucial factor in explaining international behavior and conflict.</t>
  </si>
  <si>
    <t>[Fay, Erik M.] Univ Kentucky, Dept Polit Sci, Lexington, KY 40506 USA</t>
  </si>
  <si>
    <t>Fay, EM (corresponding author), Univ Kentucky, Dept Polit Sci, Lexington, KY 40506 USA.</t>
  </si>
  <si>
    <t>Erik.Fay@uky.edu</t>
  </si>
  <si>
    <t>2472-1573</t>
  </si>
  <si>
    <t>978-1-7281-8206-3</t>
  </si>
  <si>
    <t>PR INT CONF DATA SC</t>
  </si>
  <si>
    <t>10.1109/DSAA49011.2020.00107</t>
  </si>
  <si>
    <t>Computer Science, Artificial Intelligence; Computer Science, Information Systems; Computer Science, Interdisciplinary Applications; Operations Research &amp; Management Science; Mathematics, Applied</t>
  </si>
  <si>
    <t>Computer Science; Operations Research &amp; Management Science; Mathematics</t>
  </si>
  <si>
    <t>BR3QC</t>
  </si>
  <si>
    <t>WOS:000648720100095</t>
  </si>
  <si>
    <t>Yeung, RC; Fernandes, MA</t>
  </si>
  <si>
    <t>Yeung, Ryan C.; Fernandes, Myra A.</t>
  </si>
  <si>
    <t>Machine learning to detect invalid text responses: Validation and comparison to existing detection methods</t>
  </si>
  <si>
    <t>Machine learning; Text classification; Text as data; Careless responding; Autobiographical memory</t>
  </si>
  <si>
    <t>OPEN-ENDED QUESTIONS; RECURRENT INVOLUNTARY MEMORIES; CARELESS RESPONSES; CLASSIFIERS; INDICATORS; IMBALANCE; SELECTION; EQUALITY; VALIDITY; SAMPLE</t>
  </si>
  <si>
    <t>A crucial step in analysing text data is the detection and removal of invalid texts (e.g., texts with meaningless or irrelevant content). To date, research topics that rely heavily on analysis of text data, such as autobiographical memory, have lacked methods of detecting invalid texts that are both effective and practical. Although researchers have suggested many data quality indicators that might identify invalid responses (e.g., response time, character/word count), few of these methods have been empirically validated with text responses. In the current study, we propose and implement a supervised machine learning approach that can mimic the accuracy of human coding, but without the need to hand-code entire text datasets. Our approach (a) trains, validates, and tests on a subset of texts manually labelled as valid or invalid, (b) calculates performance metrics to help select the best model, and (c) predicts whether unlabelled texts are valid or invalid based on the text alone. Model validation and evaluation using autobiographical memory texts indicated that machine learning accurately detected invalid texts with performance near human coding, significantly outperforming existing data quality indicators. Our openly available code and instructions enable new methods of improving data quality for researchers using text as data.</t>
  </si>
  <si>
    <t>[Yeung, Ryan C.; Fernandes, Myra A.] Univ Waterloo, Dept Psychol, Psychol Anthropol &amp; Sociol PAS Bldg, Waterloo, ON N2L 3G1, Canada</t>
  </si>
  <si>
    <t>Yeung, RC (corresponding author), Univ Waterloo, Dept Psychol, Psychol Anthropol &amp; Sociol PAS Bldg, Waterloo, ON N2L 3G1, Canada.</t>
  </si>
  <si>
    <t>rcyeung@uwaterloo.ca</t>
  </si>
  <si>
    <t>Yeung, Ryan Christopher/K-4076-2013</t>
  </si>
  <si>
    <t>Yeung, Ryan Christopher/0000-0002-6966-6834; Fernandes, Myra/0000-0002-1467-0342</t>
  </si>
  <si>
    <t>Natural Sciences and Engineering Research Council of Canada (NSERC) [CGSD3-535024-2019]; NSERC [2020-03917]</t>
  </si>
  <si>
    <t>Natural Sciences and Engineering Research Council of Canada (NSERC)(Natural Sciences and Engineering Research Council of Canada (NSERC)); NSERC(Natural Sciences and Engineering Research Council of Canada (NSERC))</t>
  </si>
  <si>
    <t>This work was supported by the Natural Sciences and Engineering Research Council of Canada (NSERC) through an Alexander Graham Bell Canada Graduate Scholarship (CGSD3-535024-2019) awarded to author Ryan C. Yeung, and an NSERC Discovery Grant (2020-03917) awarded to author Myra A. Fernandes.</t>
  </si>
  <si>
    <t>10.3758/s13428-022-01801-y</t>
  </si>
  <si>
    <t>ZB9KW</t>
  </si>
  <si>
    <t>WOS:000757153100001</t>
  </si>
  <si>
    <t>Schumacher, G; Hansen, D; van der Velden, MACG; Kunst, S</t>
  </si>
  <si>
    <t>Schumacher, Gijs; Hansen, Daniel; van der Velden, Mariken A. C. G.; Kunst, Sander</t>
  </si>
  <si>
    <t>A new dataset of Dutch and Danish party congress speeches</t>
  </si>
  <si>
    <t>Speeches; text as data; party organization; party leadership</t>
  </si>
  <si>
    <t>We present a new dataset of speeches given by Danish and Dutch politicians at party congresses between 1946 and 2017. The dataset is a unique collection of materials from different party archives and digital repositories. It offers a unique opportunity to analyse the issues discussed in these speeches, the positions taken and the rhetoric used by party elites over time and between countries. We describe the data and illustrate them with one application: a sentiment analysis that describes differences between parties and over time.</t>
  </si>
  <si>
    <t>[Schumacher, Gijs; Hansen, Daniel; Kunst, Sander] Univ Amsterdam, Amsterdam, Netherlands; [van der Velden, Mariken A. C. G.] Univ Zurich, Zurich, Switzerland</t>
  </si>
  <si>
    <t>University of Amsterdam; University of Zurich</t>
  </si>
  <si>
    <t>Schumacher, G (corresponding author), Univ Amsterdam, Dept Polit Sci, Postbus 15578, NL-1001 NB Amsterdam, Netherlands.</t>
  </si>
  <si>
    <t>g.schumacher@uva.nl</t>
  </si>
  <si>
    <t>van der Velden, Mariken/0000-0003-0227-9183; Schumacher, Gijs/0000-0002-6503-4514</t>
  </si>
  <si>
    <t>Danish Council for Independent Research (the Sapere Aude Young Elite Researcher project)</t>
  </si>
  <si>
    <t>The author(s) disclosed receipt of the following financial support for the research, authorship, and/or publication of this article: The data collection was partially financed by a grant from the Danish Council for Independent Research (the Sapere Aude Young Elite Researcher project).</t>
  </si>
  <si>
    <t>APR 9</t>
  </si>
  <si>
    <t>10.1177/2053168019838352</t>
  </si>
  <si>
    <t>HS7BJ</t>
  </si>
  <si>
    <t>Green Published, gold, Green Accepted</t>
  </si>
  <si>
    <t>WOS:000464024700001</t>
  </si>
  <si>
    <t>Duran, ND; Paxton, A; Fusaroli, R</t>
  </si>
  <si>
    <t>Duran, Nicholas D.; Paxton, Alexandra; Fusaroli, Riccardo</t>
  </si>
  <si>
    <t>ALIGN: Analyzing Linguistic Interactions With Generalizable techNiques-A Python Library</t>
  </si>
  <si>
    <t>PSYCHOLOGICAL METHODS</t>
  </si>
  <si>
    <t>linguistic alignment; interpersonal coordination; automated text analysis; deception; conflict</t>
  </si>
  <si>
    <t>SYNTACTIC ALIGNMENT; LEXICAL ALIGNMENT; CONVERGENCE; CHILDREN; REPRESENTATION; ORGANIZATION; PERSISTENCE; PREDICTION; SYNCHRONY; SPEAKING</t>
  </si>
  <si>
    <t>Linguistic alignment (LA) is the tendency during a conversation to reuse each other's linguistic expressions, including lexical, conceptual, or syntactic structures. LA is often argued to be a crucial driver in reciprocal understanding and interpersonal rapport, though its precise dynamics and effects are still controversial. One barrier to more systematic investigation of these effects lies in the diversity in the methods employed to analyze LA, which makes it difficult to integrate and compare results of individual studies. To overcome this issue, we have developed ALIGN (Analyzing Linguistic Interactions with Generalizable techNiques), an open-source Python package to measure LA in conversation (https://pypi.python.org/pypi/align) along with in-depth open-source tutorials hosted on ALIGN's GitHub repository (https://github.com/nickduran/align-linguistic-alignment). Here, we first describe the challenges in the study of LA and outline how ALIGN can address them. We then demonstrate how our analytical protocol can be applied to theory-driven questions using a complex corpus of dialogue (the Devil's Advocate corpus; Duran &amp; Fusaroli, 2017). We close by identifying further challenges and point to future developments of the field.</t>
  </si>
  <si>
    <t>[Duran, Nicholas D.] Arizona State Univ, Sch Social &amp; Behav Sci, 4701 West Thunderbird Rd, Glendale, AZ 85306 USA; [Paxton, Alexandra] Univ Calif Berkeley, Berkeley Inst Data Sci, Inst Cognit &amp; Brain Sci, Berkeley, CA 94720 USA; [Fusaroli, Riccardo] Aarhus Univ, Sch Commun &amp; Culture, Aarhus, Denmark; [Fusaroli, Riccardo] Aarhus Univ, Sch Culture &amp; Soc, Aarhus, Denmark; [Paxton, Alexandra] Univ Connecticut, Dept Psychol Sci, Storrs, CT USA; [Paxton, Alexandra] Univ Connecticut, Ctr Ecol Study Percept &amp; Act, Storrs, CT USA</t>
  </si>
  <si>
    <t>Arizona State University; University of California System; University of California Berkeley; Aarhus University; Aarhus University; University of Connecticut; University of Connecticut</t>
  </si>
  <si>
    <t>Duran, ND (corresponding author), Arizona State Univ, Sch Social &amp; Behav Sci, 4701 West Thunderbird Rd, Glendale, AZ 85306 USA.</t>
  </si>
  <si>
    <t>nicholas.duran@asu.edu</t>
  </si>
  <si>
    <t>Duran, Nicholas/P-1079-2017; Fusaroli, Riccardo/A-8892-2010</t>
  </si>
  <si>
    <t>Duran, Nicholas/0000-0002-8872-5617; Fusaroli, Riccardo/0000-0003-4775-5219</t>
  </si>
  <si>
    <t>National Science Foundation under a Minority Postdoctoral Research Fellowship [SBE1103356]; Aarhus University Interacting Minds Centre; National Science Foundation [DUE-1660894]; Moore-Sloan Data Science Environments Fellowship; Gordon and Betty Moore Foundation [GBMF3834]; Alfred P. Sloan Foundation [2013-10-27]</t>
  </si>
  <si>
    <t>National Science Foundation under a Minority Postdoctoral Research Fellowship; Aarhus University Interacting Minds Centre; National Science Foundation(National Science Foundation (NSF)); Moore-Sloan Data Science Environments Fellowship; Gordon and Betty Moore Foundation(Gordon and Betty Moore Foundation); Alfred P. Sloan Foundation(Alfred P. Sloan Foundation)</t>
  </si>
  <si>
    <t>The collection of the DA data was supported by the National Science Foundation under a Minority Postdoctoral Research Fellowship [SBE1103356] to author Nicholas D. Duran. Funding for this project also came from an Aarhus University Interacting Minds Centre seed funding grant in 2013 to authors Riccardo Fusaroli (PI), Nicholas D. Duran, and Alexandra Paxton (The Linguistic Dynamics of Conflict And Deception). This project was also funded in part by a National Science Foundation grant [DUE-1660894] to Nicholas D. Duran and a Moore-Sloan Data Science Environments Fellowship to Alexandra Paxton (thanks to grants from the Gordon and Betty Moore Foundation [Grant GBMF3834] and the Alfred P. Sloan Foundation [Grant 2013-10-27] to the University of California, Berkeley). Please note that an early presentation on this work was given in 2015 at the Annual Meeting of the Society for Computers in Psychology. Our thanks go to Rick Dale (University of California, Los Angeles) for his crucial feedback in the development and design of the DA study analyzed in this paper and for his thoughtful conversations about the nature and quantification of alignment. We thank J.P. Gonzales and Josh Espano for helping to collect and transcribe the DA study data while serving as research assistants at the University of California, Merced, and Grace Petersen while a research assistant at Arizona State University. Finally, we would also like to thank Nelle Varoquaux (University of California, Berkeley) for her assistance and advice on Python packaging and Zoe Hopkins (University of Edinburgh) for sharing her early work on automated analyses of syntactic alignment.</t>
  </si>
  <si>
    <t>1082-989X</t>
  </si>
  <si>
    <t>1939-1463</t>
  </si>
  <si>
    <t>PSYCHOL METHODS</t>
  </si>
  <si>
    <t>Psychol. Methods</t>
  </si>
  <si>
    <t>10.1037/met0000206</t>
  </si>
  <si>
    <t>IM5JG</t>
  </si>
  <si>
    <t>WOS:000478029600002</t>
  </si>
  <si>
    <t>Rooderkerk, RP; DeHoratius, N; Musalem, A</t>
  </si>
  <si>
    <t>Rooderkerk, Robert P.; DeHoratius, Nicole; Musalem, Andres</t>
  </si>
  <si>
    <t>The past, present, and future of retail analytics: Insights from a survey of academic research and interviews with practitioners</t>
  </si>
  <si>
    <t>PRODUCTION AND OPERATIONS MANAGEMENT</t>
  </si>
  <si>
    <t>bibliometrics; big data; business analytics; retail operations; technology</t>
  </si>
  <si>
    <t>BIG DATA; CONSEQUENCES; PERFORMANCE; SYSTEMS; FIELD</t>
  </si>
  <si>
    <t>We document the evolution of academic research through a bibliometric analysis of 123 retail analytics articles published in top operations management journals from 2000 to 2020. We isolate nine decision areas via manual coding that we verify using automated text analysis (topic modeling). We track variation across decision areas and method-usage evolution per analytics type, featuring the degree to which big data (e.g., clickstream, social media, product reviews) and analytics suited for these new data sources (e.g., machine learning) are used. Our analysis reveals a rapidly growing field that is evolving in terms of content (decisions, retail sector), data, and methodology. To determine the state of practice, we interviewed global practitioners on the current use of retail analytics. These interviews shed light on the barriers and enablers of adopting advanced analytics in retail. They also highlight what sets companies on the frontier (e.g., Amazon, Alibaba, Walmart) apart from the rest. Combining the insights from our survey of academic research and interviews with practitioners, we provide directions for future academic research that take advantage of the availability of big data.</t>
  </si>
  <si>
    <t>[Rooderkerk, Robert P.] Erasmus Univ, Rotterdam Sch Management, Dept Technol &amp; Operat Management, Rotterdam, Netherlands; [DeHoratius, Nicole] Univ Chicago, Booth Sch Business, Chicago, IL 60637 USA; [Musalem, Andres] Univ Chile, Ind Engn Dept, Santiago, RM, Chile; [Musalem, Andres] Inst Sistemas Complejos Ingn, Santiago, RM, Chile</t>
  </si>
  <si>
    <t>Erasmus University Rotterdam; University of Chicago; Universidad de Chile</t>
  </si>
  <si>
    <t>Rooderkerk, RP (corresponding author), Erasmus Univ, Rotterdam Sch Management, Dept Technol &amp; Operat Management, Rotterdam, Netherlands.</t>
  </si>
  <si>
    <t>rooderkerk@rsm.nl</t>
  </si>
  <si>
    <t>Rooderkerk, Robert/0000-0002-6463-7735</t>
  </si>
  <si>
    <t>ANID [AFB180003]; Fondecyt [1221554]</t>
  </si>
  <si>
    <t>ANID; Fondecyt(Comision Nacional de Investigacion Cientifica y Tecnologica (CONICYT)CONICYT FONDECYT)</t>
  </si>
  <si>
    <t>ANID, Grant/Award Numbers: AFB180003, Fondecyt 1221554</t>
  </si>
  <si>
    <t>1059-1478</t>
  </si>
  <si>
    <t>1937-5956</t>
  </si>
  <si>
    <t>PROD OPER MANAG</t>
  </si>
  <si>
    <t>Prod. Oper. Manag.</t>
  </si>
  <si>
    <t>10.1111/poms.13811</t>
  </si>
  <si>
    <t>Engineering, Manufacturing; Operations Research &amp; Management Science</t>
  </si>
  <si>
    <t>Engineering; Operations Research &amp; Management Science</t>
  </si>
  <si>
    <t>5H7IQ</t>
  </si>
  <si>
    <t>WOS:000847933000001</t>
  </si>
  <si>
    <t>Spina, D; Vindigni, G; Pecorino, B; Pappalardo, G; D'Amico, M; Chinnici, G</t>
  </si>
  <si>
    <t>Spina, Daniela; Vindigni, Gabriella; Pecorino, Biagio; Pappalardo, Gioacchino; D'Amico, Mario; Chinnici, Gaetano</t>
  </si>
  <si>
    <t>Identifying Themes and Patterns on Management of Horticultural Innovations with an Automated Text Analysis</t>
  </si>
  <si>
    <t>AGRONOMY-BASEL</t>
  </si>
  <si>
    <t>innovations; management; horticulture; content analysis; data mining</t>
  </si>
  <si>
    <t>URBAN AGRICULTURE; IRRIGATION MANAGEMENT; CLIMATE-CHANGE; FRUIT-FLY; SYSTEMS; SUSTAINABILITY; KNOWLEDGE; ADOPTION; PRODUCTIVITY; STAKEHOLDERS</t>
  </si>
  <si>
    <t>This research provides an overview on horticulture innovations in the last decade through a literature review and the use of a computer qualitative data analysis. We used Leximancer text mining software to identify concepts, themes and pathways linked with horticulture innovations. The software tool enabled us to zoom out to gain a broad perspective of the pooled data, and it indicated which studies clustered around the dominant topic. It displays the extracted information in a visual form, to wit, an interactive concept map, which summaries the interconnected themes and demonstrates any interdependencies. The text mining analysis revealed that the themes strongly related to innovation are water, urban, system, countries and technology. The outputs identified have been interpreted to discover meaning from the content analysis, since the software can facilitate a comprehensive and transparent data coding but cannot replace researcher's interpretive work. Furthermore, we focused on the diffusion and the barriers for the spread of innovation, pointing out the differences about developing and advanced countries. This analysis allows the researcher to have a holistic understanding of the examination area and could lead to further studies.</t>
  </si>
  <si>
    <t>[Spina, Daniela; Vindigni, Gabriella; Pecorino, Biagio; Pappalardo, Gioacchino; D'Amico, Mario; Chinnici, Gaetano] Univ Catania, Dept Agr Food &amp; Environm Di3A, Via S Sofia 98-100, I-95123 Catania, Italy</t>
  </si>
  <si>
    <t>D'Amico, M (corresponding author), Univ Catania, Dept Agr Food &amp; Environm Di3A, Via S Sofia 98-100, I-95123 Catania, Italy.</t>
  </si>
  <si>
    <t>danispina@gmail.com; vindigni@unict.it; pecorino@unict.it; gioacchino.pappalardo@unict.it; mario.damico@unict.it; chinnici@unict.it</t>
  </si>
  <si>
    <t>D'Amico, Mario/F-2992-2017; Chinnici, Gaetano/E-9681-2016; Pappalardo, Gioacchino/F-7624-2016</t>
  </si>
  <si>
    <t>D'Amico, Mario/0000-0001-9411-6714; Chinnici, Gaetano/0000-0002-4728-646X; Pappalardo, Gioacchino/0000-0002-8312-0862; Spina, Daniela/0000-0002-7587-6360</t>
  </si>
  <si>
    <t>project Economic assessments of the sustainability of agri-food systems by UNICT 2016-2018 Piano per la Ricerca. Linea di intervento 2-Seconda annualita P7/WP2 [5A722192141]</t>
  </si>
  <si>
    <t>project Economic assessments of the sustainability of agri-food systems by UNICT 2016-2018 Piano per la Ricerca. Linea di intervento 2-Seconda annualita P7/WP2</t>
  </si>
  <si>
    <t>Cette publication a ete realisee avec le soutien financier de l'Union europeenne dans le cadre du Programme IEV de Cooperation Transfrontaliere Italie-Tunisie 2014-2020 a travers le projet INTEMAR-IS_2.1_073 Innovations dans la lutte integree contre les ravageurs et maladies recemment introduits sur cultures maraicheres. Son contenu releve de la seule responsabilite du beneficiaire principal et ne reflete pas necessairement les opinions de l'Union europeenne et celles de l'Autorite de Gestion (Grant Numbers E64I18002460007). This research was funded by the project Economic assessments of the sustainability of agri-food systems by UNICT 2016-2018 Piano per la Ricerca. Linea di intervento 2-Seconda annualita P7/WP2 (5A722192141). Project leader: Gaetano Chinnici.</t>
  </si>
  <si>
    <t>2073-4395</t>
  </si>
  <si>
    <t>Agronomy-Basel</t>
  </si>
  <si>
    <t>10.3390/agronomy11061103</t>
  </si>
  <si>
    <t>Agronomy; Plant Sciences</t>
  </si>
  <si>
    <t>SY0QF</t>
  </si>
  <si>
    <t>WOS:000665599200001</t>
  </si>
  <si>
    <t>Tornberg, A; Wahlstrom, M</t>
  </si>
  <si>
    <t>Tornberg, Anton; Wahlstrom, Mattias</t>
  </si>
  <si>
    <t>Unveiling the radical right online Exploring framing and identity in an online anti-immigrant discussion group</t>
  </si>
  <si>
    <t>SOCIOLOGISK FORSKNING</t>
  </si>
  <si>
    <t>automated text analysis; online counterpublic; radical right; social media; social movement</t>
  </si>
  <si>
    <t>SOCIAL-MOVEMENT; MEDIA; MOBILIZATION; DISCOURSE; INTERNET; CULTURE; PEGIDA; SPACES</t>
  </si>
  <si>
    <t>Radical right online discussion groups have grown in importance in the Swedish political landscape, yet the dynamics of these groups are still poorly understood. Apart from their topical import, these groups provide a unique entrance to grassroots discourses of the radical right movement and the mechanisms for radical nationalist mobilization. In this paper, we present an analysis of the largest current anti-immigrant online discussion group in Sweden by using a combination of quantitative and qualitative content analysis. We argue that this type of social media group needs to be approached as both a counterpublic within a wider public sphere and as a free social space for social movements. The analysis reveals that the use of external links in the group reflects an active negotiation of frames that both confirm and contradict those of the group, thereby challenging a simplistic understanding of the so-called echo chamber dynamics. A form of collective identity can be discerned, mainly through the opposition to various outgroups and through an implicit form of nationalism expressed through the concern of sacred objects typically perceived to be under threat.</t>
  </si>
  <si>
    <t>[Tornberg, Anton] Univ Gothenburg, Dept Sociol &amp; Work Sci, Box 720, SE-40530 Gothenburg, Sweden; [Wahlstrom, Mattias] Univ Gothenburg, Dept Sociol &amp; Work Sci, Sociol, Gothenburg, Sweden</t>
  </si>
  <si>
    <t>University of Gothenburg; University of Gothenburg</t>
  </si>
  <si>
    <t>Tornberg, A (corresponding author), Univ Gothenburg, Dept Sociol &amp; Work Sci, Box 720, SE-40530 Gothenburg, Sweden.</t>
  </si>
  <si>
    <t>Tornberg, Anton/0000-0002-5847-3033</t>
  </si>
  <si>
    <t>OREBRO</t>
  </si>
  <si>
    <t>HOGSKOLAN I OREBRO, INST SAMHALLSVETENSKAP,, 701 82 OREBRO, SWEDEN</t>
  </si>
  <si>
    <t>0038-0342</t>
  </si>
  <si>
    <t>SOCIOL FORSKNIN</t>
  </si>
  <si>
    <t>Sociol. Forsk.</t>
  </si>
  <si>
    <t>GM2OH</t>
  </si>
  <si>
    <t>WOS:000437926900009</t>
  </si>
  <si>
    <t>Salvatore, S; Gelo, OCG; Gennaro, A; Metrangolo, R; Terrone, G; Pace, V; Venuleo, C; Venezia, A; Ciavolino, E</t>
  </si>
  <si>
    <t>Salvatore, Sergio; Gelo, Omar Carlo Gioacchino; Gennaro, Alessandro; Metrangolo, Roberto; Terrone, Grazia; Pace, Valeria; Venuleo, Claudia; Venezia, Annalisa; Ciavolino, Enrico</t>
  </si>
  <si>
    <t>An automated method of content analysis for psychotherapy research: A further validation</t>
  </si>
  <si>
    <t>PSYCHOTHERAPY RESEARCH</t>
  </si>
  <si>
    <t>ACASM; automated text analysis; thematic analysis; psychotherapy process</t>
  </si>
  <si>
    <t>ASSESSING AXIS II; QUALITATIVE RESEARCH; STATISTICAL POWER; SCALE</t>
  </si>
  <si>
    <t>Objective: The aim of the study is to validate the ability of ACASM (Automated Co-occurrence Analysis for Semantic Mapping) to provide a representation of the content of the therapeutic exchange that is useful for clinical analysis. Method: We compared the clinical case analyses of a good outcome psychodynamic therapy performed by a group of clinicians (n = 5) based on the verbatim transcripts (transcript-based analysis) with the clinical case analyses performed by another group of clinicians (n = 5) based on the ACASM representation of the same sessions (ACASM-based analysis). Comparison concerned two levels: the descriptive level and the interpretative level of the clinical case analysis. Results: Findings showed that, inconsistently with our hypothesis, ACASM-based descriptions of the case obtained worse evaluations than transcript-based descriptions of the case (on all 3 criteria adopted). On the contrary, consistently with our hypothesis, ACASM is undistinguishable from the verbatim transcripts as regards the case interpretation (on 2 out of 3 criteria adopted). Conclusions: ACASM provides a description of the case that, though different from the one provided by the transcripts, enables clinicians to elaborate clinical interpretations of the case which approximate those produced by clinicians working directly on verbatim transcripts.</t>
  </si>
  <si>
    <t>[Salvatore, Sergio; Gelo, Omar Carlo Gioacchino; Gennaro, Alessandro; Venuleo, Claudia; Venezia, Annalisa; Ciavolino, Enrico] Univ Salento, Dept Hist Soc &amp; Human Studies, Lecce, Italy; [Salvatore, Sergio; Gennaro, Alessandro; Metrangolo, Roberto; Pace, Valeria; Venuleo, Claudia] ISBEM, Ctr Studi Psicoterapia &amp; Psicol Salute CESP, Lecce, Italy; [Gelo, Omar Carlo Gioacchino] Sigmund Freud Univ, Dept Psychotherapy Sci, Vienna, Austria; [Terrone, Grazia] Univ Foggia, Dept Human Studies, Foggia, Italy</t>
  </si>
  <si>
    <t>University of Salento; University of Foggia</t>
  </si>
  <si>
    <t>Gelo, OCG (corresponding author), Via Stampacchia 45, I-73100 Lecce, LE, Italy.</t>
  </si>
  <si>
    <t>omar.gelo@unisalento.it</t>
  </si>
  <si>
    <t>Venuleo, Claudia/N-8270-2015; salvatore, sergio/AAB-3177-2021; Gennaro, Alessandro/HDO-0897-2022; Ciavolino, Enrico/D-8904-2011</t>
  </si>
  <si>
    <t>Venuleo, Claudia/0000-0003-2500-1766; salvatore, sergio/0000-0002-4583-8478; Gennaro, Alessandro/0000-0003-3138-9875; TERRONE, GRAZIA/0000-0002-7267-2629; Ciavolino, Enrico/0000-0003-3955-4310; Gelo, Omar Carlo Gioacchino/0000-0003-2480-046X</t>
  </si>
  <si>
    <t>1050-3307</t>
  </si>
  <si>
    <t>1468-4381</t>
  </si>
  <si>
    <t>PSYCHOTHER RES</t>
  </si>
  <si>
    <t>Psychother. Res.</t>
  </si>
  <si>
    <t>10.1080/10503307.2015.1072282</t>
  </si>
  <si>
    <t>EK6DR</t>
  </si>
  <si>
    <t>WOS:000394015700005</t>
  </si>
  <si>
    <t>Neal, MR</t>
  </si>
  <si>
    <t>Stanton, NA</t>
  </si>
  <si>
    <t>Neal, Michael R.</t>
  </si>
  <si>
    <t>Textual Data Collection and Analysis for Human Factors</t>
  </si>
  <si>
    <t>ADVANCES IN HUMAN ASPECTS OF ROAD AND RAIL TRANSPORTATION</t>
  </si>
  <si>
    <t>Advances in Human Factors and Ergonomics Series</t>
  </si>
  <si>
    <t>4th International Conference on Applied Human Factors and Ergonomics (AHFE)</t>
  </si>
  <si>
    <t>JUL 21-25, 2012</t>
  </si>
  <si>
    <t>San Francisco, CA</t>
  </si>
  <si>
    <t>human factors; analysis; text data; survey; conversation; Leximancer</t>
  </si>
  <si>
    <t>Researchers can use novel data collection and analysis methods in research and development to provide additional flexibility and increase insight. Text-based data, in particular, provide an excellent method for the collection of observations about human factors. Voice transcripts, survey comments, and several forms of media can be distilled into textual summary notes or via computer and manual transcription. Surveys can add additional comment sections to allow free-form text input. Additionally, researcher notes, comments, and detailed observations can be captured in free-form text. However, the analysis and understanding of these comments is often difficult to perform. This is especially true when the text data are voluminous and unstructured. This paper will examine two text datasets as examples of collection and analysis methods. The first is spontaneous conversation snippets from UK lorry drivers. The second data set is a contrived questionnaire concerning a new vehicle dashboard display. Graphics, quantitative measurements, and qualitative analysis were generated, and a sentiment lens was enabled to identify positive and negative commentary. Tables were included to illustrate specific insights from the data concerning human factors issues. Finally, notes and commentary describe how to conduct textual data collection and analysis with the automated text analysis software Leximancer.</t>
  </si>
  <si>
    <t>[Neal, Michael R.] Fielding Grad Univ, Arvada, CO USA</t>
  </si>
  <si>
    <t>Neal, MR (corresponding author), Fielding Grad Univ, Arvada, CO USA.</t>
  </si>
  <si>
    <t>mneal@javakats.com</t>
  </si>
  <si>
    <t>CRC PRESS-TAYLOR &amp; FRANCIS GROUP</t>
  </si>
  <si>
    <t>BOCA RATON</t>
  </si>
  <si>
    <t>6000 BROKEN SOUND PARKWAY NW, STE 300, BOCA RATON, FL 33487-2742 USA</t>
  </si>
  <si>
    <t>978-1-4398-7124-9; 978-1-4398-7123-2</t>
  </si>
  <si>
    <t>ADV HUM FACT ERG SER</t>
  </si>
  <si>
    <t>ADV. HUMAN FACT. ERG. SER</t>
  </si>
  <si>
    <t>Engineering, Civil; Ergonomics; Transportation; Transportation Science &amp; Technology</t>
  </si>
  <si>
    <t>Engineering; Transportation</t>
  </si>
  <si>
    <t>BD9SO</t>
  </si>
  <si>
    <t>WOS:000365217000060</t>
  </si>
  <si>
    <t>Menshikova, A; van Tubergen, F</t>
  </si>
  <si>
    <t>Menshikova, Anastasia; van Tubergen, Frank</t>
  </si>
  <si>
    <t>What Drives Anti-Immigrant Sentiments Online? A Novel Approach Using Twitter</t>
  </si>
  <si>
    <t>EUROPEAN SOCIOLOGICAL REVIEW</t>
  </si>
  <si>
    <t>INTERGROUP CONTACT; SOCIAL MEDIA; GROUP THREAT; ATTITUDES; NEWS; PREJUDICE; EXPOSURE; TESTS; SIZE</t>
  </si>
  <si>
    <t>Most studies use survey data to study people's prejudiced views. In a digitally connected world, research is needed on out-group sentiments expressed online. In this study, we show how one can elaborate on existing sociological theories (i.e. group threat theory, contact theory) to test whether anti-immigrant sentiments expressed on Twitter are related to sociological conditions. We introduce and illustrate a new method of collecting data on online sentiments, creating a panel of 28,000 Twitter users in 39 regions in the United Kingdom. We apply automated text analysis to quantify anti-immigrant sentiments of 500,000 tweets over a 1-year period. In line with group threat theory, we find that people tweet more negatively about immigrants in periods following more salient coverage of immigration in the news. We find this association both for national news coverage, and for the salience of immigration in the personalized set of outlets people follow on Twitter. In support of contact theory, we find evidence to suggest that Twitter users living in areas with more non-western immigrants, and those who follow a more ethnically diverse group of people, tweet less negatively about immigrants.</t>
  </si>
  <si>
    <t>[Menshikova, Anastasia] Linkoping Univ, Inst Analyt Sociol, S-60174 Norrkoping, Sweden; [van Tubergen, Frank] Univ Utrecht, Dept Sociol, NL-3584 CH Utrecht, Netherlands; [van Tubergen, Frank] Univ Groningen, KNAW, Netherlands Interdisciplinary Demog Inst NIDI, NL-2511 CV The Hague, Netherlands</t>
  </si>
  <si>
    <t>Linkoping University; Utrecht University; Royal Netherlands Academy of Arts &amp; Sciences; Netherlands Interdisciplinary Demographic Institute (NIDI-KNAW); University of Groningen</t>
  </si>
  <si>
    <t>Menshikova, A (corresponding author), Linkoping Univ, Inst Analyt Sociol, S-60174 Norrkoping, Sweden.</t>
  </si>
  <si>
    <t>anastasia.menshikova@liu.se</t>
  </si>
  <si>
    <t>0266-7215</t>
  </si>
  <si>
    <t>1468-2672</t>
  </si>
  <si>
    <t>EUR SOCIOL REV</t>
  </si>
  <si>
    <t>Eur. Sociol. Rev.</t>
  </si>
  <si>
    <t>NOV 4</t>
  </si>
  <si>
    <t>10.1093/esr/jcac006</t>
  </si>
  <si>
    <t>5X7EU</t>
  </si>
  <si>
    <t>WOS:000792139600001</t>
  </si>
  <si>
    <t>Bail, CA; Brown, TW; Mann, M</t>
  </si>
  <si>
    <t>Bail, Christopher A.; Brown, Taylor W.; Mann, Marcus</t>
  </si>
  <si>
    <t>Channeling Hearts and Minds: Advocacy Organizations, Cognitive-Emotional Currents, and Public Conversation</t>
  </si>
  <si>
    <t>AMERICAN SOCIOLOGICAL REVIEW</t>
  </si>
  <si>
    <t>public deliberation; diffusion; social contagion; emotions; computational social science</t>
  </si>
  <si>
    <t>SOCIAL MEDIA; POLITICAL COMMUNICATION; TOPIC MODELS; CONTAGION; INFORMATION; DIFFUSION; INTERNET; SPREAD; OPPORTUNITIES; PARTICIPATION</t>
  </si>
  <si>
    <t>Do advocacy organizations stimulate public conversation about social problems by engaging in rational debate, or by appealing to emotions? We argue that rational and emotional styles of communication ebb and flow within public discussions about social problems due to the alternating influence of social contagion and saturation effects. These cognitive-emotional currents create an opportunity structure whereby advocacy organizations stimulate more conversation if they produce emotional messages after prolonged rational debate or vice versa. We test this hypothesis using automated text-analysis techniques that measure the frequency of cognitive and emotional language within two advocacy fields on Facebook over 1.5 years, and a web-based application that offered these organizations a complimentary audit of their social media outreach in return for sharing nonpublic data about themselves, their social media audiences, and the broader social context in which they interact. Time-series models reveal strong support for our hypothesis, controlling for 33 confounding factors measured by our Facebook application. We conclude by discussing the implications of our findings for future research on public deliberation, how social contagions relate to each other, and the emerging field of computational social science.</t>
  </si>
  <si>
    <t>[Bail, Christopher A.] Duke Univ, Sociol &amp; Publ Policy, Durham, NC 27708 USA; [Brown, Taylor W.; Mann, Marcus] Duke Univ, Sociol, Durham, NC 27708 USA</t>
  </si>
  <si>
    <t>Duke University; Duke University</t>
  </si>
  <si>
    <t>Bail, CA (corresponding author), Duke Univ, 254 Soc Psych Bldg, Durham, NC 27708 USA.</t>
  </si>
  <si>
    <t>christopher.bail@duke.edu</t>
  </si>
  <si>
    <t>National Science Foundation [1357223]; Robert Wood Johnson Foundation; Amazon</t>
  </si>
  <si>
    <t>National Science Foundation(National Science Foundation (NSF)); Robert Wood Johnson Foundation(Robert Wood Johnson Foundation (RWJF)); Amazon</t>
  </si>
  <si>
    <t>This research was made possible by the National Science Foundation (Grant # 1357223), The Robert Wood Johnson Foundation, and Amazon.</t>
  </si>
  <si>
    <t>0003-1224</t>
  </si>
  <si>
    <t>1939-8271</t>
  </si>
  <si>
    <t>AM SOCIOL REV</t>
  </si>
  <si>
    <t>Am. Sociol. Rev.</t>
  </si>
  <si>
    <t>10.1177/0003122417733673</t>
  </si>
  <si>
    <t>FM6KO</t>
  </si>
  <si>
    <t>WOS:000415161300004</t>
  </si>
  <si>
    <t>Psychological trauma and emotional upheaval as revealed in academic writing: The case of COVID-19</t>
  </si>
  <si>
    <t>COGNITION &amp; EMOTION</t>
  </si>
  <si>
    <t>Trauma; emotional upheaval; psychological distress; automated text analysis; COVID-19</t>
  </si>
  <si>
    <t>LANGUAGE USE; RESILIENCE; POLITICS; CRISES; WORDS; SELF</t>
  </si>
  <si>
    <t>The current paper used a preregistered set of language dimensions to indicate how scientists psychologically managed the COVID-19 pandemic and its effects. Study 1 evaluated over 1.8 million preprints from arXiv.org and assessed how papers written during the COVID-19 pandemic reflected patterns of psychological trauma and emotional upheaval compared to those written before the pandemic. The data suggest papers written during the pandemic contained more affect and more cognitive processing terms to indicate writers working through a crisis than papers written before the pandemic. Study 2 (N = 74,744 published PLoS One papers) observed consistent emotion results, though cognitive processing patterns were inconsistent. Papers written specifically about COVID-19 contained more emotion than those not written about COVID-19. Finally, Study 3 (N = 361,189 published papers) replicated the Study 2 emotion results across more diverse journals and observed papers written during the pandemic contained a greater rate of cognitive processing terms, but a lower rate of analytic thinking, than papers written before the pandemic. These data suggest emotional upheavals are associated with psychological correlates reflected in the language of scientists at scale. Implications for psychology of language research and trauma are discussed.</t>
  </si>
  <si>
    <t>0269-9931</t>
  </si>
  <si>
    <t>1464-0600</t>
  </si>
  <si>
    <t>COGNITION EMOTION</t>
  </si>
  <si>
    <t>Cogn. Emot.</t>
  </si>
  <si>
    <t>10.1080/02699931.2021.2022602</t>
  </si>
  <si>
    <t>YO7QQ</t>
  </si>
  <si>
    <t>WOS:000735810500001</t>
  </si>
  <si>
    <t>Song, X</t>
  </si>
  <si>
    <t>Song, Xi</t>
  </si>
  <si>
    <t>Understanding subjective inequality in China</t>
  </si>
  <si>
    <t>INCOME INEQUALITY; UNITED-STATES; SOCIAL-STRATIFICATION; RISING INEQUALITY; WAGE INEQUALITY; MEDIA BIAS; NEWS; OPPORTUNITY; EQUALITY; EARNINGS</t>
  </si>
  <si>
    <t>Rising income inequality is a critical global problem that has rapidly accelerated over the past two decades. Yet most people in China are misinformed about inequality because of the government's control over media via propaganda and censorship. This paper examines how rising inequality is perceived, publicized, and interpreted in contemporary China, where reporting on inequality is actively framed and consumed in the interests of political stability. Combining automated text analysis of millions of news articles and social media data and metric methods for survey questions on individuals' attitudes, beliefs, and opinions, I test the formation of public misperception of inequality through two interlocking processes. First, during the production of news, Chinese media suppresses and selectively covers some topics related to inequality. Specifically, media outlets under tighter government control tend to cover more news on Chinese political, rural-urban, and historical inequality, and they focus less on educational and economic inequality and western politics. Second, Chinese media also affects individuals' perceptions about inequality during the consumption of news. Users of state-owned media tend to underestimate the level of inequality compared with users of marketized or social media. These findings call attention to the political roots of the gap between real and perceived inequality.</t>
  </si>
  <si>
    <t>[Song, Xi] Univ Penn, Dept Sociol, 353 McNeil Bldg,3718 Locust Walk, Philadelphia, PA 19104 USA</t>
  </si>
  <si>
    <t>University of Pennsylvania</t>
  </si>
  <si>
    <t>Song, X (corresponding author), Univ Penn, Dept Sociol, 353 McNeil Bldg,3718 Locust Walk, Philadelphia, PA 19104 USA.</t>
  </si>
  <si>
    <t>xisong@upenn.edu</t>
  </si>
  <si>
    <t>10.1093/esr/jcac047</t>
  </si>
  <si>
    <t>5N1WK</t>
  </si>
  <si>
    <t>WOS:000871580200001</t>
  </si>
  <si>
    <t>Reveilhac, M; Morselli, D</t>
  </si>
  <si>
    <t>Reveilhac, Maud; Morselli, Davide</t>
  </si>
  <si>
    <t>Dictionary-based and machine learning classification approaches: a comparison for tonality and frame detection on Twitter data</t>
  </si>
  <si>
    <t>Text analysis; dictionary-based approach; machine learning; democracy frames; tonality detection</t>
  </si>
  <si>
    <t>SOCIAL MEDIA; TEXT</t>
  </si>
  <si>
    <t>Automated text analysis methods have made it possible to classify large corpora of text by measures such as frames and tonality, with a growing popularity in social, political and psychological science. These methods often demand a training dataset of sufficient size to generate accurate models that can be applied to unseen texts. In practice, however, there are no clear recommendations about how big the training samples should be. This issue becomes especially acute when dealing with texts skewed toward categories and when researchers cannot afford large samples of annotated texts. Leveraging on the case of support for democracy, we provide a guide to help researchers navigate decisions when producing measures of tonality and frames from a small sample of annotated social media posts. We find that supervised machine learning algorithms outperform dictionaries for tonality classification tasks. However, custom dictionaries are useful complements of these algorithms when identifying latent democracy dimensions in social media messages, especially as the method of elaborating these dictionaries is guided by word embedding techniques and human validation. Therefore, we provide easily implementable recommendations to increase estimation accuracy under non-optimal condition.</t>
  </si>
  <si>
    <t>[Reveilhac, Maud] Lausanne Univ, Fac Social &amp; Polit Sci, Life Course, Inst Social Sci, Lausanne, Switzerland; Lausanne Univ, Social Inequal Res Ctr, Lausanne, Switzerland</t>
  </si>
  <si>
    <t>University of Lausanne; University of Lausanne</t>
  </si>
  <si>
    <t>Reveilhac, M (corresponding author), Lausanne Univ, Fac Social &amp; Polit Sci, Life Course, Inst Social Sci, Lausanne, Switzerland.</t>
  </si>
  <si>
    <t>maud.reveilhac@unil.ch</t>
  </si>
  <si>
    <t>10.1080/2474736X.2022.2029217</t>
  </si>
  <si>
    <t>YQ5AX</t>
  </si>
  <si>
    <t>WOS:000749321700001</t>
  </si>
  <si>
    <t>Brandes, L; Dover, Y</t>
  </si>
  <si>
    <t>Brandes, Leif; Dover, Yaniv</t>
  </si>
  <si>
    <t>Offline Context Affects Online Reviews: The Effect of Post-Consumption Weather</t>
  </si>
  <si>
    <t>online reviews; weather; mood; user-generated content; context effect; automated text analysis</t>
  </si>
  <si>
    <t>WORD-OF-MOUTH; FIELD EVIDENCE; PRODUCT; MOOD; IMPACT; MOBILE; BIAS; CONVERSATIONS; EXPERIENCE; VARIABLES</t>
  </si>
  <si>
    <t>This empirical study investigates whether unpleasant weather-a prominent aspect of a consumer's offline environment-influences online review provision and content. It uses a unique dataset that combines 12 years of data on hotel bookings and reviews, with weather condition information at a consumer's home and hotel address. The results show that bad weather increases review provision and reduces rating scores for past consumption experiences. Moreover, 6.5% more reviews are written on rainy days and that these reviews are 0.1 points lower, accounting for 59% of the difference in average rating scores between four- and five-star hotels in our data. These results are consistent with a scenario in which bad weather (i) induces negative consumer mood, lowering rating scores, and (ii) makes consumers less time-constrained, which increases review provision. Additional analyses with various automated sentiment measures for almost 300,000 review texts support this scenario: reviews on rainy days show a significant reduction in reviewer positivity and happiness, yet are longer and more detailed. This study demonstrates that offline context influences online reviews, and discusses how platforms and businesses should include contextual information in their review management approaches.</t>
  </si>
  <si>
    <t>[Brandes, Leif] Univ Lucerne, Mkt &amp; Strategy, Fac Econ &amp; Management, Frohburgstr 3, CH-6002 Luzern, Switzerland; [Dover, Yaniv] Hebrew Univ Jerusalem, Mkt, Jerusalem Business Sch, Mt Scopus Campus 5114, IL-91905 Jerusalem, Israel; [Dover, Yaniv] Federmann Ctr Study Rational, Edmond J Safra Campus, IL-91904 Jerusalem, Israel</t>
  </si>
  <si>
    <t>University of Lucerne; Hebrew University of Jerusalem</t>
  </si>
  <si>
    <t>Brandes, L (corresponding author), Univ Lucerne, Mkt &amp; Strategy, Fac Econ &amp; Management, Frohburgstr 3, CH-6002 Luzern, Switzerland.;Dover, Y (corresponding author), Hebrew Univ Jerusalem, Mkt, Jerusalem Business Sch, Mt Scopus Campus 5114, IL-91905 Jerusalem, Israel.;Dover, Y (corresponding author), Federmann Ctr Study Rational, Edmond J Safra Campus, IL-91904 Jerusalem, Israel.</t>
  </si>
  <si>
    <t>leif.brandes@unilu.ch; yaniv.dover@mail.huji.ac.il</t>
  </si>
  <si>
    <t>NOV 14</t>
  </si>
  <si>
    <t>10.1093/jcr/ucac003</t>
  </si>
  <si>
    <t>6I4NQ</t>
  </si>
  <si>
    <t>WOS:000764219200001</t>
  </si>
  <si>
    <t>Kumar, P; Gruzd, A; Mai, P</t>
  </si>
  <si>
    <t>Kumar, Priya; Gruzd, Anatoliy; Mai, Philip</t>
  </si>
  <si>
    <t>Mapping out Violence Against Women of Influence on Twitter Using the Cyber-Lifestyle Routine Activity Theory</t>
  </si>
  <si>
    <t>gender; online harassment; violence against women; social media; content analysis; social network analysis; India; Twitter</t>
  </si>
  <si>
    <t>The study applies and expands the routine activity theory to examine the dynamics of online harassment and violence against women on Twitter in India. We collected 931,363 public tweets (original posts and replies) over a period of 1 month that mentioned at least one of 101 influential women in India. By undertaking both manual and automated text analysis of hateful tweets, we identified three broad types of violence experienced by women of influence on Twitter: dismissive insults, ethnoreligious slurs, and gendered sexual harassment. The analysis also revealed different types of individually motivated offenders: news junkies, Bollywood fanatics, and lone-wolves, who do not characteristically engage in direct targeted attacks against a single person. Finally, we question the effectiveness of Twitter's form of guardianship against online violence against women, as we found that a year after our initial data collection in 2017, only 22% of hostile posts with explicit forms of harassment have been deleted. We conclude that in the social media age, online and offline public spheres overlap and intertwine, requiring improved regulatory approaches, policies, and moderation tools of capable guardianship that empower women to actively participate in public life.</t>
  </si>
  <si>
    <t>[Kumar, Priya] Ryerson Univ, Ted Rogers Sch Management, Social Media Lab, Toronto, ON, Canada; [Gruzd, Anatoliy] Ryerson Univ, Privacy Preserving Digital Technol, Toronto, ON, Canada; [Gruzd, Anatoliy] Ryerson Univ, Ted Rogers Sch Informat Technol Management, 350 Victoria St, Toronto, ON M5B 2K3, Canada; [Gruzd, Anatoliy] Ryerson Univ, Res, Social Media Lab, Toronto, ON, Canada; [Mai, Philip] Ryerson Univ, Social Media Lab, Business &amp; Commun, Ted Rogers Sch Management, Toronto, ON, Canada; [Mai, Philip] Ryerson Univ, Int Conf Social Media &amp; Soc, Toronto, ON, Canada</t>
  </si>
  <si>
    <t>Toronto Metropolitan University; Toronto Metropolitan University; Toronto Metropolitan University; Toronto Metropolitan University; Toronto Metropolitan University; Toronto Metropolitan University</t>
  </si>
  <si>
    <t>Gruzd, A (corresponding author), Ryerson Univ, Ted Rogers Sch Informat Technol Management, 350 Victoria St, Toronto, ON M5B 2K3, Canada.</t>
  </si>
  <si>
    <t>gruzd@ryerson.ca</t>
  </si>
  <si>
    <t>Global Affairs Canada and Social Sciences and Humanities Research Council of Canada</t>
  </si>
  <si>
    <t>The author(s) disclosed receipt of the following financial support for the research, authorship, and/or publication of this article: The research is supported in part by funding from Global Affairs Canada and Social Sciences and Humanities Research Council of Canada (PI: Gruzd).</t>
  </si>
  <si>
    <t>10.1177/0002764221989777</t>
  </si>
  <si>
    <t>RM3CO</t>
  </si>
  <si>
    <t>WOS:000631223200001</t>
  </si>
  <si>
    <t>Jaros, K; Pan, J</t>
  </si>
  <si>
    <t>Jaros, Kyle; Pan, Jennifer</t>
  </si>
  <si>
    <t>China's Newsmakers: Official Media Coverage and Political Shifts in the Xi Jinping Era</t>
  </si>
  <si>
    <t>CHINA QUARTERLY</t>
  </si>
  <si>
    <t>media; newspapers; Xi Jinping; text analysis; China</t>
  </si>
  <si>
    <t>Xi Jinping's rise to power in late 2012 brought immediate political realignments in China, but the extent of these shifts has remained unclear. In this paper, we evaluate whether the perceived changes associated with Xi Jinping's ascent - increased personalization of power, centralization of authority, Party dominance and anti-Western sentiment - were reflected in the content of provincial-level official media. As past research makes clear, media in China have strong signalling functions, and media coverage patterns can reveal which actors are up and down in politics. Applying innovations in automated text analysis to nearly two million newspaper articles published between 2011 and 2014, we identify and tabulate the individuals and organizations appearing in official media coverage in order to help characterize political shifts in the early years of Xi Jinping's leadership. We find substantively mixed and regionally varied trends in the media coverage of political actors, qualifying the prevailing picture of China's new normal. Provincial media coverage reflects increases in the personalization and centralization of political authority, but we find a drop in the media profile of Party organizations and see uneven declines in the media profile of foreign actors. More generally, we highlight marked variation across provinces in coverage trends.</t>
  </si>
  <si>
    <t>[Jaros, Kyle] Univ Oxford, Polit Econ China, Oxford, England; [Pan, Jennifer] Stanford Univ, Commun, Stanford, CA 94305 USA; [Pan, Jennifer] Stanford Univ, Polit Sci &amp; Sociol, Stanford, CA 94305 USA</t>
  </si>
  <si>
    <t>University of Oxford; Stanford University; Stanford University</t>
  </si>
  <si>
    <t>Pan, J (corresponding author), Stanford Univ, Commun, Stanford, CA 94305 USA.;Pan, J (corresponding author), Stanford Univ, Polit Sci &amp; Sociol, Stanford, CA 94305 USA.</t>
  </si>
  <si>
    <t>kyle.jaros@area.ox.ac.uk; jp1@stanford.edu</t>
  </si>
  <si>
    <t>0305-7410</t>
  </si>
  <si>
    <t>1468-2648</t>
  </si>
  <si>
    <t>CHINA QUART</t>
  </si>
  <si>
    <t>China Q.</t>
  </si>
  <si>
    <t>10.1017/S0305741017001679</t>
  </si>
  <si>
    <t>Area Studies</t>
  </si>
  <si>
    <t>GA9GY</t>
  </si>
  <si>
    <t>WOS:000428650500006</t>
  </si>
  <si>
    <t>King, G; Lam, P; Roberts, ME</t>
  </si>
  <si>
    <t>King, Gary; Lam, Patrick; Roberts, Margaret E.</t>
  </si>
  <si>
    <t>Computer-Assisted Keyword and Document Set Discovery from Unstructured Text</t>
  </si>
  <si>
    <t>INFORMATION-RETRIEVAL; CLASSIFICATION; COVERAGE; MEDIA</t>
  </si>
  <si>
    <t>The (unheralded) first step in many applications of automated text analysis involves selecting keywords to choose documents from a large text corpus for further study. Although all substantive results depend on this choice, researchers usually pick keywords in ad hoc ways that are far from optimal and usually biased. Most seem to think that keyword selection is easy, since they do Google searches every day, but we demonstrate that humans perform exceedingly poorly at this basic task. We offer a better approach, one that also can help with following conversations where participants rapidly innovate language to evade authorities, seek political advantage, or express creativity; generic web searching; eDiscovery; look-alike modeling; industry and intelligence analysis; and sentiment and topic analysis. We develop a computer-assisted (as opposed to fully automated or human-only) statistical approach that suggests keywords from available text without needing structured data as inputs. This framing poses the statistical problem in a new way, which leads to a widely applicable algorithm. Our specific approach is based on training classifiers, extracting information from (rather than correcting) their mistakes, and summarizing results with easy-to-understand Boolean search strings. We illustrate how the technique works with analyses of English texts about the Boston Marathon bombings, Chinese social media posts designed to evade censorship, and others.</t>
  </si>
  <si>
    <t>[King, Gary] Harvard Univ, Inst Quantitat Social Sci, 1737 Cambridge St, Cambridge, MA 02138 USA; [Lam, Patrick] Thresher, Dudley, England; [Roberts, Margaret E.] Univ Calif San Diego, Dept Polit Sci, Social Sci Bldg 301,9500 Gilman Dr,0521, La Jolla, CA 92093 USA</t>
  </si>
  <si>
    <t>Harvard University; University of California System; University of California San Diego</t>
  </si>
  <si>
    <t>King, G (corresponding author), Harvard Univ, Inst Quantitat Social Sci, 1737 Cambridge St, Cambridge, MA 02138 USA.</t>
  </si>
  <si>
    <t>King@Harvard.edu; patrick@thresher.io; meroberts@ucsd.edu</t>
  </si>
  <si>
    <t>10.1111/ajps.12291</t>
  </si>
  <si>
    <t>FK8OM</t>
  </si>
  <si>
    <t>WOS:000413768100014</t>
  </si>
  <si>
    <t>Schirmer, A; Chiu, MH; Croy, I</t>
  </si>
  <si>
    <t>Schirmer, Annett; Chiu, Man Hey; Croy, Ilona</t>
  </si>
  <si>
    <t>More Than One Kind: Different Sensory Signatures and Functions Divide Affectionate Touch</t>
  </si>
  <si>
    <t>EMOTION</t>
  </si>
  <si>
    <t>social touch; emotion regulation; C-tactile; somatosensory; affective touch</t>
  </si>
  <si>
    <t>C-TACTILE AFFERENTS; UNMYELINATED AFFERENTS; EMOTION; STROKING; COMMUNICATION; METAANALYSIS; INFORMATION; GENDER; SYSTEM; LIGHT</t>
  </si>
  <si>
    <t>The study of affectionate touch centers on gentle stroking. Yet friendly physical contact entails other actions, such as embracing, holding, kissing, leaning, petting, squeezing, or tickling. Here, we probed whether these actions are redundant or can be meaningfully differentiated by asking participants (N = 161) to complete a few tasks for each action. Coloring of body maps emphasized touching of upper body hairy and glabrous skin, contrary to the notion that only the former is relevant in affectionate touch. A linear discriminant analysis categorized colorings with 91% accuracy, showing that each touch action has a unique somatosensory topography. Automated text analysis of open-ended situational descriptions revealed touch-specific affective contexts that concerned one's own or the other's feelings and could be both positive and negative. Last, the touch actions differed in their self-reported comfort and frequency as a function of the closeness of interaction partners. Thus, rather than being redundant, affectionate touch actions are highly differentiated in terms of their somatosensory and socioaffective processes. Moreover, their differential patterns suggest that they each play a unique regulatory role for the toucher, the touchee, and their relationship.</t>
  </si>
  <si>
    <t>[Schirmer, Annett; Chiu, Man Hey] Chinese Univ Hong Kong, Dept Psychol, Hong Kong, Peoples R China; [Schirmer, Annett] Chinese Univ Hong Kong, Brain &amp; Mind Inst, Hong Kong, Peoples R China; [Croy, Ilona] Tech Univ Dresden, Dept Psychotherapy &amp; Psychosomat Med, Univ Hosp Dresden, Dresden, Germany</t>
  </si>
  <si>
    <t>Chinese University of Hong Kong; Chinese University of Hong Kong; Technische Universitat Dresden; Carl Gustav Carus University Hospital</t>
  </si>
  <si>
    <t>Schirmer, A (corresponding author), Chinese Univ Hong Kong, Dept Psychol, Shatin, 3rd Floor,Sino Bldg, Hong Kong 01307, Peoples R China.</t>
  </si>
  <si>
    <t>schirmer@cuhk.edu.hk</t>
  </si>
  <si>
    <t>Schirmer, Annett/0000-0003-1474-2788; Croy, Ilona/0000-0002-0361-5559</t>
  </si>
  <si>
    <t>Humanities and Social Sciences Prestigious Fellowship Scheme [34000219]; Research Grants Council of Hong Kong</t>
  </si>
  <si>
    <t>Humanities and Social Sciences Prestigious Fellowship Scheme; Research Grants Council of Hong Kong(Hong Kong Research Grants Council)</t>
  </si>
  <si>
    <t>This research was supported by the Humanities and Social Sciences Prestigious Fellowship Scheme (34000219) awarded to Annett Schirmer by the Research Grants Council of Hong Kong.</t>
  </si>
  <si>
    <t>1528-3542</t>
  </si>
  <si>
    <t>1931-1516</t>
  </si>
  <si>
    <t>Emotion</t>
  </si>
  <si>
    <t>10.1037/emo0000966</t>
  </si>
  <si>
    <t>XL4ZP</t>
  </si>
  <si>
    <t>WOS:000728153900017</t>
  </si>
  <si>
    <t>Colville, S; Steen, J; Gosine, R</t>
  </si>
  <si>
    <t>Colville, Shannon; Steen, John; Gosine, Raymond</t>
  </si>
  <si>
    <t>Do public review processes reflect public input? A study of hydraulic fracturing reviews in Australia and Canada</t>
  </si>
  <si>
    <t>ENERGY POLICY</t>
  </si>
  <si>
    <t>Hydraulic fracturing; Computer-aided text analysis; Leximancer; Public consultation; Inquiry reports</t>
  </si>
  <si>
    <t>UNITED-KINGDOM; LEXIMANCER; PARTICIPATION; PERSPECTIVES; PERCEPTION; GOVERNANCE; ENGAGEMENT; FRACKING; SOFTWARE; SCIENCE</t>
  </si>
  <si>
    <t>High volume hydraulic fracturing (HVHF) is a contentious issue worldwide. It is a crucial policy issue due to its significant impact on multiple stakeholders and, as a result, requires extensive public consultation and exposure. One process deployed in some liberal democracies to address this controversy is forming an independent expert review panel to receive public submissions and then prepare a report for policymakers. Our paper investigated how closely the review panel reports reflect and weigh the public submissions and to explore the subjects in which there is agreement or disagreement across the various reports. This study used the Leximancer automated text analysis software to compare key themes in the sub-national reports and public submissions. We find a consistent pattern across jurisdictions of public submissions reflecting health and environment while official reports focus on industry and economic development. There is a wide range of congruency between the jurisdictions on the capacity of the expert reports to reflect public opinion. Following from this divergence, we aim to contribute to more meaningful discussions regarding effective communication strategies between the government and the public to ensure review panel reports fairly represent public concerns.</t>
  </si>
  <si>
    <t>[Colville, Shannon] Univ Queensland, Brisbane, Qld 4072, Australia; [Steen, John] Univ British Columbia, Vancouver, BC V6T 1Z4, Canada; [Gosine, Raymond] Mem Univ Newfoundland, St John, NF A1C 5S7, Canada</t>
  </si>
  <si>
    <t>University of Queensland; University of British Columbia; Memorial University Newfoundland</t>
  </si>
  <si>
    <t>Steen, J (corresponding author), Univ British Columbia, Vancouver, BC V6T 1Z4, Canada.</t>
  </si>
  <si>
    <t>s.colville@business.uq.edu.au; john.steen@ubc.ca; rgosine@mun.ca</t>
  </si>
  <si>
    <t>0301-4215</t>
  </si>
  <si>
    <t>1873-6777</t>
  </si>
  <si>
    <t>ENERG POLICY</t>
  </si>
  <si>
    <t>Energy Policy</t>
  </si>
  <si>
    <t>10.1016/j.enpol.2021.112303</t>
  </si>
  <si>
    <t>Economics; Energy &amp; Fuels; Environmental Sciences; Environmental Studies</t>
  </si>
  <si>
    <t>Business &amp; Economics; Energy &amp; Fuels; Environmental Sciences &amp; Ecology</t>
  </si>
  <si>
    <t>SV1KQ</t>
  </si>
  <si>
    <t>WOS:000663584500003</t>
  </si>
  <si>
    <t>Huang, ZB; Yang, ZS; Meng, TG</t>
  </si>
  <si>
    <t>Huang, Zhongbin; Yang, Zesen; Meng, Tianguang</t>
  </si>
  <si>
    <t>National Identity of Locality: The State, Patriotism, and Nationalism in Cyber China</t>
  </si>
  <si>
    <t>National identity; Nationalism; Patriotism; State Capacity; Social Media</t>
  </si>
  <si>
    <t>GLOBALIZATION; IMMIGRATION; EDUCATION; ACTIVISTS; COUNTRIES; CAPACITY; OUTGROUP; CANADA; TRUST; JAPAN</t>
  </si>
  <si>
    <t>National identity is the cognition of citizens regarding to which political community they belong, and the tendency to accept the political, cultural and ethnic values of the state. Previous studies have found that national identity is heterogeneous at the subnational levels. Why do people hold different degrees of nationalism and patriotism in the subnational units? In this paper, we offer a political economic explanation of national identity, which links the state capacity with political attitudes. We employ a nationalism-patriotism framework to decompose the concept of national identity, then use the supervised learning approach to measure nationalism and patriotism based on a massive number of Weibo posts dating from 2011 to 2017. Automated text analysis shows that the state capacity plays an important role preventing the national identity from being weakened by globalization and the diversity of social information. Specifically, with the progress of China's globalization, multiculturalism and various information have crossed the national boundaries, which undermines China's national identity. In order to maintain this identity, the Chinese government utilizes its redistribution capacity to reinforce both nationalism and patriotism, and also its information capacity to strengthen nationalism.</t>
  </si>
  <si>
    <t>[Huang, Zhongbin; Yang, Zesen; Meng, Tianguang] Tsinghua Univ, Dept Polit Sci, 130 Mingzhai,1 Tsinghua Yuan, Beijing 100084, Peoples R China</t>
  </si>
  <si>
    <t>Tsinghua University</t>
  </si>
  <si>
    <t>Meng, TG (corresponding author), Tsinghua Univ, Dept Polit Sci, 130 Mingzhai,1 Tsinghua Yuan, Beijing 100084, Peoples R China.</t>
  </si>
  <si>
    <t>maxmeng@tsinghua.edu.cn</t>
  </si>
  <si>
    <t>10.1007/s11366-022-09820-4</t>
  </si>
  <si>
    <t>2G4PD</t>
  </si>
  <si>
    <t>WOS:000813577900001</t>
  </si>
  <si>
    <t>Allen, LK; Dascalu, M; McNamara, DS; Crossley, SA; Trausan-Matu, S</t>
  </si>
  <si>
    <t>Chova, LG; Martinez, AL; Torres, IC</t>
  </si>
  <si>
    <t>Allen, Laura K.; Dascalu, Mihai; McNamara, Danielle S.; Crossley, Scott A.; Trausan-Matu, Stefan</t>
  </si>
  <si>
    <t>MODELING INDIVIDUAL DIFFERENCES AMONG WRITERS USING READERBENCH</t>
  </si>
  <si>
    <t>EDULEARN16: 8TH INTERNATIONAL CONFERENCE ON EDUCATION AND NEW LEARNING TECHNOLOGIES</t>
  </si>
  <si>
    <t>EDULEARN Proceedings</t>
  </si>
  <si>
    <t>8th International Conference on Education and New Learning Technologies (EDULEARN)</t>
  </si>
  <si>
    <t>JUL 04-06, 2016</t>
  </si>
  <si>
    <t>Barcelona, SPAIN</t>
  </si>
  <si>
    <t>Writing skill; automated writing evaluation; comprehension prediction; vocabulary measures; natural language processing</t>
  </si>
  <si>
    <t>The current study builds upon a previous study, which examined the degree to which the lexical properties of students' essays could predict their vocabulary scores. We expand on this previous research by incorporating new natural language processing indices related to both the surface-and discourse-levels of students' essays. Additionally, we investigate the degree to which these NLP indices can be used to account for variance in students' reading comprehension skills. We calculated linguistic essay features using our framework, ReaderBench, which is an automated text analysis tools that calculates indices related to linguistic and rhetorical features of text. University students (n = 108) produced timed (25 minutes), argumentative essays, which were then analyzed by ReaderBench. Additionally, they completed the Gates-MacGinitie Vocabulary and Reading Comprehension tests. The results of this study indicated that two indices were able to account for 32.4% of the variance in vocabulary scores and 31.6% of the variance in reading comprehension scores. Follow-up analyses revealed that these models further improved when only considering essays that contained multiple paragraph (R-2 values =.61 and.49, respectively). Overall, the results of the current study suggest that natural language processing techniques can help to inform models of individual differences among student writers.</t>
  </si>
  <si>
    <t>[Allen, Laura K.; McNamara, Danielle S.] Arizona State Univ, Tempe, AZ 85287 USA; [Dascalu, Mihai; Trausan-Matu, Stefan] Univ Politehn Bucuresti, Bucharest, Romania; [Crossley, Scott A.] Georgia State Univ, Atlanta, GA 30303 USA</t>
  </si>
  <si>
    <t>Arizona State University; Arizona State University-Tempe; Polytechnic University of Bucharest; University System of Georgia; Georgia State University</t>
  </si>
  <si>
    <t>Allen, LK (corresponding author), Arizona State Univ, Tempe, AZ 85287 USA.</t>
  </si>
  <si>
    <t>Dascalu, Mihai/O-4984-2014; Trausan-Matu, Stefan/E-6411-2011</t>
  </si>
  <si>
    <t>Dascalu, Mihai/0000-0002-4815-9227; Trausan-Matu, Stefan/0000-0001-8082-8497</t>
  </si>
  <si>
    <t>Institute of Education Sciences, U.S. Department of Education [R305A080589];  [FP7 208-212578 LTfLL];  [644187 RAGE H2020-ICT-2014]</t>
  </si>
  <si>
    <t xml:space="preserve">Institute of Education Sciences, U.S. Department of Education(US Department of Education); ; </t>
  </si>
  <si>
    <t>The research reported here was partially supported by FP7 208-212578 LTfLL project, by the 644187 RAGE H2020-ICT-2014, as well as by the Institute of Education Sciences, U.S. Department of Education, through Grant R305A080589 to Arizona State University.</t>
  </si>
  <si>
    <t>IATED-INT ASSOC TECHNOLOGY EDUCATION &amp; DEVELOPMENT</t>
  </si>
  <si>
    <t>VALENICA</t>
  </si>
  <si>
    <t>LAURI VOLPI 6, VALENICA, BURJASSOT 46100, SPAIN</t>
  </si>
  <si>
    <t>2340-1117</t>
  </si>
  <si>
    <t>978-84-608-8860-4</t>
  </si>
  <si>
    <t>EDULEARN PROC</t>
  </si>
  <si>
    <t>Education &amp; Educational Research; Education, Scientific Disciplines</t>
  </si>
  <si>
    <t>BH7TE</t>
  </si>
  <si>
    <t>WOS:000402955905042</t>
  </si>
  <si>
    <t>Walker, SG; Schafer, M</t>
  </si>
  <si>
    <t>Walker, Stephen G.; Schafer, Mark</t>
  </si>
  <si>
    <t>Theodore roosevelt and Woodrow Wilson as cultural icons of US Foreign policy</t>
  </si>
  <si>
    <t>Theodore Roosevelt; Woodrow Wilson; strategic culture; belief systems; operational code</t>
  </si>
  <si>
    <t>OPERATIONAL CODE ANALYSIS; INTERNATIONAL-RELATIONS; BELIEF SYSTEMS; STRATEGY</t>
  </si>
  <si>
    <t>The conventional account of American diplomacy in the modern era is marked by a cultural tension between realist and idealist themes symbolized by the statecraft of Theodore Roosevelt and Woodrow Wilson. However, a revisionist account has emerged to challenge and even reverse the conventional account of Roosevelt and Wilson. This poses an intriguing empirical puzzle that is essentially psychological, as it pertains to the belief systems of these two presidents. In order to investigate this puzzle and its implications for U.S. strategic culture, we employ an automated content analysis of the public statements by the two leaders regarding their operational code beliefs about the nature of the political universe and the best approach to effective political action. The results reveal similarities and differences in their belief systems and illustrate how psychological models can provide insights into the psychocultural origins of U.S. diplomacy that remain relevant to the present day.</t>
  </si>
  <si>
    <t>Arizona State Univ, Dept Polit Sci, Tempe, AZ 85287 USA; Louisiana State Univ, Baton Rouge, LA 70803 USA</t>
  </si>
  <si>
    <t>Arizona State University; Arizona State University-Tempe; Louisiana State University System; Louisiana State University</t>
  </si>
  <si>
    <t>Walker, SG (corresponding author), Arizona State Univ, Dept Polit Sci, Tempe, AZ 85287 USA.</t>
  </si>
  <si>
    <t>stephen.walker@asu.edu</t>
  </si>
  <si>
    <t>10.1111/j.1467-9221.2007.00602.x</t>
  </si>
  <si>
    <t>225LR</t>
  </si>
  <si>
    <t>WOS:000250519900005</t>
  </si>
  <si>
    <t>Diessner, S; Lisi, G</t>
  </si>
  <si>
    <t>Diessner, Sebastian; Lisi, Giulio</t>
  </si>
  <si>
    <t>Masters of the 'masters of the universe'? Monetary, fiscal and financial dominance in the Eurozone</t>
  </si>
  <si>
    <t>SOCIO-ECONOMIC REVIEW</t>
  </si>
  <si>
    <t>financial markets; financial crisis; political economy; government; strategic interactions</t>
  </si>
  <si>
    <t>CENTRAL BANK INDEPENDENCE; EUROPEAN CENTRAL BANK; POLITICAL-ECONOMY; SOVEREIGN DEBT; POLICY; CRISIS; ECB; COMMUNICATION; TRANSPARENCY; INSTITUTIONS</t>
  </si>
  <si>
    <t>The rise of central bankers to the status of new 'masters of the universe' has been matched by mounting allegations of political overreach. In the Eurozone, for instance, the European Central Bank has increasingly been accused of straying into the fiscal realm. Why do politically independent central banks engage intensely and publicly with government policies, thereby threatening the neat separation between monetary and fiscal policy that was meant to protect central banks themselves from interference? While existing political economy accounts have focused squarely on the issues of government debt and central bankers' fears of fiscal dominance, we argue for the emerging role of 'financial dominance' throughout the crisis, thereby shedding light on the structural forces that master the new masters of the universe. To this end, we pursue a mixed-methods approach, combining quantitative text analysis techniques with a qualitative understanding of the context in which central banks communicate on fiscal policy.</t>
  </si>
  <si>
    <t>[Diessner, Sebastian] London Sch Econ &amp; Polit Sci, European Inst, London, England; [Lisi, Giulio] London Sch Econ &amp; Polit Sci, Dept Govt, London, England</t>
  </si>
  <si>
    <t>University of London; London School Economics &amp; Political Science; University of London; London School Economics &amp; Political Science</t>
  </si>
  <si>
    <t>Diessner, S (corresponding author), London Sch Econ &amp; Polit Sci, European Inst, London, England.</t>
  </si>
  <si>
    <t>s.diessner@lse.ac.uk</t>
  </si>
  <si>
    <t>Diessner, Sebastian/0000-0002-9458-980X</t>
  </si>
  <si>
    <t>1475-1461</t>
  </si>
  <si>
    <t>1475-147X</t>
  </si>
  <si>
    <t>SOCIO-ECON REV</t>
  </si>
  <si>
    <t>Socio-Econ. Rev.</t>
  </si>
  <si>
    <t>10.1093/ser/mwz017</t>
  </si>
  <si>
    <t>Economics; Political Science; Sociology</t>
  </si>
  <si>
    <t>PR9IE</t>
  </si>
  <si>
    <t>WOS:000607543500001</t>
  </si>
  <si>
    <t>Roblek, V; Mesko, M; Podbregar, I</t>
  </si>
  <si>
    <t>Roblek, Vasja; Mesko, Maja; Podbregar, Iztok</t>
  </si>
  <si>
    <t>Impact of Car Sharing on Urban Sustainability</t>
  </si>
  <si>
    <t>sustainability; urban sustainability; car sharing; Europe</t>
  </si>
  <si>
    <t>ELECTRIC VEHICLES; TRAVEL BEHAVIOR; ECONOMY; SMART; UBER; CHALLENGES; STRATEGIES; DRIVERS; FUTURE; CITIES</t>
  </si>
  <si>
    <t>The article gives us an insight into the key issues of car sharing and its impact on urban sustainability. A selection of 314 articles published in peer-reviewed journals from the Scopus database were analysed using Leximancer 5.0 for Automated Content analysis. A total of seven themes were identified explaining the researched topic of the car sharing situation in Europe, which are sharing, economy, model, systems, electrical car sharing, policy and travel. There are two ways of sharing owned cars in Europe; access to cars from the fleet of private organisations and P2P car sharing. Sustainable environmental solutions in the context of the electrification of cars are used. Car sharing usually takes place online and can be free or for a fee as defined by The European Economic and Social Committee. The article provides an overview of understanding the concept of urban car sharing in Europe.</t>
  </si>
  <si>
    <t>[Roblek, Vasja] Fac Org Studies Novo Mesto, Novo Mesto 8000, Slovenia; [Mesko, Maja] Univ Primorska, Fac Management, Koper 6000, Slovenia; [Mesko, Maja; Podbregar, Iztok] Univ Maribor, Fac Org Sci, Kranj 4000, Slovenia</t>
  </si>
  <si>
    <t>University of Primorska; University of Maribor</t>
  </si>
  <si>
    <t>Podbregar, I (corresponding author), Univ Maribor, Fac Org Sci, Kranj 4000, Slovenia.</t>
  </si>
  <si>
    <t>vasja.roblek@gmx.com; maja.mesko@fm-kp.si; iztok.podbregar@um.si</t>
  </si>
  <si>
    <t>10.3390/su13020905</t>
  </si>
  <si>
    <t>PY1FB</t>
  </si>
  <si>
    <t>WOS:000611793200001</t>
  </si>
  <si>
    <t>Saeeda, L</t>
  </si>
  <si>
    <t>Blomqvist, E; Maynard, D; Gangemi, A; Hoekstra, R; Hitzler, P; Hartig, O</t>
  </si>
  <si>
    <t>Saeeda, Lama</t>
  </si>
  <si>
    <t>Iterative Approach for Information Extraction and Ontology Learning from Textual Aviation Safety Reports</t>
  </si>
  <si>
    <t>SEMANTIC WEB, ESWC 2017, PT II</t>
  </si>
  <si>
    <t>14th International Semantic Web Conference (ESWC)</t>
  </si>
  <si>
    <t>MAY 28-JUN 01, 2017</t>
  </si>
  <si>
    <t>Portoroz, SLOVENIA</t>
  </si>
  <si>
    <t>IOS Press,Sti2,Elsevier</t>
  </si>
  <si>
    <t>Information extraction; Domain ontology; Ontology learning; Safety reports</t>
  </si>
  <si>
    <t>Textual aviation safety reports are one of the main resources that contain valuable information to understand incidents and accidents in a high-risk industry such as the aviation domain. The reporting process, hence, is essential to provide these reports. Most of the time, the reporting process is done manually, and typically, poorly structured data are provided by the reporters. Automated content analysis for these reports has attracted researchers to extract the required information to perform many tasks, and they used several techniques to achieve it. Ontologies provide formal and explicit specifications of conceptualizations and play a crucial role in the information extraction process. In this paper, we propose a novel iterative ontology-based approach of information extraction and semantic annotations for aviation safety reports and augmenting back the aviation safety ontology with new concepts and relations depending on the terms already annotated in the discovered report model.</t>
  </si>
  <si>
    <t>[Saeeda, Lama] Czech Tech Univ, Fac Elect Engn, Prague, Czech Republic</t>
  </si>
  <si>
    <t>Czech Technical University Prague</t>
  </si>
  <si>
    <t>Saeeda, L (corresponding author), Czech Tech Univ, Fac Elect Engn, Prague, Czech Republic.</t>
  </si>
  <si>
    <t>saeeda.lama@fel.cvut.cz</t>
  </si>
  <si>
    <t>Saeeda, Lama/0000-0001-5454-1169</t>
  </si>
  <si>
    <t>Czech Technical University in Prague [SGS16/229/OHK3/3T/13]; Technology Agency of the Czech Republic [TA04030465]</t>
  </si>
  <si>
    <t>Czech Technical University in Prague; Technology Agency of the Czech Republic</t>
  </si>
  <si>
    <t>I want to thank Dr. Petr Kremen for his support in accomplishing this proposal. Furthermore, this work was partially supported by grants No. TA04030465 Research and development of progressive methods for measuring aviation organization's safety performance of the Technology Agency of the Czech Republic, No. SGS16/229/OHK3/3T/13 Supporting ontological data quality in information systems of the Czech Technical University in Prague.</t>
  </si>
  <si>
    <t>978-3-319-58451-5</t>
  </si>
  <si>
    <t>10.1007/978-3-319-58451-5_18</t>
  </si>
  <si>
    <t>BO5YO</t>
  </si>
  <si>
    <t>WOS:000519107900018</t>
  </si>
  <si>
    <t>Reber, U</t>
  </si>
  <si>
    <t>Reber, Ueli</t>
  </si>
  <si>
    <t>Global Climate Change or National Climate Changes? An Analysis of the Performance of Online Issue Publics in Integrating Global Issues</t>
  </si>
  <si>
    <t>ENVIRONMENTAL COMMUNICATION-A JOURNAL OF NATURE AND CULTURE</t>
  </si>
  <si>
    <t>Climate change; public discourse; online; Web; transnationalization; comparative research; hyperlinks; referential links; automated content analysis</t>
  </si>
  <si>
    <t>HYPERLINK NETWORK ANALYSIS; CHANGE POLICY; NEWS; MEDIA; GOVERNANCE; COUNTRIES; SOCIETY; SCIENCE; DIVIDE; FRAMES</t>
  </si>
  <si>
    <t>This paper analyzes how the complex global spatiality of climate change is integrated into online national public discourses. Although the Web is an important venue for public discourses, little is known about its capability to integrate transnational issues. By looking at two types of communicative links (hyperlinks and referential links), we assess the degree and the scope of transnational integration for the four cases of Germany, Switzerland, the United Kingdom, and the United States. The findings show that these national discourses are heavily transnationalized. However, the scope of transnationalization is restricted to countries of the Global North, with a clear focus on the United States. This leads to the conclusion that the Web's capability to integrate transnational issues is limited.</t>
  </si>
  <si>
    <t>[Reber, Ueli] Univ Bern, Inst Commun &amp; Media Studies, Fabrikstr 8, CH-3012 Bern, Switzerland</t>
  </si>
  <si>
    <t>University of Bern</t>
  </si>
  <si>
    <t>Reber, U (corresponding author), Univ Bern, Inst Commun &amp; Media Studies, Fabrikstr 8, CH-3012 Bern, Switzerland.</t>
  </si>
  <si>
    <t>ueli.reber@ikmb.unibe.ch</t>
  </si>
  <si>
    <t>Reber, Ueli/0000-0001-8036-4493</t>
  </si>
  <si>
    <t>German Research Foundation (DFG) [FOR 1381, 155794648]; Swiss National Science Foundation (SNSF) [100017E-154100]</t>
  </si>
  <si>
    <t>German Research Foundation (DFG)(German Research Foundation (DFG)); Swiss National Science Foundation (SNSF)(Swiss National Science Foundation (SNSF))</t>
  </si>
  <si>
    <t>This publication was created in the context of the Research Unit Political Communication in the Online World (FOR 1381), Subproject 07, which is funded by the German Research Foundation (DFG, project number 155794648). The subproject is also funded by the Swiss National Science Foundation (SNSF, project number 100017E-154100).</t>
  </si>
  <si>
    <t>1752-4032</t>
  </si>
  <si>
    <t>1752-4040</t>
  </si>
  <si>
    <t>ENVIRON COMMUN</t>
  </si>
  <si>
    <t>Environ. Commun.</t>
  </si>
  <si>
    <t>10.1080/17524032.2020.1812685</t>
  </si>
  <si>
    <t>Communication; Environmental Studies</t>
  </si>
  <si>
    <t>Communication; Environmental Sciences &amp; Ecology</t>
  </si>
  <si>
    <t>QR0SE</t>
  </si>
  <si>
    <t>WOS:000568897100001</t>
  </si>
  <si>
    <t>Patton, D; Smith, JL</t>
  </si>
  <si>
    <t>Patton, Dana; Smith, Joseph L.</t>
  </si>
  <si>
    <t>Lawyer, Interrupted: Gender Bias in Oral Arguments at the US Supreme Court</t>
  </si>
  <si>
    <t>JOURNAL OF LAW AND COURTS</t>
  </si>
  <si>
    <t>DECISION-MAKING; ATTORNEY GENDER; IMPLICIT BIAS; ATTITUDES; SEX; POWER; STEREOTYPES; INFORMATION; PREJUDICE; SALIENCE</t>
  </si>
  <si>
    <t>We examine gender bias in political institutions through a novel lens: oral arguments at the US Supreme Court. We ask whether female lawyers are afforded less speaking time during oral arguments compared to male lawyers. We posit that justices, while highly educated and more aware than most of laws requiring equal treatment, may be influenced by gender schemas that result in unconscious biased treatment of male and female lawyers. Applying automated content analysis to the transcripts of 3,583 oral arguments, we find that female lawyers are interrupted earlier, allowed to speak for less time between interruptions, and subjected to more and longer speeches by the justices compared to their male counterparts. However, this pattern is reversed during oral arguments involving gender-related cases. Our most novel and significant theoretical finding is that gender negates the well-documented positive effect of being on the winning side of a case.</t>
  </si>
  <si>
    <t>[Patton, Dana; Smith, Joseph L.] Univ Alabama, Tuscaloosa, AL 35487 USA</t>
  </si>
  <si>
    <t>University of Alabama System; University of Alabama Tuscaloosa</t>
  </si>
  <si>
    <t>Patton, D (corresponding author), Univ Alabama, Tuscaloosa, AL 35487 USA.</t>
  </si>
  <si>
    <t>dana.patton@ua.edu; jos.smith@ua.edu</t>
  </si>
  <si>
    <t>2164-6570</t>
  </si>
  <si>
    <t>2164-6589</t>
  </si>
  <si>
    <t>J LAW COURTS</t>
  </si>
  <si>
    <t>J. Law Courts</t>
  </si>
  <si>
    <t>10.1086/692611</t>
  </si>
  <si>
    <t>FE0HW</t>
  </si>
  <si>
    <t>WOS:000407902400007</t>
  </si>
  <si>
    <t>Lind, F; Eberl, JM; Eisele, O; Heidenreich, T; Galyga, S; Boomgaarden, HG</t>
  </si>
  <si>
    <t>Lind, Fabienne; Eberl, Jakob-Moritz; Eisele, Olga; Heidenreich, Tobias; Galyga, Sebastian; Boomgaarden, Hajo G.</t>
  </si>
  <si>
    <t>Building the Bridge: Topic Modeling for Comparative Research</t>
  </si>
  <si>
    <t>In communication research, topic modeling is primarily used for discovering systematic patterns in monolingual text corpora. To advance the usage, we provide an overview of recently presented strategies to extract topics from multilingual text collections for the purpose of comparative research. Moreover, we discuss, demonstrate, and facilitate the usability of the Polylingual Topic Model (PLTM) for such analyses. The appeal of this model is that it derives lists of related clustered words in different languages with little reliance on translation or multilingual dictionaries and without the need for manual post-hoc matching of topics. PLTM bridges the gap between languages by making use of document connections in training documents. As these training documents are the crucial resource for the model, we compare model evaluation metrics for different strategies to build training documents. By discussing the advantages and limitations of the different strategies in respect to different scenarios, our study contributes to the methodological discussion on automated content analysis of multilingual text corpora.</t>
  </si>
  <si>
    <t>[Lind, Fabienne; Eberl, Jakob-Moritz; Eisele, Olga; Heidenreich, Tobias; Galyga, Sebastian; Boomgaarden, Hajo G.] Univ Vienna, Dept Commun, Kolingasse 14-16, A-1090 Vienna, Austria</t>
  </si>
  <si>
    <t>Lind, F (corresponding author), Univ Vienna, Dept Commun, Kolingasse 14-16, A-1090 Vienna, Austria.</t>
  </si>
  <si>
    <t>Eberl, Jakob-Moritz/K-4689-2019; Lind, Fabienne/ABY-3927-2022; Heidenreich, Tobias/HDO-5760-2022</t>
  </si>
  <si>
    <t>Eberl, Jakob-Moritz/0000-0002-5613-760X; Heidenreich, Tobias/0000-0001-9070-0550; Eisele, Olga/0000-0002-6604-3498; Galyga, Sebastian/0000-0003-2642-0815; , Fabienne/0000-0002-4978-9415; Boomgaarden, Hajo G./0000-0002-5260-1284</t>
  </si>
  <si>
    <t>European Union [727072]; Austrian Science Fund [T-989]</t>
  </si>
  <si>
    <t>European Union(European Commission); Austrian Science Fund(Austrian Science Fund (FWF))</t>
  </si>
  <si>
    <t>This project has been supported by the European Union's Horizon 2020 research and innovation program under Grant Agreement No. 727072. We would also like to acknowledge the funding for Olga Eisele (Austrian Science Fund, GA-No. T-989).</t>
  </si>
  <si>
    <t>10.1080/19312458.2021.1965973</t>
  </si>
  <si>
    <t>2N9DT</t>
  </si>
  <si>
    <t>WOS:000693532300001</t>
  </si>
  <si>
    <t>Puschmann, C; Pentzold, C</t>
  </si>
  <si>
    <t>Puschmann, Cornelius; Pentzold, Christian</t>
  </si>
  <si>
    <t>A field comes of age: tracking research on the internet within communication studies, 1994 to 2018</t>
  </si>
  <si>
    <t>INTERNET HISTORIES</t>
  </si>
  <si>
    <t>Internet; social media; literature review; topic model; content analysis; communication studies</t>
  </si>
  <si>
    <t>TRENDS</t>
  </si>
  <si>
    <t>Since its inception, the internet has been as much technological as social, practical as ideological in character. This article examines academic discourse and asks how research on the multifaceted internet has evolved over the past 25 years. In order to investigate the formation of this academic field, we collected articles published in major academic journals dedicated to new media and digital communication as well as mainstream periodicals in communication studies over the past quarter of a century. Relying on a combination of (semi)automated content analysis and citation analysis, we find that articles related to the internet and its manifold aspects are cited more often than research on other topics. The literature review suggests that as the socio-material infrastructure of the internet has become deeply enmeshed in society its study has evolved from a niche pursuit to the discipline's core area of inquiry.</t>
  </si>
  <si>
    <t>[Puschmann, Cornelius] Univ Bremen, Ctr Media Commun &amp; Informat Res ZeMKI, Bremen, Germany; [Pentzold, Christian] Tech Univ Chemnitz, Inst Media Res, Chemnitz, Germany</t>
  </si>
  <si>
    <t>University of Bremen; Technische Universitat Chemnitz</t>
  </si>
  <si>
    <t>Puschmann, C (corresponding author), Univ Bremen, Ctr Media Commun &amp; Informat Res, Linzer Str 4, D-28359 Bremen, Germany.</t>
  </si>
  <si>
    <t>puschmann@uni-bremen.de</t>
  </si>
  <si>
    <t>Pentzold, Christian/0000-0002-6355-3150; Puschmann, Cornelius/0000-0002-3189-0662</t>
  </si>
  <si>
    <t>2470-1475</t>
  </si>
  <si>
    <t>2470-1483</t>
  </si>
  <si>
    <t>INTERNET HIST</t>
  </si>
  <si>
    <t>Internet Hist.</t>
  </si>
  <si>
    <t>JUN 9</t>
  </si>
  <si>
    <t>10.1080/24701475.2020.1749805</t>
  </si>
  <si>
    <t>TB2SI</t>
  </si>
  <si>
    <t>WOS:000667798200004</t>
  </si>
  <si>
    <t>Bustikova, L; Siroky, DS; Alashri, S; Alzahrani, S</t>
  </si>
  <si>
    <t>Bustikova, Lenka; Siroky, David S.; Alashri, Saud; Alzahrani, Sultan</t>
  </si>
  <si>
    <t>Predicting Partisan Responsiveness: A Probabilistic Text Mining Time-Series Approach</t>
  </si>
  <si>
    <t>forecasting; automated content analysis; natural language processing; probabilistic topic modeling; sparse learning; political parties; polarization</t>
  </si>
  <si>
    <t>EXTREME-RIGHT PARTIES; GRID-GROUP THEORY; POLICY SHIFTS; ELECTORAL CONSEQUENCES; ELECTIONS; EMERGENCE; DEMOCRACY; AGENDA</t>
  </si>
  <si>
    <t>When do parties respond to their political rivals and when do they ignore them? This article presents a new computational framework to detect, analyze and predict partisan responsiveness by showing when parties on opposite poles of the political spectrum react to each other's agendas and thereby contribute to polarization. Once spikes in responsiveness are detected and categorized using latent Dirichlet allocation, we utilize the terms that comprise the topics, together with a gradient descent solver, to assess the classifier's predictive accuracy. Using 10,597 documents from the official websites of radical right and ethnic political parties in Slovakia (2004-2014), the analysis predicts which political issues will elicit partisan reactions, and which will be ignored, with an accuracy of 83% (F-measure) and outperforms both Random Forest and Naive Bayes classifiers. Subject matter experts validate the approach and interpret the results.</t>
  </si>
  <si>
    <t>[Bustikova, Lenka; Siroky, David S.] Arizona State Univ, Sch Polit &amp; Global Studies, Tempe, AZ 85281 USA; [Alashri, Saud; Alzahrani, Sultan] King Abdulaziz City Sci &amp; Technol, Riyadh, Saudi Arabia</t>
  </si>
  <si>
    <t>Arizona State University; Arizona State University-Tempe; King Abdulaziz City for Science &amp; Technology</t>
  </si>
  <si>
    <t>Bustikova, L (corresponding author), Arizona State Univ, Sch Polit &amp; Global Studies, Tempe, AZ 85281 USA.;Alashri, S; Alzahrani, S (corresponding author), King Abdulaziz City Sci &amp; Technol, Riyadh, Saudi Arabia.</t>
  </si>
  <si>
    <t>lenka.bustikova@asu.edu; david.siroky@asu.edu; salashri@kacst.edu.sa; szahrani@kacst.edu.sa</t>
  </si>
  <si>
    <t>Siroky, David/M-4219-2019; Bustikova, Lenka/C-3186-2019</t>
  </si>
  <si>
    <t>Bustikova, Lenka/0000-0002-0547-4120; Alzahrani, Sultan/0000-0001-8931-1558; Siroky, David/0000-0002-6234-0460</t>
  </si>
  <si>
    <t>Center for the Study of Religion and Conflict at ASU</t>
  </si>
  <si>
    <t>The project received seed funding from the Center for the Study of Religion and Conflict at ASU. We especially thank Carolyn Forbes for helping to initiate and sustain the project. Supplementarymaterials for this article are available on the Political Analysis website. For Dataverse replication materials, see Alashri et al. (2018).</t>
  </si>
  <si>
    <t>PII S1047198719000184</t>
  </si>
  <si>
    <t>10.1017/pan.2019.18</t>
  </si>
  <si>
    <t>WOS:000500352700003</t>
  </si>
  <si>
    <t>Arceneaux, P; Albishri, O; Kiousis, S</t>
  </si>
  <si>
    <t>Arceneaux, Phillip; Albishri, Osama; Kiousis, Spiro</t>
  </si>
  <si>
    <t>How Candidates Influence Each Other in Electoral Politics: Intercandidate Agenda-Building in Florida's 2018 Midterm Election</t>
  </si>
  <si>
    <t>JOURNAL OF POLITICAL MARKETING</t>
  </si>
  <si>
    <t>Computational social science; intercandidate agenda-building; inter-party agenda-building; political public relations</t>
  </si>
  <si>
    <t>ISSUE CONVERGENCE; MEDIA; NEWS; ONLINE; CAMPAIGNS; CROSS; OPINION; TWEETS; POWER</t>
  </si>
  <si>
    <t>This study investigates how the electoral campaigns in Florida's 2018 gubernatorial and Senate races used information subsidies to influence each other's integrated marketing communications. Informed by agenda-building theory, the study probes which campaign and which party had the strongest transfer of issue and stakeholder salience (first-level) and sentiment (second-level) in campaign communications across the two races. Data include issue statements, press releases, tweets, and email blasts. Results of a lexicon-based automated content analysis show evidence for both unidirectional and bi-directional agenda-building influence of stakeholder salience. Further, data suggest the gubernatorial campaigns (DeSantis and Gillum) engaged in subtly more positive, self-promotion-based marketing than their counterparts in the Senate race (Scott and Nelson). Findings contribute theoretical and practical applications to political communication in election campaigning.</t>
  </si>
  <si>
    <t>[Arceneaux, Phillip] Miami Univ, Strateg Commun, Dept Media Journalism &amp; Film, Oxford, OH USA; [Albishri, Osama] Univ Florida, Coll Journalism &amp; Commun, Gainesville, FL USA; [Kiousis, Spiro] Univ Florida, Coll Journalism &amp; Commun, Publ Relat, Gainesville, FL USA</t>
  </si>
  <si>
    <t>University System of Ohio; Miami University; State University System of Florida; University of Florida; State University System of Florida; University of Florida</t>
  </si>
  <si>
    <t>Arceneaux, P (corresponding author), Miami Univ, Dept Media Journalism &amp; Film, Oxford, OH 45056 USA.</t>
  </si>
  <si>
    <t>parceneaux@miamioh.edu</t>
  </si>
  <si>
    <t>Albishri, Osama/AAS-9616-2021</t>
  </si>
  <si>
    <t>Albishri, Osama/0000-0003-1705-4016; Arceneaux, Phillip/0000-0002-9008-7845</t>
  </si>
  <si>
    <t>1537-7857</t>
  </si>
  <si>
    <t>1537-7865</t>
  </si>
  <si>
    <t>J POLITICAL MARKETIN</t>
  </si>
  <si>
    <t>J. Political Marketing</t>
  </si>
  <si>
    <t>10.1080/15377857.2022.2040690</t>
  </si>
  <si>
    <t>ZI6FL</t>
  </si>
  <si>
    <t>WOS:000761714700001</t>
  </si>
  <si>
    <t>Scartozzi, CM</t>
  </si>
  <si>
    <t>Scartozzi, Cesare M.</t>
  </si>
  <si>
    <t>Climate Change in the UN Security Council: An Analysis of Discourses and Organizational Trends</t>
  </si>
  <si>
    <t>INTERNATIONAL STUDIES PERSPECTIVES</t>
  </si>
  <si>
    <t>climate change; Security Council; discourse analysis; securitization; climatization; riskification; &lt;bold&gt;Palabras clave&lt;/bold&gt; Cambio climatico; Consejo de Seguridad; analisis del discurso; securitizacion; climatizacion; analisis de riesgos; &lt;bold&gt;Mots cles&lt;/bold&gt; changement climatique; Conseil de securite; analyse de discours; securitisation; climatisation; risquification</t>
  </si>
  <si>
    <t>The UN Security Council has published about eighty-three thousand documents between 2001 and 2021. This study analyzes this large corpus of text to identify, map, and trace the evolution of discourses on climate change and their impact on the organization. The article analyzes diplomatic speeches and other primary sources to identify instances of climatization of security and securitization, riskification, and mainstreaming of climate change. To fulfill its aim, the article introduces a mixed method that combines an automated content analysis with a discourse analytic approach. The findings suggest that, despite the stall in high-level discussions on climate security, the Security Council is de facto moving toward a climatization of security and riskification of climate change in daily practices, procedures, and operations.</t>
  </si>
  <si>
    <t>Scartozzi, Cesare M./AAE-4721-2022</t>
  </si>
  <si>
    <t>Scartozzi, Cesare M./0000-0002-4350-4386</t>
  </si>
  <si>
    <t>Global Leader Program for Social Design and Management, University of Tokyo</t>
  </si>
  <si>
    <t>The author would like to thank Professor Keisuke Iida for his feedback and supervision during the drafting of this manuscript. This research was supported by the Global Leader Program for Social Design and Management, University of Tokyo.</t>
  </si>
  <si>
    <t>1528-3577</t>
  </si>
  <si>
    <t>1528-3585</t>
  </si>
  <si>
    <t>INT STUD PERSPECT</t>
  </si>
  <si>
    <t>Int. Stud. Perspect.</t>
  </si>
  <si>
    <t>10.1093/isp/ekac003</t>
  </si>
  <si>
    <t>3I7QX</t>
  </si>
  <si>
    <t>WOS:000804863700001</t>
  </si>
  <si>
    <t>Hameleers, M; Minihold, S</t>
  </si>
  <si>
    <t>Hameleers, Michael; Minihold, Sophie</t>
  </si>
  <si>
    <t>Constructing Discourses on (Un)truthfulness: Attributions of Reality, Misinformation, and Disinformation by Politicians in a Comparative Social Media Setting</t>
  </si>
  <si>
    <t>disinformation; fake news; media criticism; misinformation; post-factual relativism; post-truth</t>
  </si>
  <si>
    <t>In the setting of increasingly more fragmented digital communication settings, the accuracy and honesty of (political) information has become subject of fierce debates and partisan attacks. Hence, the challenge of mis- and disinformation not only pertains to the truthfulness of information itself, but also to the discursive construction of supporting information as truthful and dissonant information as untrue or deliberately false. This paper inductively analyzes discourses of (un)truthfulness (Study 1, N = 1,777) and uses an Automated Content Analysis (Study 2, N = 56,666) to assess how reality, mis-, and disinformation are constructed by politicians in Austria, Germany, and the Netherlands. The findings point to an affinity between populism and disinformation: Right-wing populist politicians take issue ownership in discrediting established knowledge and attempt to create momentum for alternative realities that resonate with populist worldviews. Such discourses of (un)truthfulness may have an important impact on defining reality for voters.</t>
  </si>
  <si>
    <t>[Hameleers, Michael; Minihold, Sophie] Univ Amsterdam, Amsterdam, Netherlands</t>
  </si>
  <si>
    <t>Hameleers, M (corresponding author), Univ Amsterdam, Amsterdam Sch Commun Res, Nieuwe Achtergracht 166, NL-1018 WV Amsterdam, Netherlands.</t>
  </si>
  <si>
    <t>m.hameleers@uva.nl</t>
  </si>
  <si>
    <t>Hameleers, Michael/0000-0002-8038-5005; Minihold, Sophie/0000-0001-9130-4998</t>
  </si>
  <si>
    <t>10.1177/0093650220982762</t>
  </si>
  <si>
    <t>PT7EY</t>
  </si>
  <si>
    <t>WOS:000608776000001</t>
  </si>
  <si>
    <t>Van Dalen, A; De Vreese, CH; AlBaek, E</t>
  </si>
  <si>
    <t>Van Dalen, Arjen; De Vreese, Claes H.; AlBaek, Erik</t>
  </si>
  <si>
    <t>MEDIATED UNCERTAINTY THE NEGATIVE IMPACT OF UNCERTAINTY IN ECONOMIC NEWS ON CONSUMER CONFIDENCE</t>
  </si>
  <si>
    <t>PUBLIC OPINION QUARTERLY</t>
  </si>
  <si>
    <t>UNITED-STATES; COVERAGE; PERCEPTIONS; CERTAINTY; POLICY; COMMUNICATION; INFORMATION; IGNORANCE; EMOTIONS; ISSUE</t>
  </si>
  <si>
    <t>A growing body of research shows that uncertainty affects individual perceptions and preferences. However, we still know little about how uncertainty in news content affects public opinion formation. Building upon literature on the processing of uncertain information and prospect theory, we argue that uncertainty in the news lowers public expectations and fosters pessimism. A time-series analysis of national monthly consumer confidence data, economic indicators, and an automated content analysis of economic newspaper coverage between 1996 and 2012 confirms this expectation. The analysis shows that uncertainty in economic news decreases consumer confidence, after controlling for real economic developments and the tone of the news. The effect of uncertainty cannot be explained as an asymmetrical response to ambiguous information, since uncertainty in the news did not make negative information more salient. Finally, we discuss influences of the nature of reporting on uncertainty in the news.</t>
  </si>
  <si>
    <t>[Van Dalen, Arjen; AlBaek, Erik] Univ Southern Denmark, Ctr Journalism, Campusvej 55, DK-5230 Odense M, Denmark; [De Vreese, Claes H.] Univ Amsterdam, Amsterdam Sch Commun Res, Amsterdam, Netherlands</t>
  </si>
  <si>
    <t>University of Southern Denmark; University of Amsterdam</t>
  </si>
  <si>
    <t>Van Dalen, A (corresponding author), Univ Southern Denmark, Ctr Journalism, Campusvej 55, DK-5230 Odense M, Denmark.</t>
  </si>
  <si>
    <t>avd@sam.sdu.dk</t>
  </si>
  <si>
    <t>independent research foundation of VELUX</t>
  </si>
  <si>
    <t>ARJEN VAN DALEN is an associate professor at the Center for Journalism at the University of Southern Denmark, Odense, Denmark. CLAES H. DE VREESE is a professor at the Amsterdam School of Communication Research at the University of Amsterdam, Amsterdam, The Netherlands. ERIK ALBAEK is a professor at the Center for Journalism at the University of Southern Denmark, Odense, Denmark. The authors thank Antonis Kalogeropoulos and Helle Molgaard Svensson for their assistance with data collection, and the anonymous reviewers for their comments. This study was funded by the independent research foundation of VELUX. *Address correspondence to Arjen van Dalen, University of Southern Denmark, Center for Journalism, Campusvej 55, DK-5230 Odense M, Denmark; e-mail: avd@sam.sdu.dk.</t>
  </si>
  <si>
    <t>0033-362X</t>
  </si>
  <si>
    <t>1537-5331</t>
  </si>
  <si>
    <t>PUBLIC OPIN QUART</t>
  </si>
  <si>
    <t>Public Opin. Q.</t>
  </si>
  <si>
    <t>10.1093/poq/nfw039</t>
  </si>
  <si>
    <t>Communication; Political Science; Social Sciences, Interdisciplinary</t>
  </si>
  <si>
    <t>EQ3VO</t>
  </si>
  <si>
    <t>WOS:000398001700005</t>
  </si>
  <si>
    <t>Vargo, CJ; Hopp, T</t>
  </si>
  <si>
    <t>Vargo, Chris J.; Hopp, Toby</t>
  </si>
  <si>
    <t>Socioeconomic Status, Social Capital, and Partisan Polarity as Predictors of Political Incivility on Twitter: A Congressional District-Level Analysis</t>
  </si>
  <si>
    <t>incivility; big data; Twitter; social capital; 2012 general election; congressional districts; partisan polarity</t>
  </si>
  <si>
    <t>ONLINE INCIVILITY; CHRONIC STRESS; PARTICIPATION; INTERNET; MEDIA; CIVILITY; TRUST; ASSOCIATIONS; SATISFACTION; PERCEPTIONS</t>
  </si>
  <si>
    <t>Using 414,322 tweets drawn from 143,404 individual Twitter users located in all 435 U.S. congressional districts, this study employed big data and automated content analysis techniques to explore the degree to which socioeconomic status (SES), social capital potential (the degree to which a congressional district has the potential for interconnected citizen networks), and in-district partisan polarization were associated with incivility on Twitter during the 2012 presidential election. Broadly speaking, and with some exceptions, the results indicated that election oriented incivility on Twitter was highest in districts that had low SES indicators, low levels of social capital potential, and low levels of partisan polarity. In its sum, this study shows how large social data sets (i.e., the Census) can be combined with big data to explain social phenomena.</t>
  </si>
  <si>
    <t>[Vargo, Chris J.; Hopp, Toby] Univ Alabama, Coll Commun &amp; Informat Sci, Tuscaloosa, AL USA</t>
  </si>
  <si>
    <t>Vargo, CJ (corresponding author), Univ Alabama, Dept Advertising &amp; Publ Relat, Box 870172, Tuscaloosa, AL 35487 USA.</t>
  </si>
  <si>
    <t>cjvargo@ua.edu; hopp@apr.ua.edu</t>
  </si>
  <si>
    <t>10.1177/0894439315602858</t>
  </si>
  <si>
    <t>EJ3HN</t>
  </si>
  <si>
    <t>WOS:000393103300002</t>
  </si>
  <si>
    <t>Moreira, D</t>
  </si>
  <si>
    <t>Moreira, Davi</t>
  </si>
  <si>
    <t>The Noble Deputies Speak: Thematic Emphasis of the Brazilian Parliamentarians' Speeches</t>
  </si>
  <si>
    <t>DADOS-REVISTA DE CIENCIAS SOCIAIS</t>
  </si>
  <si>
    <t>speech; Chamber of Deputies; automated content analysis; modeling of topics; legislative studies</t>
  </si>
  <si>
    <t>EXPLORATORY DATA-ANALYSIS; LEGISLATIVE BEHAVIOR; IDEOLOGY; PARTIES</t>
  </si>
  <si>
    <t>Recognizing the speech as one of the means through which politics materializes, this article aims to answer the following question: the agendas stated by parliamentarians in speeches in the plenary of the Chamber of Deputies are grounded by the government-opposition relationship, in the same way as observed in the decision-making process? To answer this question, the express agenda model was used in order to analyze the content of more than 127,000 statements made by over 2,000 different speakers during more than 15 years of parliamentary activity in the Chamber of Deputies (1999-2014). Once the emphasis attributed by each legislator to economic and social agendas has been identified, the answer is negative. The conclusions presented enhance the knowledge about parliamentary behavior within the Chamber of Deputies and indicate the influence of other variables on their performance, such as ideology, gender, and popularity.</t>
  </si>
  <si>
    <t>[Moreira, Davi] Univ Fed Pernambuco UFPE, Dept Ciencia Polit, Recife, PE, Brazil</t>
  </si>
  <si>
    <t>Universidade Federal de Pernambuco</t>
  </si>
  <si>
    <t>Moreira, D (corresponding author), Univ Fed Pernambuco UFPE, Dept Ciencia Polit, Recife, PE, Brazil.</t>
  </si>
  <si>
    <t>davi.moreira@gmail.com</t>
  </si>
  <si>
    <t>Moreira, Davi/0000-0003-3966-1730</t>
  </si>
  <si>
    <t>INST UNIV PESQUISAS RIO DE JANEIRO-IUPERJ</t>
  </si>
  <si>
    <t>RUA DA MATRIZ 82,  BOTAFOGO, RIO DE JANEIRO, 22260.100, BRAZIL</t>
  </si>
  <si>
    <t>0011-5258</t>
  </si>
  <si>
    <t>1678-4588</t>
  </si>
  <si>
    <t>DADOS-REV CIENC SOC</t>
  </si>
  <si>
    <t>Dados-Rev. Cienc. Sociais</t>
  </si>
  <si>
    <t>e20180176</t>
  </si>
  <si>
    <t>10.1590/001152582020204</t>
  </si>
  <si>
    <t>LL5EO</t>
  </si>
  <si>
    <t>WOS:000531580700001</t>
  </si>
  <si>
    <t>Farrow, E; Moore, J; Gasevic, D</t>
  </si>
  <si>
    <t>Farrow, Elaine; Moore, Johanna; Gasevic, Dragan</t>
  </si>
  <si>
    <t>Analysing discussion forum data: a replication study avoiding data contamination</t>
  </si>
  <si>
    <t>replication; data contamination; Community of Inquiry; cognitive presence</t>
  </si>
  <si>
    <t>The widespread use of online discussion forums in educational settings provides a rich source of data for researchers interested in how collaboration and interaction can foster effective learning. Such online behaviour can be understood through the Community of Inquiry framework, and the cognitive presence construct in particular can be used to characterise the depth of a student's critical engagement with course material. Automated methods have been developed to support this task, but many studies used small data sets, and there have been few replication studies. In this work, we present findings related to the robustness and generalisability of automated classification methods for detecting cognitive presence in discussion forum transcripts. We closely examined one published state-of-the-art model, comparing different approaches to managing unbalanced classes in the data. By demonstrating how commonly-used data preprocessing practices can lead to over-optimistic results, we contribute to the development of the field so that the results of automated content analysis can be used with confidence.</t>
  </si>
  <si>
    <t>[Farrow, Elaine; Moore, Johanna] Univ Edinburgh, Sch Informat, Edinburgh, Midlothian, Scotland; [Gasevic, Dragan] Monash Univ, Fac Educ, Clayton, Vic 3800, Australia</t>
  </si>
  <si>
    <t>University of Edinburgh; Monash University</t>
  </si>
  <si>
    <t>Farrow, E (corresponding author), Univ Edinburgh, Sch Informat, Edinburgh, Midlothian, Scotland.</t>
  </si>
  <si>
    <t>Elaine.Farrow@ed.ac.uk; J.Moore@ed.ac.uk; Dragan.Gasevic@monash.edu</t>
  </si>
  <si>
    <t>Farrow, Elaine/AAM-3980-2020; Gasevic, Dragan/AAT-3909-2020</t>
  </si>
  <si>
    <t>Farrow, Elaine/0000-0002-1152-3443; Gasevic, Dragan/0000-0001-9265-1908</t>
  </si>
  <si>
    <t>EPSRC Centre for Doctoral Training in Data Science - UK Engineering and Physical Sciences Research Council [EP/L016427/1]; University of Edinburgh; ESRC [ES/S015701/1] Funding Source: UKRI</t>
  </si>
  <si>
    <t>EPSRC Centre for Doctoral Training in Data Science - UK Engineering and Physical Sciences Research Council(UK Research &amp; Innovation (UKRI)Engineering &amp; Physical Sciences Research Council (EPSRC)); University of Edinburgh; ESRC(UK Research &amp; Innovation (UKRI)Economic &amp; Social Research Council (ESRC))</t>
  </si>
  <si>
    <t>Our grateful thanks to Vitomir Kovanovic, who generously shared his code. This work was supported in part by the EPSRC Centre for Doctoral Training in Data Science, funded by the UK Engineering and Physical Sciences Research Council (grant EP/L016427/1) and the University of Edinburgh.</t>
  </si>
  <si>
    <t>10.1145/3303772.3303779</t>
  </si>
  <si>
    <t>WOS:000473277300023</t>
  </si>
  <si>
    <t>Becker, AB; Goldberg, AB</t>
  </si>
  <si>
    <t>Becker, Amy B.; Goldberg, Andrew B.</t>
  </si>
  <si>
    <t>Entertainment, Intelligent, or Hybrid Programming? An Automated Content Analysis of 12 Years of Political Satire Interviews</t>
  </si>
  <si>
    <t>ATLANTIC JOURNAL OF COMMUNICATION</t>
  </si>
  <si>
    <t>THE-DAILY-SHOW; TALK SHOWS; MOTIVATIONS; COMEDY; NEWS</t>
  </si>
  <si>
    <t>The research considers the balance of intellectual versus entertainment-oriented individuals appearing as interview guests on political satire programs. Specifically, the analysis employs semi-supervised learning to categorize the occupations of individuals appearing on The Daily Show and The Colbert Report between 2003 and 2014 (N = 3,507). The results confirm that satire programs have become an important outlet for politicians and journalists looking to connect with a younger audience. More often than not, these guest appearances privilege a newsworthy and intellectually oriented discussion of contemporary issues and ideas as opposed to the promotion of entertainment content. Important to note, the data set represents the largest body of political satire content analyzed to date and the results confirm the value of applying automated and semi-supervised learning codingwithin communication research. We conclude by discussing themethodological contributions of our coding process, future directions for political comedy research, and the scalable potential of automated coding efforts.</t>
  </si>
  <si>
    <t>[Becker, Amy B.] Loyola Univ Maryland, Dept Commun, 4501 N Charles St, Baltimore, MD 21210 USA; [Goldberg, Andrew B.] Arcode Corp, Rockville, MD USA</t>
  </si>
  <si>
    <t>Loyola University Maryland</t>
  </si>
  <si>
    <t>Becker, AB (corresponding author), Loyola Univ Maryland, Dept Commun, 4501 N Charles St, Baltimore, MD 21210 USA.</t>
  </si>
  <si>
    <t>abbecker@loyola.edu</t>
  </si>
  <si>
    <t>1545-6870</t>
  </si>
  <si>
    <t>1545-6889</t>
  </si>
  <si>
    <t>ATL J COMMUN</t>
  </si>
  <si>
    <t>Atl. J. Commun.</t>
  </si>
  <si>
    <t>10.1080/15456870.2017.1293670</t>
  </si>
  <si>
    <t>EZ0ZH</t>
  </si>
  <si>
    <t>WOS:000404435400005</t>
  </si>
  <si>
    <t>Mayor, E; Eicher, V; Bangerter, A; Gilles, I; Clemence, A; Green, EGT</t>
  </si>
  <si>
    <t>Mayor, Eric; Eicher, Veronique; Bangerter, Adrian; Gilles, Ingrid; Clemence, Alain; Green, Eva G. T.</t>
  </si>
  <si>
    <t>Dynamic social representations of the 2009 H1N1 pandemic: Shifting patterns of sense-making and blame</t>
  </si>
  <si>
    <t>emerging infectious diseases; public perception; social representation theory; 2009 H1N1 pandemic virus</t>
  </si>
  <si>
    <t>RISK</t>
  </si>
  <si>
    <t>We investigate dynamics of public perceptions of the 2009 H1N1 influenza pandemic to understand changing patterns of sense-making and blame regarding the outbreak of emerging infectious diseases. We draw on social representation theory combined with a dramaturgical perspective to identify changes in how various collectives are depicted over the course of the pandemic, according to three roles: heroes, villains and victims. Quantitative results based on content analysis of three cross-sectional waves of interviews show a shift from mentions of distant collectives (e.g., far-flung countries) at Wave 1 to local collectives (e.g., risk groups) as the pandemic became of more immediate concern (Wave 2) and declined (Wave 3). Semi-automated content analysis of media coverage shows similar results. Thematic analyses of the discourse associated with collectives revealed that many were consistently perceived as heroes, villains and victims.</t>
  </si>
  <si>
    <t>[Mayor, Eric; Bangerter, Adrian] Univ Neuchatel, CH-2000 Neuchatel, Switzerland; [Eicher, Veronique] Univ Lausanne, NCCR LIVES, CH-1015 Lausanne, Switzerland; [Gilles, Ingrid; Clemence, Alain] Univ Lausanne, CH-1015 Lausanne, Switzerland; [Green, Eva G. T.] Univ Lausanne, Dept Social Psychol, CH-1015 Lausanne, Switzerland</t>
  </si>
  <si>
    <t>University of Neuchatel; University of Lausanne; University of Lausanne; University of Lausanne</t>
  </si>
  <si>
    <t>Mayor, E (corresponding author), Univ Neuchatel, Inst Psychol Travail &amp; Org, Rue Emile Argand 11, CH-2000 Neuchatel, Switzerland.</t>
  </si>
  <si>
    <t>eric.mayor@unine.ch</t>
  </si>
  <si>
    <t>Mayor, eric/AFT-8486-2022</t>
  </si>
  <si>
    <t>Mayor, eric/0000-0001-9441-7592</t>
  </si>
  <si>
    <t>10.1177/0963662512443326</t>
  </si>
  <si>
    <t>238HA</t>
  </si>
  <si>
    <t>WOS:000325934000009</t>
  </si>
  <si>
    <t>Owen, JE; Klapow, JC; Roth, DL; Tucker, DC</t>
  </si>
  <si>
    <t>Use of the Internet for information and support: Disclosure among persons with breast and prostate cancer</t>
  </si>
  <si>
    <t>JOURNAL OF BEHAVIORAL MEDICINE</t>
  </si>
  <si>
    <t>cancer; Internet; communication; support</t>
  </si>
  <si>
    <t>EMOTIONAL EXPRESSION; GENDER; ONLINE; ADJUSTMENT; QUALITY; WOMEN</t>
  </si>
  <si>
    <t>The present study examined the,feasibility of evaluating online communication of cancer patients using an automated content analysis program modified for application to cancer-related communication. Public messages posted to the Breast Cancer Discussion List and the Prostate Problems Mailing List were content analyzed using an augmented version of Linguistic Inquiry and Word Count to evaluate communication styles within these two cancer types. Breast cancer patients were more likely to submit multiple messages to the list and made greater use of words related to emotional disclosure and cognitive processing compared with prostate cancer patients. Prostate cancer patients were less likely to seek emotional support or repeated interaction with other patients, and more of their communication focused on cancer-related information. Use of cancer-specific word. libraries significantly increased word identification within these samples. Content analysis of online communication appears to be a promising method for detecting communication differences among subgroups of cancer patients.</t>
  </si>
  <si>
    <t>Univ Calif Los Angeles, Div Canc Prevent &amp; Control Res, Sch Publ Hlth, Los Angeles, CA 90095 USA; Univ Calif Los Angeles, Jonsson Comprehens Canc Ctr, Los Angeles, CA 90095 USA; Univ Alabama, Dept Psychol, Birmingham, AL 35294 USA; Univ Alabama, Dept Hlth Care Org &amp; Policy, Birmingham, AL USA; Univ Alabama, Dept Biostat, Birmingham, AL USA</t>
  </si>
  <si>
    <t>University of California System; University of California Los Angeles; UCLA Jonsson Comprehensive Cancer Center; University of California System; University of California Los Angeles; University of Alabama System; University of Alabama Birmingham; University of Alabama System; University of Alabama Birmingham; University of Alabama System; University of Alabama Birmingham</t>
  </si>
  <si>
    <t>Owen, JE (corresponding author), Univ Calif Los Angeles, Div Canc Prevent &amp; Control Res, Sch Publ Hlth, 650 Charles Young Dr S,A2-125 CHS,Box 956900, Los Angeles, CA 90095 USA.</t>
  </si>
  <si>
    <t>jeowen@ucla.edu</t>
  </si>
  <si>
    <t>KLUWER ACADEMIC/PLENUM PUBL</t>
  </si>
  <si>
    <t>0160-7715</t>
  </si>
  <si>
    <t>J BEHAV MED</t>
  </si>
  <si>
    <t>J. Behav. Med.</t>
  </si>
  <si>
    <t>10.1023/B:JOBM.0000047612.81370.f7</t>
  </si>
  <si>
    <t>877UG</t>
  </si>
  <si>
    <t>WOS:000225598200005</t>
  </si>
  <si>
    <t>Cross, JP; Eising, R; Hermansson, H; Spohr, F</t>
  </si>
  <si>
    <t>Cross, James P.; Eising, Rainer; Hermansson, Henrik; Spohr, Florian</t>
  </si>
  <si>
    <t>Business interests, public interests, and experts in parliamentary committees: their impact on legislative amendments in the German Bundestag</t>
  </si>
  <si>
    <t>Legislative politics; interest groups; quantitative text analysis</t>
  </si>
  <si>
    <t>EUROPEAN-UNION; POLICY; POLITICS; INFORMATION; KNOWLEDGE</t>
  </si>
  <si>
    <t>This study examines the evolving role of parliamentary committees in legislative decision-making and their relationships with external actors when amending bills. Drawing on resource dependence theory and informational perspectives on parliamentary committees, we analyse the impact of information provided by business interest organizations, public interest groups, and experts in the German Bundestag's public hearings in 2004, 2007, and 2011. Using a text-reuse approach to capture legislative amendments, we assess the influence of different information types in explaining such changes. Our results show that the Bundestag often amends government proposals, and that interest groups' positions and experts' evidence must be considered when explaining such amendments. We demonstrate that parliament is more responsive to business pressure than to public interest groups, which are heavily dependent on political allies in governing parties. Finally, we show that expert advice can inform policy-makers and legitimize government bills, but can also disempower public interest groups.</t>
  </si>
  <si>
    <t>[Cross, James P.] Univ Coll Dublin, Sch Polit &amp; Int Relat, Dublin, Ireland; [Eising, Rainer; Spohr, Florian] Ruhr Univ Bochum, Fak Sozialwissensch, Lehrstuhl Vergleichende Polit Wissensch, Bochum, Germany; [Hermansson, Henrik] Swedish Agcy Growth Plan Anal, Ostersund, Sweden</t>
  </si>
  <si>
    <t>University College Dublin; Ruhr University Bochum</t>
  </si>
  <si>
    <t>Cross, JP (corresponding author), Univ Coll Dublin, Sch Polit &amp; Int Relat, Dublin, Ireland.</t>
  </si>
  <si>
    <t>james.cross@ucd.ie; rainer.eising@rub.de; henrik.hermansson@growthanalysis.se; florian.spohr@rub.de</t>
  </si>
  <si>
    <t>Spohr, Florian/0000-0003-1171-911X; Hermansson, Henrik/0000-0002-0997-9556; Cross, James/0000-0001-8042-1099</t>
  </si>
  <si>
    <t>10.1080/01402382.2019.1672025</t>
  </si>
  <si>
    <t>OK4HA</t>
  </si>
  <si>
    <t>WOS:000492538500001</t>
  </si>
  <si>
    <t>Goldenstein, J; Poschmann, P</t>
  </si>
  <si>
    <t>Alwin, DF</t>
  </si>
  <si>
    <t>Goldenstein, Jan; Poschmann, Philipp</t>
  </si>
  <si>
    <t>ANALYZING MEANING IN BIG DATA: PERFORMING A MAP ANALYSIS USING GRAMMATICAL PARSING AND TOPIC MODELING</t>
  </si>
  <si>
    <t>SOCIOLOGICAL METHODOLOGY, VOL 49</t>
  </si>
  <si>
    <t>text analysis; natural language processing; grammatical parsing; topic modeling; corporate responsibility</t>
  </si>
  <si>
    <t>CORPORATE SOCIAL-RESPONSIBILITY; QUANTITATIVE TEXT ANALYSIS; INSTITUTIONAL THEORY; CONCEPTUAL-FRAMEWORK; DISCOURSE; CULTURE; POSTFORDISM; STRATEGIES; IMPLICIT; US</t>
  </si>
  <si>
    <t>Social scientists have recently started discussing the utilization of text-mining tools as being fruitful for scaling inductively grounded close reading. We aim to progress in this direction and provide a contemporary contribution to the literature. By focusing on map analysis, we demonstrate the potential of text-mining tools for text analysis that approaches inductive but still formal in-depth analysis. We propose that a combination of text-mining tools addressing different layers of meaning facilitates a closer analysis of the dynamics of manifest and latent meanings than is currently acknowledged. To illustrate our approach, we combine grammatical parsing and topic modeling to operationalize communication structures within sentences and the semantic surroundings of these communication structures. We use a reliable and downloadable software application to analyze the dynamic interlacement of two layers of meaning over time. We do so by analyzing 15,371 newspaper articles on corporate responsibility published in the United States from 1950 to 2013.</t>
  </si>
  <si>
    <t>[Goldenstein, Jan; Poschmann, Philipp] Friedrich Schiller Univ Jena, Thuringia, Germany</t>
  </si>
  <si>
    <t>Poschmann, P (corresponding author), Friedrich Schiller Univ Jena, Sch Econ &amp; Business Adm, Carl Zeiss Str 3, D-07743 Jena, Germany.</t>
  </si>
  <si>
    <t>philipp.poschmann@uni-jena.de</t>
  </si>
  <si>
    <t>Poschmann, Philipp/F-3793-2016</t>
  </si>
  <si>
    <t>Poschmann, Philipp/0000-0002-7056-6013; Goldenstein, Jan/0000-0003-2538-0559</t>
  </si>
  <si>
    <t>Deutsche Forschungsgemeinschaft [WA 2139/16-1]</t>
  </si>
  <si>
    <t>Deutsche Forschungsgemeinschaft(German Research Foundation (DFG))</t>
  </si>
  <si>
    <t>The author(s) disclosed receipt of the following financial support for the research, authorship, and/or publication of this article: Deutsche Forschungsgemeinschaft (grant no. WA 2139/16-1).</t>
  </si>
  <si>
    <t>10.1177/0081175019852762</t>
  </si>
  <si>
    <t>BO1NT</t>
  </si>
  <si>
    <t>WOS:000501594000010</t>
  </si>
  <si>
    <t>Fyall, R; Moore, MK; Gugerty, MK</t>
  </si>
  <si>
    <t>Fyall, Rachel; Moore, M. Kathleen; Gugerty, Mary Kay</t>
  </si>
  <si>
    <t>Beyond NTEE Codes: Opportunities to Understand Nonprofit Activity Through Mission Statement Content Coding</t>
  </si>
  <si>
    <t>mission statements; NTEE classification; housing and shelter; homeless; automated content analysis</t>
  </si>
  <si>
    <t>ORGANIZATIONS; IMPACT; SECTOR</t>
  </si>
  <si>
    <t>There are profound differences within the nonprofit sector, and research benefits from the ability to group nonprofits by substantive focus. Researchers typically rely on the National Taxonomy of Exempt Entities (NTEE) codes to categorize nonprofits, but we argue that mission statement text offers a better information source for nonprofit researchers to create categories of organizations. Harnessing advances in data availability and machine-reading technology, this article introduces a new method whereby mission statement analysis drives research and analysis of like organizations. Using an automated dictionary method to analyze mission statements, we draw a sample of housing and shelter nonprofits in Washington State. Compared with the corresponding sample based on NTEE classification, our results find roughly double the number of housing and shelter nonprofits based on their mission statements. Our method also proves more accurate than NTEE codes when applied to a sub-sample of nonprofits known to provide shelter for the homeless.</t>
  </si>
  <si>
    <t>[Fyall, Rachel] Univ Washington, Evans Sch Publ Policy &amp; Governance, Box 353055, Seattle, WA 98195 USA; [Gugerty, Mary Kay] Univ Washington, Evans Sch Publ Policy &amp; Governance, Nonprofit Management, Seattle, WA 98195 USA; [Moore, M. Kathleen] Univ Wisconsin Madison, Inst Res Poverty, Madison, WI USA</t>
  </si>
  <si>
    <t>University of Washington; University of Washington Seattle; University of Washington; University of Washington Seattle; University of Wisconsin System; University of Wisconsin Madison</t>
  </si>
  <si>
    <t>Fyall, R (corresponding author), Univ Washington, Evans Sch Publ Policy &amp; Governance, Box 353055, Seattle, WA 98195 USA.</t>
  </si>
  <si>
    <t>fyall@uw.edu</t>
  </si>
  <si>
    <t>10.1177/0899764018768019</t>
  </si>
  <si>
    <t>GO4MD</t>
  </si>
  <si>
    <t>WOS:000439982800001</t>
  </si>
  <si>
    <t>Brockmeyer, T; Holtforth, MG; Bents, H; Herzog, W; Friederich, HC</t>
  </si>
  <si>
    <t>Brockmeyer, Timo; Holtforth, Martin Grosse; Bents, Hinrich; Herzog, Wolfgang; Friederich, Hans-Christoph</t>
  </si>
  <si>
    <t>Lower body weight is associated with less negative emotions in sad autobiographical memories of patients with anorexia nervosa</t>
  </si>
  <si>
    <t>PSYCHIATRY RESEARCH</t>
  </si>
  <si>
    <t>Anorexia nervosa; Eating disorders; Emotion regulation; Emotional processing; Autobiographical memories</t>
  </si>
  <si>
    <t>DISORDER; MOOD; VALIDATION; EXPRESSION</t>
  </si>
  <si>
    <t>Food restriction and weight-loss have been proposed to represent pathogenic mechanisms of emotion regulation in anorexia nervosa (AN). However, there is a lack of studies empirically examining this hypothesis. Therefore, the present study compared 25 women with AN and 25 healthy control women (HC) regarding spontaneous emotional processing of autobiographic memories. Participants idiographic memories of sad autobiographic events were analyzed using computerized, quantitative text analysis as an unobtrusive approach of nonreactive assessment. Compared to HC, AN patients retrieved more negative but a comparable number of positive emotions. Moreover, the lesser the body weight in AN patients, the lesser negative emotions they retrieved, irrespective of current levels of depressive symptoms and duration of illness. No such association was found in HC. These preliminary findings are in line with models of AN proposing that food restriction and weight-loss may be negatively reinforced by the alleviation of aversive emotional responses. (C) 2013 Elsevier Ireland Ltd. All rights reserved.</t>
  </si>
  <si>
    <t>[Brockmeyer, Timo; Herzog, Wolfgang; Friederich, Hans-Christoph] Univ Heidelberg Hosp, Dept Gen Internal Med &amp; Psychosomat, D-69120 Heidelberg, Germany; [Holtforth, Martin Grosse] Univ Zurich, Dept Psychol, CH-8050 Zurich, Switzerland; [Brockmeyer, Timo; Bents, Hinrich] Heidelberg Univ, Ctr Psychol Psychotherapy, D-69117 Heidelberg, Germany</t>
  </si>
  <si>
    <t>Ruprecht Karls University Heidelberg; University of Zurich; Ruprecht Karls University Heidelberg</t>
  </si>
  <si>
    <t>Brockmeyer, T (corresponding author), Univ Heidelberg Hosp, Dept Gen Internal Med &amp; Psychosomat, Neuenheimer Feld 410, D-69120 Heidelberg, Germany.</t>
  </si>
  <si>
    <t>timo.brockmeyer@med.uni-heidelberg.de</t>
  </si>
  <si>
    <t>Brockmeyer, Timo/K-8180-2019; Brockmeyer, Timo/N-1698-2014</t>
  </si>
  <si>
    <t>Brockmeyer, Timo/0000-0003-2544-7610; Brockmeyer, Timo/0000-0003-2544-7610</t>
  </si>
  <si>
    <t>Centre for Psychological Psychotherapy of the University of Heidelberg; Swiss National Science Foundation</t>
  </si>
  <si>
    <t>Centre for Psychological Psychotherapy of the University of Heidelberg; Swiss National Science Foundation(Swiss National Science Foundation (SNSF)European Commission)</t>
  </si>
  <si>
    <t>The authors have no competing interests to report. The first author was supported by a doctoral grant from the Centre for Psychological Psychotherapy of the University of Heidelberg. The second author was supported by a grant from the Swiss National Science Foundation. Special thanks to Esther Bresslein for research assistance.</t>
  </si>
  <si>
    <t>0165-1781</t>
  </si>
  <si>
    <t>PSYCHIAT RES</t>
  </si>
  <si>
    <t>Psychiatry Res.</t>
  </si>
  <si>
    <t>DEC 15</t>
  </si>
  <si>
    <t>10.1016/j.psychres.2013.06.024</t>
  </si>
  <si>
    <t>Psychiatry</t>
  </si>
  <si>
    <t>273EU</t>
  </si>
  <si>
    <t>WOS:000328518600028</t>
  </si>
  <si>
    <t>Schuler, P</t>
  </si>
  <si>
    <t>Schuler, Paul</t>
  </si>
  <si>
    <t>Position Taking or Position Ducking? A Theory of Public Debate in Single-Party Legislatures</t>
  </si>
  <si>
    <t>representation and electoral systems; nondemocratic regimes; legislative studies; Southeast Asia</t>
  </si>
  <si>
    <t>VIETNAM; OPPORTUNITIES; BELGIUM; REGIMES; TRENDS; MEDIA; TEXT</t>
  </si>
  <si>
    <t>Are representatives in authoritarian legislatures encouraged to take positions on salient issues? More generally, why do some autocracies allow public debate on hot topics at all? Understanding the dynamics of public legislative debate is important for the roles authoritarian legislatures are theorized to play in regime legitimation and information provision. I argue that the decision to allow public debate depends on autocratic incentives to mobilize public sentiment against the bureaucracy. While allowing debate on salient issues risks galvanizing antiregime sentiment, doing so may also mobilize public opinion against wayward government officials to improve performance and deflect blame. Therefore, I predict that autocrats will only allow public debate on issues they have delegated to the government. I test this using an automated content analysis of debate in the Vietnam National Assembly, with results showing evidence of position taking on salient issues, but only on issues the party delegates to the state.</t>
  </si>
  <si>
    <t>[Schuler, Paul] Univ Arizona, Tucson, AZ USA</t>
  </si>
  <si>
    <t>University of Arizona</t>
  </si>
  <si>
    <t>Schuler, P (corresponding author), Univ Arizona, Sch Govt &amp; Publ Policy, 1145 E South Campus Dr 315, Tucson, AZ 85719 USA.</t>
  </si>
  <si>
    <t>pschuler@email.arizona.edu</t>
  </si>
  <si>
    <t>10.1177/0010414018758765</t>
  </si>
  <si>
    <t>MH3HO</t>
  </si>
  <si>
    <t>WOS:000546622800005</t>
  </si>
  <si>
    <t>Choi, S</t>
  </si>
  <si>
    <t>Choi, Sujin</t>
  </si>
  <si>
    <t>When Digital Trace Data Meet Traditional Communication Theory: Theoretical/Methodological Directions</t>
  </si>
  <si>
    <t>big data; digital trace data; computational social science; communication theory; text mining; network analysis</t>
  </si>
  <si>
    <t>COMPUTATIONAL SOCIAL-SCIENCE; BIG DATA; NETWORK ANALYSIS; PUBLIC SPHERE; GROUNDED THEORY; TEXT ANALYSIS; INFORMATION; INTERNET; ONLINE; MEDIA</t>
  </si>
  <si>
    <t>This study suggests one direction of theoretical and methodological coupling of communication research with the digital trace data, utilizing its differences from the traditional social science approach (e.g., sampling vs. population, normal distribution vs. power-law distribution, generalization vs. simulation, deductive vs. inductive, and perceived vs. actual). We propose specific examples of (i) combining communication research with trace data methodologically and theoretically; (ii) collaborating with linguistic psychology complemented with the automated content analysis and natural language processing techniques; and (iii) creating new theoretical inquiries by configuring the granular level of interactivity and underlying dynamics, observing the longitudinal change of interactions, and discovering the neglected presence of outliers and the invisibles. We expect the direction suggested by this study contributes to deepening our understanding of human communication behavior.</t>
  </si>
  <si>
    <t>[Choi, Sujin] Kyung Hee Univ, Dept Journalism &amp; Commun, Seoul, South Korea</t>
  </si>
  <si>
    <t>Kyung Hee University</t>
  </si>
  <si>
    <t>Choi, S (corresponding author), Kyung Hee Univ, 26,Kyungheedae Ro, Seoul 02447, South Korea.</t>
  </si>
  <si>
    <t>sujinchoi@khu.ac.kr</t>
  </si>
  <si>
    <t>Choi, Sujin/AAH-9255-2020</t>
  </si>
  <si>
    <t>Choi, Sujin/0000-0002-7665-0734</t>
  </si>
  <si>
    <t>10.1177/0894439318788618</t>
  </si>
  <si>
    <t>KA8ME</t>
  </si>
  <si>
    <t>WOS:000506055900007</t>
  </si>
  <si>
    <t>Jonkman, JGF; Boukes, M; Vliegenthart, R; Verhoeven, P</t>
  </si>
  <si>
    <t>Jonkman, Jeroen G. F.; Boukes, Mark; Vliegenthart, Rens; Verhoeven, Piet</t>
  </si>
  <si>
    <t>Buffering Negative News: Individual-level Effects of Company Visibility, Tone, and Pre-existing Attitudes on Corporate Reputation</t>
  </si>
  <si>
    <t>MASS COMMUNICATION AND SOCIETY</t>
  </si>
  <si>
    <t>MEDIA REPUTATION; BAD-NEWS; COMMUNICATION; SENTIMENT; STRENGTH; EXPOSURE; COVERAGE; QUALITY; CRISIS; DUTCH</t>
  </si>
  <si>
    <t>Building on the agenda-setting theory, this study investigates the effect of corporations' visibility and tone in news coverage on reputation. More specifically, we examine the buffering role that prior reputation may have for the potential damaging impact of news coverage. Providing a stringent test of causality, data from an automated content analysis of Dutch online and print newspaper coverage (N = 5,235 articles) were linked to individual responses from a three-wave panel survey (N = 3,270 respondents) with repeated measurements of corporate reputation (12 organizations). The analyses show that mere exposure to corporations negatively affects reputation, whereas tone has a positive effect on reputation. It is furthermore shown that the effect of negative news is three times larger than the effect of positive news. Finally, in accordance with research on buffering effects of corporate reputation, we demonstrate that negative news is less influential for people holding more positive existing reputational attitudes.</t>
  </si>
  <si>
    <t>[Jonkman, Jeroen G. F.; Boukes, Mark; Vliegenthart, Rens; Verhoeven, Piet] Univ Amsterdam, Amsterdam Sch Commun Res ASCoR, NL-1001 NG Amsterdam, Netherlands</t>
  </si>
  <si>
    <t>Jonkman, JGF (corresponding author), Univ Amsterdam, Amsterdam Sch Commun Res ASCoR, NL-1001 NG Amsterdam, Netherlands.</t>
  </si>
  <si>
    <t>J.G.F.Jonkman@uva.nl</t>
  </si>
  <si>
    <t>Boukes, Mark/K-5090-2014</t>
  </si>
  <si>
    <t>Boukes, Mark/0000-0002-3377-6281</t>
  </si>
  <si>
    <t>Netherlands Organisation for Scientific Research (NWO) [016.145.369]</t>
  </si>
  <si>
    <t>This work was supported by the Netherlands Organisation for Scientific Research (NWO) with a VIDI grant under project number: 016.145.369.</t>
  </si>
  <si>
    <t>1520-5436</t>
  </si>
  <si>
    <t>1532-7825</t>
  </si>
  <si>
    <t>MASS COMMUN SOC</t>
  </si>
  <si>
    <t>Mass Commun. Soc.</t>
  </si>
  <si>
    <t>10.1080/15205436.2019.1694155</t>
  </si>
  <si>
    <t>KK4DE</t>
  </si>
  <si>
    <t>WOS:000503135800001</t>
  </si>
  <si>
    <t>Huff, C; Kertzer, JD</t>
  </si>
  <si>
    <t>Huff, Connor; Kertzer, Joshua D.</t>
  </si>
  <si>
    <t>How the Public Defines Terrorism</t>
  </si>
  <si>
    <t>CIVIL-WAR; SUPPORT; PSYCHOLOGY; STRATEGY; THREAT; LOGIC</t>
  </si>
  <si>
    <t>Every time a major violent act takes place in the United States, a public debate erupts as to whether it should be considered terrorism. Political scientists have offered a variety of conceptual frameworks, but have neglected to explore how ordinary citizens understand terrorism, despite the central role the public plays in our understanding of the relationship between terrorism and government action in the wake of violence. We synthesize components of both scholarly definitions and public debates to formulate predictions for how various attributes of incidents affect the likelihood they are perceived as terrorism. Combining a conjoint experiment with machine learning techniques and automated content analysis of media coverage, we show the importance not only of the type and severity of violence, but also the attributed motivation for the incident and social categorization of the actor. The findings demonstrate how the language used to describe violent incidents, for which the media has considerable latitude, affects the likelihood the public classifies incidents as terrorism.</t>
  </si>
  <si>
    <t>[Huff, Connor] Harvard Univ, Dept Govt, 1737 Cambridge St, Cambridge, MA 02138 USA; [Kertzer, Joshua D.] Harvard Univ, Dept Govt, 1737 Cambridge St,K206, Cambridge, MA 02138 USA</t>
  </si>
  <si>
    <t>Harvard University; Harvard University</t>
  </si>
  <si>
    <t>Huff, C (corresponding author), Harvard Univ, Dept Govt, 1737 Cambridge St, Cambridge, MA 02138 USA.</t>
  </si>
  <si>
    <t>cdezzanihuff@fas.harvard.edu; jkertzer@gov.harvard.edu</t>
  </si>
  <si>
    <t>Weatherhead Center for International Affairs; Institute for Quantitative Social Science; Niehaus Center for Globalization and Governance</t>
  </si>
  <si>
    <t>We thank Bob Bates, Mia Bloom, Alex Braithwaite, Dara Kay Cohen, Naoki Egami, Marcus Holmes, Jeff Kaplow, In Song Kim, Melia Pfannenstiel, Peter Vining, Ariel White, Thomas Zeitzoff, and audiences at the Political Violence Workshop at Harvard University, ISA 2016, MPSA 2016, Trinity College, Dublin, andWilliam and Mary for helpful comments, suggestions, and assistance. Kertzer acknowledges the support of the Weatherhead Center for International Affairs, Institute for Quantitative Social Science, and Niehaus Center for Globalization and Governance; thanks to Perry Abdulkadir, Michael Chen, and Aaron Miller for fantastic research assistance. Authors' names are in alphabetical order.</t>
  </si>
  <si>
    <t>10.1111/ajps.12329</t>
  </si>
  <si>
    <t>FU2FI</t>
  </si>
  <si>
    <t>WOS:000423664400004</t>
  </si>
  <si>
    <t>Hopkins, DJ; Kim, E; Kim, S</t>
  </si>
  <si>
    <t>Hopkins, Daniel J.; Kim, Eunji; Kim, Soojong</t>
  </si>
  <si>
    <t>Does newspaper coverage influence or reflect public perceptions of the economy?</t>
  </si>
  <si>
    <t>Automated content analysis; economic perceptions; news media coverage; public opinion</t>
  </si>
  <si>
    <t>NEWS; SENTIMENT; ORIGINS; BIAS</t>
  </si>
  <si>
    <t>Citizens' economic perceptions can shape their political and economic behavior, making the origins of those perceptions an important question. Research commonly posits that media coverage is a central source. Here, we test that prospect while considering the alternative hypothesis that media coverage instead echoes public perceptions. This paper applies a straightforward automated measure of the tone of economic coverage to 490,039 articles from 24 national and local media outlets over more than three decades. By matching the 245,947 survey respondents in the Survey of Consumer Attitudes and Behavior to measures of contemporaneous media coverage, we can assess the sequencing of changes in media coverage and public perceptions. Together, these data illustrate that newspaper coverage does not systematically precede public perceptions of the economy, a finding which analyses of television transcripts reinforce. Neither national nor local newspapers appear to strongly influence economic perceptions.</t>
  </si>
  <si>
    <t>[Hopkins, Daniel J.; Kim, Eunji] Univ Penn, Dept Polit Sci, 208 S 37th St, Philadelphia, PA 19104 USA; [Kim, Eunji; Kim, Soojong] Univ Penn, Annenberg Sch Commun, Philadelphia, PA 19104 USA</t>
  </si>
  <si>
    <t>University of Pennsylvania; University of Pennsylvania</t>
  </si>
  <si>
    <t>Hopkins, DJ (corresponding author), Univ Penn, Dept Polit Sci, 208 S 37th St, Philadelphia, PA 19104 USA.</t>
  </si>
  <si>
    <t>danhop@sas.upenn.edu</t>
  </si>
  <si>
    <t>Kim, Eunji/J-4128-2019; Kim, Soojong/W-2699-2019</t>
  </si>
  <si>
    <t>Kim, Soojong/0000-0002-1334-5310; Kim, Eunji/0000-0002-7269-8220</t>
  </si>
  <si>
    <t>10.1177/2053168017737900</t>
  </si>
  <si>
    <t>FW0IV</t>
  </si>
  <si>
    <t>WOS:000424978300001</t>
  </si>
  <si>
    <t>Schwemmer, C; Ziewiecki, S</t>
  </si>
  <si>
    <t>Schwemmer, Carsten; Ziewiecki, Sandra</t>
  </si>
  <si>
    <t>Social Media Sellout: The Increasing Role of Product Promotion on YouTube</t>
  </si>
  <si>
    <t>SOCIAL MEDIA + SOCIETY</t>
  </si>
  <si>
    <t>YouTube; social media; product promotion; influencer marketing; topic modeling</t>
  </si>
  <si>
    <t>WORD-OF-MOUTH; PLACEMENT</t>
  </si>
  <si>
    <t>Since its foundation in 2005, YouTube, which is considered to be the largest video sharing site, has undergone substantial changes. Over the last decade, the platform developed into a leading marketing tool used for product promotion by social media influencers. Past research indicates that these influencers are regarded as opinion leaders and cooperate with brands to market products on YouTube through electronic-word-of-mouth mechanisms. However, surprisingly little is known about the magnitude of this phenomenon. In our article, we make a first attempt to quantify product promotion and use an original dataset of 139,475 videos created by German YouTube channels between 2009 and 2017. Applying methods for automated content analysis, we find that YouTube users indeed are confronted with an ever-growing share of product promotion, particularly in the beauty and fashion sector. Our findings fuel concerns regarding the social and economic impact of influencers, especially on younger target groups.</t>
  </si>
  <si>
    <t>[Schwemmer, Carsten] Univ Bamberg, Computat Social Sci, Bamberg, Germany; [Schwemmer, Carsten] Univ Bamberg, Polit Sociol, Feldkirchenstr 21, D-96052 Bamberg, Germany; [Ziewiecki, Sandra] Univ Bayreuth, Media Management &amp; Mkt, Bayreuth, Germany; [Ziewiecki, Sandra] Univ Bayreuth, Chair Gen Business Adm, Bayreuth, Germany</t>
  </si>
  <si>
    <t>Otto Friedrich University Bamberg; Otto Friedrich University Bamberg; University of Bayreuth; University of Bayreuth</t>
  </si>
  <si>
    <t>Schwemmer, C (corresponding author), Univ Bamberg, Polit Sociol, Feldkirchenstr 21, D-96052 Bamberg, Germany.</t>
  </si>
  <si>
    <t>carsten.schwemmer@uni-bamberg.de</t>
  </si>
  <si>
    <t>Schwemmer, Carsten/M-1013-2019</t>
  </si>
  <si>
    <t>Schwemmer, Carsten/0000-0001-9084-946X</t>
  </si>
  <si>
    <t>2056-3051</t>
  </si>
  <si>
    <t>SOC MEDIA SOC</t>
  </si>
  <si>
    <t>Soc. Med. Soc.</t>
  </si>
  <si>
    <t>AUG 14</t>
  </si>
  <si>
    <t>10.1177/2056305118786720</t>
  </si>
  <si>
    <t>GQ4AV</t>
  </si>
  <si>
    <t>gold, Green Submitted, Green Published</t>
  </si>
  <si>
    <t>WOS:000441610600001</t>
  </si>
  <si>
    <t>Choi, S; Liu, JH; Cserto, I; Vincze, O; Fulop, E; Polya, T</t>
  </si>
  <si>
    <t>Choi, Sarah; Liu, James H.; Cserto, Istvan; Vincze, Orsolya; Fulop, Eva; Polya, Tibor</t>
  </si>
  <si>
    <t>Automated Analysis of Narrative: NarrCat and the Identification of Infrahumanization Bias Within Text</t>
  </si>
  <si>
    <t>quantitative text analysis; psychological perspective; infrahumanization</t>
  </si>
  <si>
    <t>PERSPECTIVE-TAKING; LANGUAGE USE; PREJUDICE; ATTRIBUTION; SELF; DEHUMANIZATION; ESSENTIALISM; NATIONALISM; DIMENSIONS; HUMANNESS</t>
  </si>
  <si>
    <t>The Narrative Categorical Content Analysis toolkit (abbreviated as NarrCat) decomposes narratives into distinct, quantifiable psychological processes. In this study, NarrCat was applied to analyze New Zealand's historical Speeches from the Throne from 1854 to 1913 (68 speeches). Specifically, NarrCat's cognition, emotion, and intention modules were applied to analyze patterns of psychological perspective, or psychological states, attributed to various groups in the speeches (Maori, British settlers, and British governing elites). This allowed us to examine infrahumanization bias, as denoted by patterns of language, in New Zealand's governing discourses during colonization. Results showed that Maori were infrahumanized compared with the British settlers overall. However, only British Governing elites were attributed significantly greater agency (i.e., cognition and intention) in inferences of their psychological perspective compared with other groups. Theoretical implications of these findings are discussed through the lens of infrahumanization theory, as well as colonizing discourses like the British Enlightenment and Good Maori-Bad Maori discourse.</t>
  </si>
  <si>
    <t>[Choi, Sarah] Massey Univ, Auckland, New Zealand; [Liu, James H.] Massey Univ, Psychol, Auckland, New Zealand; [Cserto, Istvan] Univ Pecs, Social Psychol, Pecs, Hungary; [Vincze, Orsolya] Univ Pecs, Inst Psychol, Pecs, Hungary; [Fulop, Eva] Pazmany Peter Catholic Univ, Inst Psychol, Budapest, Hungary; [Polya, Tibor] Karoli Gaspar Univ Reformed Church, Inst Psychol, Budapest, Hungary; [Polya, Tibor] Hungarian Acad Sci, Res Ctr Nat Sci, Inst Cognit Neurosci &amp; Psychol, POB 286, H-1519 Budapest, Hungary</t>
  </si>
  <si>
    <t>Massey University; Massey University; University of Pecs; Hungarian Academy of Sciences; Hungarian Research Centre for Natural Sciences; University of Pecs; Hungarian Academy of Sciences; Hungarian Research Centre for Natural Sciences</t>
  </si>
  <si>
    <t>Polya, T (corresponding author), Hungarian Acad Sci, Res Ctr Nat Sci, Inst Cognit Neurosci &amp; Psychol, POB 286, H-1519 Budapest, Hungary.</t>
  </si>
  <si>
    <t>polya.tibor@ttk.mta.hu</t>
  </si>
  <si>
    <t>Vincze, Orsolya/AFS-0723-2022</t>
  </si>
  <si>
    <t>Polya, Tibor/0000-0002-3801-9992; Liu, James/0000-0001-9520-5727; Choi, Sarah/0000-0002-0498-9106</t>
  </si>
  <si>
    <t>European Union; European Social Fund [EFOP-3.6.1]; National Research, Development and Innovation Office (NKFIH) [K 109009, K 124206]</t>
  </si>
  <si>
    <t>European Union(European Commission); European Social Fund(European Social Fund (ESF)); National Research, Development and Innovation Office (NKFIH)</t>
  </si>
  <si>
    <t>The author(s) disclosed receipt of the following financial support for the research, authorship, and/or publication of this article: The fourth author has been supported by the European Union, cofinanced by the European Social Fund (Grant number EFOP-3.6.1.-16-2016-00004, grant title: Comprehensive Development for Implementing Smart Specialization Strategies at the University of Pecs. The last author has been supported by the National Research, Development and Innovation Office (NKFIH) Grant number K 109009 and K 124206.</t>
  </si>
  <si>
    <t>0261927X19893833</t>
  </si>
  <si>
    <t>10.1177/0261927X19893833</t>
  </si>
  <si>
    <t>KH0YU</t>
  </si>
  <si>
    <t>WOS:000506493300001</t>
  </si>
  <si>
    <t>Engstrom, EJ; Pietryka, MT; Scott, JT</t>
  </si>
  <si>
    <t>Engstrom, Erik J.; Pietryka, Matthew T.; Scott, John T.</t>
  </si>
  <si>
    <t>Constitutional Innovation and Imitation in the American States</t>
  </si>
  <si>
    <t>POLITICAL RESEARCH QUARTERLY</t>
  </si>
  <si>
    <t>policy diffusion; policy innovation; constitutional change; state constitutions; state politics; federalism; federal; state; text analysis</t>
  </si>
  <si>
    <t>The widespread adoption of written constitutions is one of the most notable developments in institutional design in politics over the past 250 years. The American states offer a rich place to study constitutional innovation and imitation as being among the first political bodies to adopt constitutions and also given that they often replaced them, in both cases innovating and learning from one another. In this paper, we use quantitative text analysis to identify constitutional innovation and to investigate patterns of imitation. First, we find substantial textual borrowing between state constitutions. On average, 20 percent of a state's constitutional language was borrowed directly from another state constitution. Second, states were more likely to borrow text from geographically proximate states, from temporally proximate state constitutions, and from states that shared similar partisan profiles. Finally, we offer a brief discussion of the most influential constitutions as an exploratory example for extending our approach of identifying textual innovation and imitation. These findings offer new contributions to both the study of constitutional design and institutional diffusion.</t>
  </si>
  <si>
    <t>[Engstrom, Erik J.; Scott, John T.] Univ Calif Davis, Davis, CA 95616 USA; [Pietryka, Matthew T.] Florida State Univ, Tallahassee, FL 32306 USA</t>
  </si>
  <si>
    <t>University of California System; University of California Davis; State University System of Florida; Florida State University</t>
  </si>
  <si>
    <t>Engstrom, EJ (corresponding author), Univ Calif Davis, Davis, CA 95616 USA.</t>
  </si>
  <si>
    <t>ejengstrom@ucdavis.edu</t>
  </si>
  <si>
    <t>Engstrom, Erik/0000-0003-4869-3590; Pietryka, Matthew/0000-0002-0347-1110</t>
  </si>
  <si>
    <t>1065-9129</t>
  </si>
  <si>
    <t>1938-274X</t>
  </si>
  <si>
    <t>POLIT RES QUART</t>
  </si>
  <si>
    <t>Polit. Res. Q.</t>
  </si>
  <si>
    <t>10.1177/1065912921991673</t>
  </si>
  <si>
    <t>ZA2AS</t>
  </si>
  <si>
    <t>WOS:000637922000001</t>
  </si>
  <si>
    <t>Bossetta, M</t>
  </si>
  <si>
    <t>Bossetta, Michael</t>
  </si>
  <si>
    <t>Fighting fire with fire: Mainstream adoption of the populist political style in the 2014 Europe debates between Nick Clegg and Nigel Farage</t>
  </si>
  <si>
    <t>Populism; rhetoric; political communication; text analysis</t>
  </si>
  <si>
    <t>RADICAL RIGHT; PARTIES; IMMIGRATION; CRISIS</t>
  </si>
  <si>
    <t>Advancing the concept of populism as a political style, this study compares the debate performances of two British party leaders, Nick Clegg and Nigel Farage, as they clashed in a pair of televised debates over Britain's European Union (EU) membership leading up to the 2014 European Parliament elections. The argument is tested that if under certain conditions, mainstream politicians will adopt a populist style although retaining a non-populist agenda. A mixed-methods approach combines quantitative text analysis with a qualitative rhetorical analysis to demonstrate how the populist and non-populist style can be distinguished and compared systematically. The results suggest that Clegg, while maintaining a non-populist ideology, adopts a populist style after losing the first debate. Farage's communication style, conversely, remains stable to the point of statistical significance. This suggests that one explanatory factor of populists' success is the consistency of their message and rhetorical delivery, bolstering their perceived authenticity among voters.</t>
  </si>
  <si>
    <t>[Bossetta, Michael] Univ Copenhagen, Dept Polit Sci, Oster Farimagsgade 5, DK-1353 Copenhagen K, Denmark</t>
  </si>
  <si>
    <t>University of Copenhagen</t>
  </si>
  <si>
    <t>Bossetta, M (corresponding author), Univ Copenhagen, Dept Polit Sci, Oster Farimagsgade 5, DK-1353 Copenhagen K, Denmark.</t>
  </si>
  <si>
    <t>mjb@ifs.ku.dk</t>
  </si>
  <si>
    <t>Bossetta, Michael/AAC-6991-2021</t>
  </si>
  <si>
    <t>Bossetta, Michael/0000-0002-8611-5487</t>
  </si>
  <si>
    <t>10.1177/1369148117715646</t>
  </si>
  <si>
    <t>FL0IZ</t>
  </si>
  <si>
    <t>WOS:000413896300006</t>
  </si>
  <si>
    <t>Kleinnijenhuis, J; Schultz, F; Oegema, D</t>
  </si>
  <si>
    <t>Kleinnijenhuis, Jan; Schultz, Friederike; Oegema, Dirk</t>
  </si>
  <si>
    <t>Frame Complexity and the Financial Crisis: A Comparison of the United States, the United Kingdom, and Germany in the Period 2007-2012</t>
  </si>
  <si>
    <t>Communicative Complexity; Frame Complexity; Agenda Setting; Consumer Confidence; Financial Crisis</t>
  </si>
  <si>
    <t>TIME-SERIES ANALYSIS; INTEGRATIVE COMPLEXITY; AGENDA DIVERSITY; PUBLIC AGENDA; MEDIA-RICH; NEWS; BRITISH; POOR; US; GOVERNMENT</t>
  </si>
  <si>
    <t>Communicative complexity concerns the variety of issues and stakeholders (agenda complexity) and their associations (frame complexity) in the news. One issue may dominate news in crises (9/11, Katrina), but as soon as complexity recovers, uncertainty may decrease and the public mood may improve. The financial crisis in the United States, the United Kingdom, and Germany (2007-2012) offers an example. An automated content analysis was applied to over 160,000 newspaper articles. Frame complexity decreased until the spotlight fell on the demise of Bear Stearns and Lehman Brothers (2008). The subsequent gradual recovery was only partly interrupted by the euro crisis. A Vector AutoRegression time series analysis shows that increasing frame complexity may indeed have fostered the recovery of financial markets and consumer confidence.</t>
  </si>
  <si>
    <t>[Kleinnijenhuis, Jan; Schultz, Friederike; Oegema, Dirk] Vrije Univ Amsterdam, Dept Commun Sci, NL-1081 HV Amsterdam, Netherlands</t>
  </si>
  <si>
    <t>Vrije Universiteit Amsterdam</t>
  </si>
  <si>
    <t>Kleinnijenhuis, J (corresponding author), Vrije Univ Amsterdam, Dept Commun Sci, NL-1081 HV Amsterdam, Netherlands.</t>
  </si>
  <si>
    <t>j.kleinnijenhuis@vu.nl</t>
  </si>
  <si>
    <t>Kleinnijenhuis, Jan/A-2048-2013</t>
  </si>
  <si>
    <t>Kleinnijenhuis, Jan/0000-0001-6231-8186</t>
  </si>
  <si>
    <t>10.1111/jcom.12141</t>
  </si>
  <si>
    <t>CB7BO</t>
  </si>
  <si>
    <t>WOS:000349781300002</t>
  </si>
  <si>
    <t>Sagarzazu, Inaki; Kluever, Heike</t>
  </si>
  <si>
    <t>Where Have All the Leaders Gone? Evaluating the Dynamics of Parties' Issue Attention in Coalition Governments</t>
  </si>
  <si>
    <t>PORTFOLIO ALLOCATION; COMPETITION; OWNERSHIP; SALIENCE; PERCEPTIONS; PARTNERS; PAYOFFS; AGENDA; MODEL</t>
  </si>
  <si>
    <t>Objective. While selective issue emphasis is a widely recognized strategy of party competition, we have little knowledge about how coalition parties interact with each other when deciding which policy issues to emphasize. Therefore we ask: Who leads and who follows the issue agenda in coalition governments? Methods. We create an issue attention data set using quantitative text analysis from over 40,000 press releases. We use this data set and time series cross-section regression analysis to study the dynamics of coalition parties' issue attention. Results. We find that junior coalition parties are more responsive to their senior partners than senior partners to their junior partners. Hence, while coalition partners generally follow each other, senior partners enjoy a stronger leadership role in the cabinet. Conclusion. Coalition parties indeed coordinate their issue priorities as they respond to each other's issue agenda. However, due the asymmetric power distribution in coalition cabinets, it is not a negotiation process on equal footing.</t>
  </si>
  <si>
    <t>[Sagarzazu, Inaki] Texas Tech Univ, 10 Holden Hall, Lubbock, TX 79409 USA; [Kluever, Heike] Humboldt Univ, Berlin, Germany</t>
  </si>
  <si>
    <t>Texas Tech University System; Texas Tech University; Humboldt University of Berlin</t>
  </si>
  <si>
    <t>Sagarzazu, I (corresponding author), Texas Tech Univ, 10 Holden Hall, Lubbock, TX 79409 USA.</t>
  </si>
  <si>
    <t>inaki.sagarzazu@ttu.edu</t>
  </si>
  <si>
    <t>Sagarzazu, Inaki/0000-0001-8350-0454</t>
  </si>
  <si>
    <t>10.1111/ssqu.12437</t>
  </si>
  <si>
    <t>WOS:000408759700017</t>
  </si>
  <si>
    <t>Gonzalez-Bailon, S; Paltoglou, G</t>
  </si>
  <si>
    <t>Gonzalez-Bailon, Sandra; Paltoglou, Georgios</t>
  </si>
  <si>
    <t>Signals of Public Opinion in Online Communication: A Comparison of Methods and Data Sources</t>
  </si>
  <si>
    <t>ANNALS OF THE AMERICAN ACADEMY OF POLITICAL AND SOCIAL SCIENCE</t>
  </si>
  <si>
    <t>content analysis; text mining; sentiment analysis; language formality; information diversity; lexicon-based methods; machine learning</t>
  </si>
  <si>
    <t>SENTIMENT</t>
  </si>
  <si>
    <t>This study offers a systematic comparison of automated content analysis tools. The ability of different lexicons to correctly identify affective tone (e.g., positive vs. negative) is assessed in different social media environments. Our comparisons examine the reliability and validity of publicly available, off-the-shelf classifiers. We use datasets from a range of online sources that vary in the diversity and formality of the language used, and we apply different classifiers to extract information about the affective tone in these datasets. We first measure agreement (reliability test) and then compare their classifications with the benchmark of human coding (validity test). Our analyses show that validity and reliability vary with the formality and diversity of the text; we also show that ready-to-use methods leave much space for improvement when analyzing domain-specific content and that a machine-learning approach offers more accurate predictions across communication domains.</t>
  </si>
  <si>
    <t>[Gonzalez-Bailon, Sandra] Univ Penn, Annenberg Sch Commun, Philadelphia, PA 19104 USA; [Paltoglou, Georgios] Wolverhampton Univ, Sch Math &amp; Comp Sci, Wolverhampton, W Midlands, England</t>
  </si>
  <si>
    <t>University of Pennsylvania; University of Wolverhampton</t>
  </si>
  <si>
    <t>Gonzalez-Bailon, S (corresponding author), Univ Penn, Annenberg Sch Commun, Philadelphia, PA 19104 USA.</t>
  </si>
  <si>
    <t>Gonzalez-Bailon, Sandra/D-7526-2016</t>
  </si>
  <si>
    <t>Gonzalez-Bailon, Sandra/0000-0002-8372-798X</t>
  </si>
  <si>
    <t>0002-7162</t>
  </si>
  <si>
    <t>1552-3349</t>
  </si>
  <si>
    <t>ANN AM ACAD POLIT SS</t>
  </si>
  <si>
    <t>Ann. Am. Acad. Polit. Soc. Sci.</t>
  </si>
  <si>
    <t>10.1177/0002716215569192</t>
  </si>
  <si>
    <t>Political Science; Social Sciences, Interdisciplinary</t>
  </si>
  <si>
    <t>CF8EV</t>
  </si>
  <si>
    <t>WOS:000352789600007</t>
  </si>
  <si>
    <t>McCabe, KT</t>
  </si>
  <si>
    <t>McCabe, Katherine T.</t>
  </si>
  <si>
    <t>Engaging multiple identity frames in political discussion</t>
  </si>
  <si>
    <t>POLITICS GROUPS AND IDENTITIES</t>
  </si>
  <si>
    <t>LGBT politics; framing; cross-pressure; Twitter; political discussion</t>
  </si>
  <si>
    <t>RELIGIOUS IDENTITY; PUBLIC-OPINION; GAY; FEATHER; BIRDS</t>
  </si>
  <si>
    <t>Many partisans identify with social groups more typically associated with the opposing party. When both social and partisan identities are made salient in a political environment, this can complicate how people discuss politics and form opinions, as they confront multiple, often competing frames for interpreting political issues and events. This study examines how individuals negotiate cross-cutting frames from partisan and LGBT groups when communicating about political events that make both identities salient. Using a quantitative text analysis of tweets following major political events, the study compares communications from accounts associated with LGBT Republican groups to those from accounts related to other LGBT, Democratic, and Republican groups. The results show that after events that make LGBT and partisan identity salient, users associated with LGBT Republican groups depart from other Republican-associated users in their communications and are uniquely likely to adopt frames in their communication that are associated with both LGBT and Republican interests. The findings have implications for theories of framing effects, cross pressure, and the boundaries of partisanship's influence on behavior.</t>
  </si>
  <si>
    <t>[McCabe, Katherine T.] Rutgers State Univ, Dept Polit Sci, New Brunswick, NJ 08901 USA</t>
  </si>
  <si>
    <t>Rutgers State University New Brunswick</t>
  </si>
  <si>
    <t>McCabe, KT (corresponding author), Rutgers State Univ, Dept Polit Sci, New Brunswick, NJ 08901 USA.</t>
  </si>
  <si>
    <t>k.mccabe@rutgers.edu</t>
  </si>
  <si>
    <t>2156-5503</t>
  </si>
  <si>
    <t>2156-5511</t>
  </si>
  <si>
    <t>POLIT GROUPS IDENTIT</t>
  </si>
  <si>
    <t>Polit. Groups Identities</t>
  </si>
  <si>
    <t>10.1080/21565503.2022.2086473</t>
  </si>
  <si>
    <t>3B9LU</t>
  </si>
  <si>
    <t>WOS:000828257100001</t>
  </si>
  <si>
    <t>Callau, AA; Albert, MYP; Rota, JJ; Gine, DS</t>
  </si>
  <si>
    <t>Avila Callau, Aitor; Perez Albert, Maria Yolanda; Jurado Rota, Joan; Serrano Gine, David</t>
  </si>
  <si>
    <t>Landscape characterization using photographs from crowdsourced platforms: content analysis of social media photographs</t>
  </si>
  <si>
    <t>OPEN GEOSCIENCES</t>
  </si>
  <si>
    <t>landscape characterisation; ecosystem services; sports crowdsourced photographs; Wikiloc; outdoor activities</t>
  </si>
  <si>
    <t>CULTURAL ECOSYSTEM SERVICES; PREFERENCES; APPRECIATION; QUALITIES; FLICKR; VALUES; WORLD</t>
  </si>
  <si>
    <t>Landscape characterisation using social media photographs from popular platforms has been proposed as a landscape and ecosystem services approach. However, popular crowdsourced websites provide uncharacterized data and are only representative of the general public. Photographs from crowdsourced sports platforms, whose users are more homogeneous, could help to characterise landscape more uniformly. In this study we use automated content analysis from photographs on Wikiloc, a crowdsourced sports platform, to characterize landscape in the Ebro Delta Natural Park, a protected area in Spain. Our approach applies big data procedures and spatial analysis to provide in-depth information regarding what draws visitors' attention to a landscape and to ascertain their intrasite flow. Our results show that sports users are keen on natural landscapes and pay less attention to rural and degraded landscapes, and that areas closer to paths are more photographed than more distant areas.</t>
  </si>
  <si>
    <t>[Avila Callau, Aitor; Perez Albert, Maria Yolanda; Jurado Rota, Joan; Serrano Gine, David] Univ Rovira &amp; Virgili, C Joanot Martorell 15, Tarragona 43480, Spain</t>
  </si>
  <si>
    <t>Universitat Rovira i Virgili</t>
  </si>
  <si>
    <t>Gine, DS (corresponding author), Univ Rovira &amp; Virgili, C Joanot Martorell 15, Tarragona 43480, Spain.</t>
  </si>
  <si>
    <t>david.serrano@urv.cat</t>
  </si>
  <si>
    <t>Giné, David Serrano/ABH-6375-2020; Avila, Aitor/GZK-9768-2022; Albert, Yolanda Pérez/L-7170-2014</t>
  </si>
  <si>
    <t>Giné, David Serrano/0000-0003-1676-7110; Albert, Yolanda Pérez/0000-0003-1634-4986</t>
  </si>
  <si>
    <t>Spanish Ministry of Science, Innovation and Universities (AEI / FEDER, UE) under Grant CHORA [CSO2017-82411-P]; Catalan Government [2009-SG744]</t>
  </si>
  <si>
    <t>Spanish Ministry of Science, Innovation and Universities (AEI / FEDER, UE) under Grant CHORA; Catalan Government</t>
  </si>
  <si>
    <t>This work was supported by the Spanish Ministry of Science, Innovation and Universities (AEI / FEDER, UE) under Grant CHORA (contract number CSO2017-82411-P). The GRATET Research Group is funded by the Catalan Government under code 2009-SG744.</t>
  </si>
  <si>
    <t>DE GRUYTER POLAND SP Z O O</t>
  </si>
  <si>
    <t>BOGUMILA ZUGA 32A STR, 01-811 WARSAW, MAZOVIA, POLAND</t>
  </si>
  <si>
    <t>2391-5447</t>
  </si>
  <si>
    <t>OPEN GEOSCI</t>
  </si>
  <si>
    <t>Open Geosci.</t>
  </si>
  <si>
    <t>10.1515/geo-2019-0046</t>
  </si>
  <si>
    <t>JI8OT</t>
  </si>
  <si>
    <t>WOS:000493723700001</t>
  </si>
  <si>
    <t>Sebok, M; Kubik, BG; Molnar, C; Jaray, IP; Szekely, A</t>
  </si>
  <si>
    <t>Sebok, Miklos; Kubik, Balint Gyorgy; Molnar, Csaba; Jaray, Istvan Peter; Szekely, Anna</t>
  </si>
  <si>
    <t>Measuring legislative stability: a new approach with data from Hungary</t>
  </si>
  <si>
    <t>EUROPEAN POLITICAL SCIENCE</t>
  </si>
  <si>
    <t>Hungary; Legislative amendments; Legislative process; Legislative stability; Quantitative text analysis; Text mining</t>
  </si>
  <si>
    <t>QUALITY; EU</t>
  </si>
  <si>
    <t>While the stability of legislation is one of the fundamental issues in political theory, comparative and quantitative analyses on the subject are in short supply in the political science literature. In this article, we propose a novel measurement scheme for legislative stability, and we also introduce a Legislative Stability Index (LSI) developed to this end. In terms of empirical evidence, our index relies on the number of legislative amendments adopted within the span of an electoral cycle, as well as the breadth of issues the amendments touch on. It is based on the frequency with which laws are amended after their adoption. Our approach uses a new law-amendment edge-type network for a new Hungarian legislative database. Amendment-type connections are discovered by an automated dictionary-based text mining method. We tested the applicability of our index in various regression models. Results show that the legislative term, the length of the law and the way it was adopted were the most significant variables in explaining variation in the stability of legislation.</t>
  </si>
  <si>
    <t>[Sebok, Miklos; Kubik, Balint Gyorgy; Molnar, Csaba; Jaray, Istvan Peter; Szekely, Anna] Inst Polit Sci, Ctr Social Sci, 4 Toth Kalman, H-1097 Budapest, Hungary; [Molnar, Csaba] Corvinus Univ Budapest, 8 Fovam, H-1093 Budapest, Hungary</t>
  </si>
  <si>
    <t>Hungarian Academy of Sciences; Hungarian Centre for Social Sciences; Corvinus University Budapest</t>
  </si>
  <si>
    <t>Sebok, M (corresponding author), Inst Polit Sci, Ctr Social Sci, 4 Toth Kalman, H-1097 Budapest, Hungary.</t>
  </si>
  <si>
    <t>sebok.miklos@tk.hu; kubikbalint@gmail.com; molnar.csaba@tk.hu; jaray.istvanpeter@tk.hu; szekely.anna2@gmail.com</t>
  </si>
  <si>
    <t>Centre for Social Sciences; Hungarian Scientific Research Fund [AJP-K-109303]; National Research, Development and Innovation Office [FK-123907]; Artificial Intelligence National Laboratory of Hungary; Bolyai grant of Miklos Sebok; OPTED Horizon 2020 project</t>
  </si>
  <si>
    <t>Centre for Social Sciences; Hungarian Scientific Research Fund(Orszagos Tudomanyos Kutatasi Alapprogramok (OTKA)); National Research, Development and Innovation Office(National Research, Development &amp; Innovation Office (NRDIO) - Hungary); Artificial Intelligence National Laboratory of Hungary; Bolyai grant of Miklos Sebok; OPTED Horizon 2020 project</t>
  </si>
  <si>
    <t>Open access funding provided by Centre for Social Sciences. The project was supported by Hungarian Scientific Research Fund Grant nr. AJP-K-109303 and by the National Research, Development and Innovation Office grant nr. FK-123907, the Artificial Intelligence National Laboratory of Hungary, the OPTED Horizon 2020 project as well as the Bolyai grant of Miklos Sebok.</t>
  </si>
  <si>
    <t>1680-4333</t>
  </si>
  <si>
    <t>1682-0983</t>
  </si>
  <si>
    <t>EUR POLIT SCI</t>
  </si>
  <si>
    <t>Eur. Polit. Sci.</t>
  </si>
  <si>
    <t>10.1057/s41304-022-00376-8</t>
  </si>
  <si>
    <t>0L8ER</t>
  </si>
  <si>
    <t>WOS:000781701700002</t>
  </si>
  <si>
    <t>Yang, XL; Miao, X; Wu, JL; Duan, ZW; Yang, R; Tang, YH</t>
  </si>
  <si>
    <t>Yang, Xiuli; Miao, Xin; Wu, Jinli; Duan, Ziwei; Yang, Rui; Tang, Yanhong</t>
  </si>
  <si>
    <t>Towards Holistic Governance of China's E-Waste Recycling: Evolution of Networked Policies</t>
  </si>
  <si>
    <t>electronic waste (e-waste); recycling; holistic governance; networked policies; government departments</t>
  </si>
  <si>
    <t>EXTENDED PRODUCER RESPONSIBILITY; WEEE; DETERMINANTS; BEHAVIOR</t>
  </si>
  <si>
    <t>Electronic products are being updated and replaced much faster and there is therefore an increasing growth in electronic waste (e-waste). In order to promote professional recycling of e-waste, the relevant government departments of China have published a series of policies. This paper aims to unearth the evolution tendency of the networked policies towards holistic governance of China's e-waste recycling. Content analysis, quantitative text analysis and network analysis are applied to analyze relevant policy documents from 2001 to 2016. This paper illustrates evolution of policy themes, evolution of intergovernmental relationships, and evolution of policy relations. This study reveals policy intentions, maps policy progress, and unearths governance philosophy, providing an overall understanding of the policy ways by which the Chinese government has deployed its guiding strategies on professional recycling of e-waste. This paper illustrates how to approach holistic governance from perspective of networked policies, contributing to answering the central question of holistic governance about how to achieve it.</t>
  </si>
  <si>
    <t>[Yang, Xiuli; Tang, Yanhong] Northeast Agr Univ, Sch Publ Adm &amp; Law, Harbin 150030, Peoples R China; [Miao, Xin; Wu, Jinli; Yang, Rui] Harbin Inst Technol, Sch Management, Harbin 150001, Peoples R China; [Duan, Ziwei] Harbin Inst Technol, Sch Humanities Social Sci &amp; Law, Harbin 150001, Peoples R China</t>
  </si>
  <si>
    <t>Northeast Agricultural University - China; Harbin Institute of Technology; Harbin Institute of Technology</t>
  </si>
  <si>
    <t>Tang, YH (corresponding author), Northeast Agr Univ, Sch Publ Adm &amp; Law, Harbin 150030, Peoples R China.</t>
  </si>
  <si>
    <t>xiuliyang@neau.edu.cn; miaoxin@hit.edu.cn; wisdomhit@126.com; 19s116040@stu.hit.edu.cn; 18b910068@stu.hit.edu.cn; tangyanhong@neau.edu.cn</t>
  </si>
  <si>
    <t>Humanities and Social Science Foundation of Ministry of Education [15YJC630116]; Philosophy and Social Science Research Foundation of Heilongjiang Province [18SHD346]</t>
  </si>
  <si>
    <t>Humanities and Social Science Foundation of Ministry of Education; Philosophy and Social Science Research Foundation of Heilongjiang Province</t>
  </si>
  <si>
    <t>This work is supported by the Humanities and Social Science Foundation of Ministry of Education (Grant No. 15YJC630116), and the Philosophy and Social Science Research Foundation of Heilongjiang Province (Grant No. 18SHD346).</t>
  </si>
  <si>
    <t>10.3390/ijerph17207407</t>
  </si>
  <si>
    <t>OL9TT</t>
  </si>
  <si>
    <t>WOS:000585673200001</t>
  </si>
  <si>
    <t>McCallen, E; Knott, J; Nunez-Mir, G; Taylor, B; Jo, I; Fei, SL</t>
  </si>
  <si>
    <t>McCallen, Emily; Knott, Jonathan; Nunez-Mir, Gabriela; Taylor, Benjamin; Jo, Insu; Fei, Songlin</t>
  </si>
  <si>
    <t>Trends in ecology: shifts in ecological research themes over the past four decades</t>
  </si>
  <si>
    <t>FRONTIERS IN ECOLOGY AND THE ENVIRONMENT</t>
  </si>
  <si>
    <t>PATTERN</t>
  </si>
  <si>
    <t>As ecology enters a critical era, more comprehensive studies are needed to improve our understanding of the key themes, major trends, and potential gaps within the discipline. However, as the number of published scientific papers continues to grow, tracking the ever-expanding body of work becomes increasingly challenging. To identify trends in ecological research, we used recently developed machine learning techniques to perform an automated content analysis on over 84,841 articles published in 33 top-ranked scientific journals over the past four decades. We detected a clear decline in the relative frequency of classical theoretical research, and increases in data-intensive research at both micro- and macroscales and on anthropogenic themes. Scattered around the periphery of the expanding thematic space, themes such as microbial ecology, genetics, biogeochemistry, and management and policy have all increased in relative frequency. New educational and research frameworks, as well as funding priorities, should incorporate these contemporary themes so that the field of ecology can better address societal challenges.</t>
  </si>
  <si>
    <t>[McCallen, Emily; Knott, Jonathan; Nunez-Mir, Gabriela; Taylor, Benjamin; Jo, Insu; Fei, Songlin] Purdue Univ, Dept Forestry &amp; Nat Resources, W Lafayette, IN 47907 USA</t>
  </si>
  <si>
    <t>Jo, Insu/I-8084-2012; Nunez-Mir, Gabriela/ABD-5360-2020; Knott, Jonathan/AAA-8394-2019; Nunez-Mir, Gabriela/GXE-9963-2022; Jo, Insu/AAE-4079-2019</t>
  </si>
  <si>
    <t>Jo, Insu/0000-0002-1759-2319; Nunez-Mir, Gabriela/0000-0003-2426-3393; Knott, Jonathan/0000-0003-3856-8454; Jo, Insu/0000-0002-1759-2319</t>
  </si>
  <si>
    <t>US National Science Foundation [1638702]; US Department of Agriculture's McIntire-Stennis program</t>
  </si>
  <si>
    <t>US National Science Foundation(National Science Foundation (NSF)); US Department of Agriculture's McIntire-Stennis program</t>
  </si>
  <si>
    <t>We would like to thank K Ordonez and L Pataro for assistance in compiling data, and A Chen for valuable comments that improved the manuscript. The study was supported in part by the US National Science Foundation (grant #1638702) and the US Department of Agriculture's McIntire-Stennis program (to SF).</t>
  </si>
  <si>
    <t>1540-9295</t>
  </si>
  <si>
    <t>1540-9309</t>
  </si>
  <si>
    <t>FRONT ECOL ENVIRON</t>
  </si>
  <si>
    <t>Front. Ecol. Environ.</t>
  </si>
  <si>
    <t>10.1002/fee.1993</t>
  </si>
  <si>
    <t>Ecology; Environmental Sciences</t>
  </si>
  <si>
    <t>HN3QJ</t>
  </si>
  <si>
    <t>WOS:000460098600011</t>
  </si>
  <si>
    <t>Freudenthaler, R; Wessler, H</t>
  </si>
  <si>
    <t>Freudenthaler, Rainer; Wessler, Hartmut</t>
  </si>
  <si>
    <t>How Alternative Are Alternative Media? Analyzing Speaker and Topic Diversity in Mainstream and Alternative Online Outlets</t>
  </si>
  <si>
    <t>Content diversity; actor diversity; quantitative content analysis; automated content analysis; alternative media; topic modelling</t>
  </si>
  <si>
    <t>NEWS; COMMUNICATION; EUROPE</t>
  </si>
  <si>
    <t>Alternative outlets can differ in their degree of partisanship, activism, and their opposition to a perceived news mainstream. We expect this could lead to diverging contributions to overall news diversity. We assess how mainstream-like, partisan and activist media differ from mainstream reporting concerning migration and refugee policy in Germany. We combine a manual analysis of speaker diversity in 12 mainstream and alternative outlets (N = 1,172 articles) with a computational topic model (N = 34,819 articles) covering 30 outlets to assess topic diversity. Interestingly, we find no significant differences between mainstream and alternative outlets regarding overall speaker diversity. But our data show differences in which parties get cited, and whether outlets focus on experts, civil society speakers, or migrants themselves. While mainstream media offer higher overall topic diversity, alternative media split along the lines of agenda accommodation and more independent agendas of partisan and activist media.</t>
  </si>
  <si>
    <t>[Freudenthaler, Rainer; Wessler, Hartmut] Univ Mannheim, Mannheim, Germany</t>
  </si>
  <si>
    <t>Freudenthaler, R (corresponding author), Univ Mannheim, Mannheim, Germany.</t>
  </si>
  <si>
    <t>rfreuden@mail.uni-mannheim.de</t>
  </si>
  <si>
    <t>Wessler, Hartmut/0000-0003-4216-5471; Freudenthaler, Rainer/0000-0002-9075-1232</t>
  </si>
  <si>
    <t>10.1080/21670811.2022.2117715</t>
  </si>
  <si>
    <t>4S3QC</t>
  </si>
  <si>
    <t>WOS:000857358600001</t>
  </si>
  <si>
    <t>Rossini, P; Hemsley, J; Tanupabrungsun, S; Zhang, FF; Stromer-Galley, J</t>
  </si>
  <si>
    <t>Rossini, Patricia; Hemsley, Jeff; Tanupabrungsun, Sikana; Zhang, Feifei; Stromer-Galley, Jennifer</t>
  </si>
  <si>
    <t>Social Media, Opinion Polls, and the Use of Persuasive Messages During the 2016 US Election Primaries</t>
  </si>
  <si>
    <t>political campaigns; digital campaigns; machine learning; public opinion polls; Facebook; Twitter</t>
  </si>
  <si>
    <t>TWITTER USE; CAMPAIGNS; FACEBOOK</t>
  </si>
  <si>
    <t>Political campaigns' use of digital technologies has been a topic of scholarly concern for over two decades, but most studies have been focused on analyzing the use of digital platforms without considering contextual factors of the race, like public opinion polls. Opinion polls are an important information source for citizens and candidates and provide the latter with information that might drive strategic communication. In this article, we explore the relationship between the use of social media in the 2016 US presidential elections and candidates' standing in public opinion polls, focusing on the surfacing and primary stages of the campaign. We use automated content analysis to categorize social media posts from all 21 Republican and Democratic candidates. Results indicate that a candidate's performance in the polls drives certain communicative strategies, such as the use of messages of attacks and advocacy, as well as the focus on personal image.</t>
  </si>
  <si>
    <t>[Rossini, Patricia; Hemsley, Jeff; Tanupabrungsun, Sikana; Zhang, Feifei] Syracuse Univ, Sch Informat Studies, 105 Hinds Hall, Syracuse, NY 13210 USA; [Stromer-Galley, Jennifer] Syracuse Univ, Ctr Computat &amp; Data Sci, Syracuse, NY USA</t>
  </si>
  <si>
    <t>Syracuse University; Syracuse University</t>
  </si>
  <si>
    <t>Rossini, P (corresponding author), Syracuse Univ, Sch Informat Studies, 105 Hinds Hall, Syracuse, NY 13210 USA.</t>
  </si>
  <si>
    <t>Rossini, Patrícia/0000-0002-4463-6444; Stromer-Galley, Jennifer/0000-0001-6079-8788; Tanupabrungsun, Sikana/0000-0002-0650-3624</t>
  </si>
  <si>
    <t>Tow Center for Digital Journalism at Columbia University; Center for Computational and Data Sciences at the School of Information Studies at Syracuse University</t>
  </si>
  <si>
    <t>The research was supported in part by a Fellowship from the Tow Center for Digital Journalism at Columbia University and the Center for Computational and Data Sciences at the School of Information Studies at Syracuse University. The authors would like to thank Dr. Nancy McCracken and Yatish Hedge at Syracuse University for their invaluable work in various aspects of this project.</t>
  </si>
  <si>
    <t>JUL 19</t>
  </si>
  <si>
    <t>10.1177/2056305118784774</t>
  </si>
  <si>
    <t>GN6OV</t>
  </si>
  <si>
    <t>WOS:000439211700001</t>
  </si>
  <si>
    <t>Walker, SG</t>
  </si>
  <si>
    <t>Assessing psychological characteristics at a distance: Symposium lessons and future research directions</t>
  </si>
  <si>
    <t>operational code; cognitive complexity; context effects; source effects</t>
  </si>
  <si>
    <t>The symposium papers show that differences in sources and context clearly matter in the at-a-distance assessment of a leader's psychological characteristics. The stability of both cognitive and personality attributes decreases as observations focus on shorter time frames, more specific policy domains, and private rather than public arenas. Despite these qualifications on the use of texts to profile individual leaders, the indices of social cognition and personality do discriminate individual differences between lenders. Because the results, reveal significant differences in assessing individual leaders over time with multiple sources and at different levels of analysis, it becomes more worthwhile to investigate research questions that would be moot in the absence of important source, context or aggregation effects. With the use of automated content analysis and greater access to data from electronic sources, it is now easier to carry out quantitative content analyses of psychological characteristics and to confirm or quality the insights generated in this symposium.</t>
  </si>
  <si>
    <t>Arizona State Univ, Dept Polit Sci, Tempe, AZ 85287 USA</t>
  </si>
  <si>
    <t>10.1111/0162-895X.00207</t>
  </si>
  <si>
    <t>WOS:000088959400010</t>
  </si>
  <si>
    <t>Zittel, T; Nyhuis, D; Baumann, M</t>
  </si>
  <si>
    <t>Zittel, Thomas; Nyhuis, Dominic; Baumann, Markus</t>
  </si>
  <si>
    <t>Geographic Representation in Party-Dominated Legislatures: A Quantitative Text Analysis of Parliamentary Questions in the German Bundestag</t>
  </si>
  <si>
    <t>Germany; electoral systems; geographic representation; legislative behavior; parliamentary questions; text analysis</t>
  </si>
  <si>
    <t>HOUSE-OF-COMMONS; ELECTORAL SYSTEMS; PERSONAL VOTE; SUBSTANTIVE REPRESENTATION; BEHAVIOR; POLICY; COMPETITIVENESS; INFORMATION; INCENTIVES; DYNAMICS</t>
  </si>
  <si>
    <t>Political representation in European democracies is widely considered partisan and collectivist. This article, however, stresses that there is more to the representative process in European democracies than just its textbook version. It emphasizes the role of geographic representation as a complementary strategy in party-dominated legislatures that is characterized by two distinct features. First, legislators employ distinct opportunities to participate in legislative contexts to signal attention to geographic constituents without disrupting party unity. Second, these activities are motivated by individual- and district-level characteristics that supplement electoral-system-level sources of geographic representation. We empirically test and corroborate this argument for the German case on the basis of a content analysis of parliamentary questions in the 17th German Bundestag (2009-13). In this analysis, we show that higher levels of localness among legislators and higher levels of electoral volatility in districts result in increased geographic representation.</t>
  </si>
  <si>
    <t>[Zittel, Thomas] Goethe Univ Frankfurt, Dept Social Sci, Theodor W Adorno Pl 1,Postfach 40, D-60629 Frankfurt, Germany; [Nyhuis, Dominic] Leibniz Univ Hannover, Dept Polit Sci, Schneiderberg 50, D-30167 Hannover, Germany; [Baumann, Markus] Heidelberg Univ, Dept Polit Sci, Bergheimer Str 58, D-69115 Heidelberg, Germany</t>
  </si>
  <si>
    <t>Goethe University Frankfurt; Leibniz University Hannover; Ruprecht Karls University Heidelberg</t>
  </si>
  <si>
    <t>Zittel, T (corresponding author), Goethe Univ Frankfurt, Dept Social Sci, Theodor W Adorno Pl 1,Postfach 40, D-60629 Frankfurt, Germany.</t>
  </si>
  <si>
    <t>zittel@soz.uni-frankfurt.de; d.nyhuis@ipw.uni-hannover.de; markus.baumann@ipw.uni-heidelberg.de</t>
  </si>
  <si>
    <t>Zittel, Thomas/AAH-6466-2021</t>
  </si>
  <si>
    <t>Zittel, Thomas/0000-0003-2964-6617</t>
  </si>
  <si>
    <t>10.1111/lsq.12238</t>
  </si>
  <si>
    <t>JJ9YN</t>
  </si>
  <si>
    <t>WOS:000494507700006</t>
  </si>
  <si>
    <t>Caby, V; Frehen, L</t>
  </si>
  <si>
    <t>Caby, Vincent; Frehen, Lise</t>
  </si>
  <si>
    <t>How to Produce and Measure Throughput Legitimacy? Lessons from a Systematic Literature Review</t>
  </si>
  <si>
    <t>POLITICS AND GOVERNANCE</t>
  </si>
  <si>
    <t>citation network analysis; collaborative governance; legitimacy; quantitative text analysis; systematic literature review; throughput legitimacy</t>
  </si>
  <si>
    <t>After two decades of research on throughput legitimacy, making sense of the stock of accumulated knowledge remains a challenge. How can relevant publications on throughput legitimacy be collected and analysed? How can the level of throughput legitimacy be measured? Which policy activities contribute to the production of throughput legitimacy? To answer these questions, we designed and implemented an original systematic literature review. We find that the measurement of the level of throughput legitimacy introduces a number of problems that call for the systematic and rigorous use of a more complete set of precise, specific indicators to advance the theory of throughput legitimacy. A number of participatory decision-making activities contribute to the production of throughput legitimacy. Engaging in these activities is not without risk, as variations in throughput legitimacy affect input and output legitimacy. To prevent vicious circles, lessons can be drawn from the literature on collaborative governance and decision-makers' strategies to support effective collaboration between stakeholders.</t>
  </si>
  <si>
    <t>[Caby, Vincent; Frehen, Lise] Catholic Univ Louvain, Inst Polit Sci Louvain Europe, B-1348 Louvain La Neuve, Belgium</t>
  </si>
  <si>
    <t>Frehen, L (corresponding author), Catholic Univ Louvain, Inst Polit Sci Louvain Europe, B-1348 Louvain La Neuve, Belgium.</t>
  </si>
  <si>
    <t>vincent.caby@uclouvain.be; lise.frehen@uclouvain.be</t>
  </si>
  <si>
    <t>Belgian Fonds de la Recherche Scientifique (FRS-FNRS) [PDR T.0062.18, CDR J.0003.19]</t>
  </si>
  <si>
    <t>Belgian Fonds de la Recherche Scientifique (FRS-FNRS)(Fonds de la Recherche Scientifique - FNRS)</t>
  </si>
  <si>
    <t>This research was supported by the Belgian Fonds de la Recherche Scientifique (FRS-FNRS; PDR T.0062.18 and CDR J.0003.19). The article was presented at the RECONNECT Conference in Lille organised by Camille Kelbel, Julien Navarro, and Giulia Sandri, and at the Public Policy Research Network in London, at the invitation of Claudio Radaelli. The authors thank the conferences organisers and participants for their insightful comments. We thank Axel Marx for his constructive suggestions. Silvia Fierascu also deserves credit for her support for the CNA. We also thank the anonymous reviewers and academic editors.</t>
  </si>
  <si>
    <t>COGITATIO PRESS</t>
  </si>
  <si>
    <t>LISBON</t>
  </si>
  <si>
    <t>RUA FIALHO ALMEIDA 14, 2 ESQ, LISBON, 1070-129, PORTUGAL</t>
  </si>
  <si>
    <t>2183-2463</t>
  </si>
  <si>
    <t>POLITICS GOV</t>
  </si>
  <si>
    <t>Politics Gov.</t>
  </si>
  <si>
    <t>10.17645/pag.v9i1.4011</t>
  </si>
  <si>
    <t>RG6UE</t>
  </si>
  <si>
    <t>WOS:000635670200002</t>
  </si>
  <si>
    <t>Jacobs, T; Tschotschel, R</t>
  </si>
  <si>
    <t>Jacobs, Thomas; Tschotschel, Robin</t>
  </si>
  <si>
    <t>Topic models meet discourse analysis: a quantitative tool for a qualitative approach</t>
  </si>
  <si>
    <t>INTERNATIONAL JOURNAL OF SOCIAL RESEARCH METHODOLOGY</t>
  </si>
  <si>
    <t>Discourse analysis; topic modelling; text analysis; hegemony; digital humanities; computational social science</t>
  </si>
  <si>
    <t>Quantitative text analysis tools have become increasingly popular methods for the operationalization of various types of discourse analysis. However, their application usually remains fairly simple and superficial, and fails to exploit the resources which the digital era holds for discourse analysis to their full extent. This paper discusses the discourse-analytic potential of a more complex and advanced text analysis tool, which is already frequently employed in other approaches to textual analysis, notably topic modelling. We argue that topic modelling promises advances in areas where discourse analysis has traditionally struggled, such as scaling, repetition, and systematization, which go beyond the contributions of simpler frequency and collocation counts. At the same time, it does not violate the epistemological premises and methodological ethos of even the more radical theories of discourse, we will demonstrate. Finally, we present two small case studies to show how topic modelling - when used with appropriate parameters - can straightforwardly enhance our ability to systematically investigate and interpret discourses in large collections of text.</t>
  </si>
  <si>
    <t>[Jacobs, Thomas] Univ Ghent, Ctr EU Studies, Ghent, Belgium; [Tschotschel, Robin] Univ Amsterdam, Amsterdam Sch Commun Res, Amsterdam, Netherlands</t>
  </si>
  <si>
    <t>Ghent University; University of Amsterdam</t>
  </si>
  <si>
    <t>Jacobs, T (corresponding author), Ctr EU Studies, Korte Meer 1, B-9000 Ghent, Belgium.</t>
  </si>
  <si>
    <t>t.jacobs@ugent.be</t>
  </si>
  <si>
    <t>Tschötschel, Robin/AAT-7146-2020</t>
  </si>
  <si>
    <t>Tschötschel, Robin/0000-0002-5469-324X</t>
  </si>
  <si>
    <t>Bijzonder Onderzoeksfonds [Special Research Fund] of Ghent University</t>
  </si>
  <si>
    <t>Thomas' work is funded by the Bijzonder Onderzoeksfonds [Special Research Fund] of Ghent University.</t>
  </si>
  <si>
    <t>1364-5579</t>
  </si>
  <si>
    <t>1464-5300</t>
  </si>
  <si>
    <t>INT J SOC RES METHOD</t>
  </si>
  <si>
    <t>Int. J. Soc. Res. Methodol.</t>
  </si>
  <si>
    <t>SEP 3</t>
  </si>
  <si>
    <t>10.1080/13645579.2019.1576317</t>
  </si>
  <si>
    <t>IH6LD</t>
  </si>
  <si>
    <t>WOS:000474606500005</t>
  </si>
  <si>
    <t>Schermann, K; Ennser-Jedenastik, L</t>
  </si>
  <si>
    <t>Schermann, Katrin; Ennser-Jedenastik, Laurenz</t>
  </si>
  <si>
    <t>Explaining coalition-bargaining outcomes: Evidence from Austria, 2002-2008</t>
  </si>
  <si>
    <t>Austria; coalition bargaining; pledges</t>
  </si>
  <si>
    <t>PORTFOLIO ALLOCATION; ELECTION PLEDGES; PARTY COMPETITION; PAYOFFS; POLICY; GOVERNMENTS; MODEL; FACTIONS; PROPORTIONALITY; AGREEMENTS</t>
  </si>
  <si>
    <t>Most analyses of policy outcomes from coalition-bargaining have hitherto been conducted within a spatial framework that requires the aggregation of coalition policy into a small number of point estimates. Such an approach, however, is limited in terms of the level of specificity at which it can operate. This article therefore draws on the methodology from the pledge fulfilment literature in order to provide a more in-depth examination of coalition-bargaining outcomes. We are thus able to take advantage of the fact that contemporary coalition agreements provide a wealth of detailed information on the government's prospective course of policy action. Based on a quantitative text analysis of election manifestos, a dataset of over 1,000 election pledges is used to test a number of hypotheses on the adoption of policies in Austrian coalition agreements between 2002 and 2008. The multivariate models yield strong support for the hypotheses and suggest that the methodological approach has the potential to enhance our understanding of coalition-bargaining.</t>
  </si>
  <si>
    <t>[Schermann, Katrin] Univ Vienna, Dept Govt, A-1090 Vienna, Austria; [Ennser-Jedenastik, Laurenz] Univ Vienna, Dept Govt, Austrian Natl Election Study AUTNES, A-1090 Vienna, Austria</t>
  </si>
  <si>
    <t>University of Vienna; University of Vienna</t>
  </si>
  <si>
    <t>Ennser-Jedenastik, L (corresponding author), Univ Vienna, Pramergasse 9, A-1090 Vienna, Austria.</t>
  </si>
  <si>
    <t>laurenz.ennser@univie.ac.at</t>
  </si>
  <si>
    <t>Ennser-Jedenastik, Laurenz/0000-0002-0107-5093</t>
  </si>
  <si>
    <t>10.1177/1354068812453373</t>
  </si>
  <si>
    <t>AN8BO</t>
  </si>
  <si>
    <t>WOS:000340826400011</t>
  </si>
  <si>
    <t>Tixier, AJP; Hallowell, MR; Rajagopalan, B; Bowman, D</t>
  </si>
  <si>
    <t>Tixier, Antoine J. -P.; Hallowell, Matthew R.; Rajagopalan, Balaji; Bowman, Dean</t>
  </si>
  <si>
    <t>Automated content analysis for construction safety: A natural language processing system to extract precursors and outcomes from unstructured injury reports</t>
  </si>
  <si>
    <t>Automated content analysis; Natural language processing; Text mining; Knowledge extraction; Accident; Injury; Safety; Attribute; Risk; R</t>
  </si>
  <si>
    <t>CLASSIFICATION; REPRESENTATION; MANAGEMENT</t>
  </si>
  <si>
    <t>In the United States like in many other countries throughout the globe, construction workers are more likely to be injured on the job than workers in any other industry. This poor safety performance is responsible for huge human and financial losses and has motivated extensive research. Unfortunately, safety improvement in construction has decelerated in the last decade and traditional safety programs have reached saturation. Yet major construction companies and federal agencies possess a wealth of empirical knowledge in the form of huge databases of digital construction injury reports. This knowledge could be used to better understand, predict, and prevent the occurrence of construction accidents. Unfortunately, due to the lack of a clear methodology and the high costs of manual large-scale content analysis, these valuable data have yet to be extracted and leveraged. Recently, researchers have proposed a framework allowing meaningful empirical data to be extracted from accident reports. However, the resource limitations inherent to manual content analysis still remain. The present study tested the proposition that manual content analysis of injury reports can be eliminated using natural language processing (NLP). This paper describes (1) the overall strategy and methodology used in developing the system, and specifically how key challenges with decoding unstructured reports were overcome; (2) how the system was built through an iterative process of coding and testing against manual content analysis results from a team of seven independent analysts; and (3) the implications and potential uses of the data extracted. The results indicate that the NLP system is capable of quickly and automatically scanning unstructured injury reports for 101 attributes and outcomes with over 95% accuracy. The main contribution of this research is to empower any organization to quickly obtain a large and highly reliable structured attribute and outcome data set from their databases of unstructured accident reports. Such structured data are a necessary prerequisite to the application of statistical modeling techniques, allowing the extraction of new safety knowledge and finally the amelioration of safety management. (C) 2015 Elsevier B.V. All rights reserved.</t>
  </si>
  <si>
    <t>[Tixier, Antoine J. -P.; Hallowell, Matthew R.] Univ Colorado, Dept Civil Environm &amp; Architectural Engn, Boulder, CO 80309 USA; [Rajagopalan, Balaji] Univ Colorado, Dept Civil Environm &amp; Architectural Engn, CIRES, Boulder, CO 80309 USA; [Bowman, Dean] Bentley Syst, Exton, PA USA</t>
  </si>
  <si>
    <t>University of Colorado System; University of Colorado Boulder; University of Colorado System; University of Colorado Boulder</t>
  </si>
  <si>
    <t>Hallowell, MR (corresponding author), Univ Colorado, Dept Civil Environm &amp; Architectural Engn, Boulder, CO 80309 USA.</t>
  </si>
  <si>
    <t>antoine.tixier-1@colorado.edu; matthew.halloweil@colorado.edu; rajagopalan.balaji@colorado.edu; dean.bowman@bentley.com</t>
  </si>
  <si>
    <t>Hallowell, Matthew R/G-7918-2016; Rajagopalan, Balaji/CAJ-3111-2022</t>
  </si>
  <si>
    <t>Rajagopalan, Balaji/0000-0002-6883-7240</t>
  </si>
  <si>
    <t>National Science Foundation through an Early Career Award (CAREER) Program; National Science Foundation [1253179]; Bentley Systems</t>
  </si>
  <si>
    <t>National Science Foundation through an Early Career Award (CAREER) Program; National Science Foundation(National Science Foundation (NSF)); Bentley Systems</t>
  </si>
  <si>
    <t>We would like to thank the National Science Foundation for supporting this research through an Early Career Award (CAREER) Program. This material is based upon work supported by the National Science Foundation under grant no. 1253179. Any opinions, findings, and conclusions or recommendations expressed in this material are those of the authors and do not necessarily reflect the views of the National Science Foundation. We would also like to recognize Bentley Systems for their financial support for this research and intellectual contributions.</t>
  </si>
  <si>
    <t>10.1016/j.autcon.2015.11.001</t>
  </si>
  <si>
    <t>DD7LZ</t>
  </si>
  <si>
    <t>WOS:000370107300004</t>
  </si>
  <si>
    <t>Schwab-McCoy, A</t>
  </si>
  <si>
    <t>Schwab-McCoy, Aimee</t>
  </si>
  <si>
    <t>The State of Statistics Education Research in Client Disciplines: Themes and Trends Across the University</t>
  </si>
  <si>
    <t>JOURNAL OF STATISTICS EDUCATION</t>
  </si>
  <si>
    <t>Client disciplines; Metasynthesis; Qualitative methods; Statistics education; Text analysis</t>
  </si>
  <si>
    <t>NURSING-STUDENTS ATTITUDES; BUSINESS STATISTICS; BIOSTATISTICS COURSE; TEACHING STATISTICS; BIOLOGY; ANXIETY; SIMULATION; CURRICULUM; COMMUNITY; COURSES</t>
  </si>
  <si>
    <t>The reform movement in statistics education has led to a revitalization of the undergraduate introductory statistics course. However, many students satisfy their degree requirements by taking statistics courses in client departments such as business, the social sciences, and the lab sciences, typically taught by non-statisticians. This article presents the findings of a metasynthesis of the existing literature on teaching statistics in these client disciplines to learn (1) what is currently being taught and how, and (2) the most important challenges for statistics teachers in other departments. Articles were reviewed using qualitative axial coding and quantitative text analysis to identify common research themes and ideas in the literature for each discipline. Research themes, attitudes toward statistics instruction, and pedagogical techniques were found to vary from discipline to discipline. Collaboration with instructors in other disciplines may be a welcome step toward improving statistics instruction across the university.</t>
  </si>
  <si>
    <t>[Schwab-McCoy, Aimee] Creighton Univ, Dept Math, 2500 Calif Plaza, Omaha, NE 68178 USA</t>
  </si>
  <si>
    <t>Creighton University</t>
  </si>
  <si>
    <t>Schwab-McCoy, A (corresponding author), Creighton Univ, Dept Math, 2500 Calif Plaza, Omaha, NE 68178 USA.</t>
  </si>
  <si>
    <t>aimeeschwab-mccoy@creighton.edu</t>
  </si>
  <si>
    <t>1069-1898</t>
  </si>
  <si>
    <t>J STAT EDUC</t>
  </si>
  <si>
    <t>J. Stat. Educ.</t>
  </si>
  <si>
    <t>10.1080/10691898.2019.1687369</t>
  </si>
  <si>
    <t>Education, Scientific Disciplines</t>
  </si>
  <si>
    <t>QV3TA</t>
  </si>
  <si>
    <t>WOS:000500382000001</t>
  </si>
  <si>
    <t>Tzelgov, E</t>
  </si>
  <si>
    <t>Tzelgov, Eitan</t>
  </si>
  <si>
    <t>Damned if you do and damned if you don't: Rhetorical heresthetic in the Israeli Knesset</t>
  </si>
  <si>
    <t>Parliamentary; political parties; legislators; quantitative text analysis; Israel</t>
  </si>
  <si>
    <t>COMPETITION; GOVERNMENT; VOTE</t>
  </si>
  <si>
    <t>I use quantitative textual analysis of the Israeli Knesset's legislative debates to analyse legislative parties' strategies. The analysis demonstrates three results. First, given an opportunity provided by an exogenous shock to the Israeli political system, dovish opposition parties used their floor speeches strategically to emphasize a frame of Israeli security on which the hawkish majority held a losing position. Second, due to its weak position, the hawkish coalition eventually deserted' the frame. Third, this dynamic resulted in a major change in the legislative discourse on security, and in the consolidation of a frame of security that highly favoured the opposition. I argue that this strategy constitutes rhetorical heresthetic, since it emphasizes the internal contradictions of the majority and contributes to its split. In general, these results demonstrate that legislative rhetoric is an important venue of oppositional behaviour, especially given the limited agenda control the majority has over legislative speeches. Finally, the model is generalizable to measuring dynamic partisanship in various political institutions.</t>
  </si>
  <si>
    <t>[Tzelgov, Eitan] Penn State Univ, University Pk, PA 16802 USA</t>
  </si>
  <si>
    <t>Pennsylvania Commonwealth System of Higher Education (PCSHE); Pennsylvania State University; Pennsylvania State University - University Park</t>
  </si>
  <si>
    <t>Tzelgov, E (corresponding author), 202 Pond Lab, Dept Polit Sci, University Pk, PA 16802 USA.</t>
  </si>
  <si>
    <t>tzelgov@gmail.com</t>
  </si>
  <si>
    <t>Divn Of Social and Economic Sciences [0924260] Funding Source: National Science Foundation</t>
  </si>
  <si>
    <t>Divn Of Social and Economic Sciences(National Science Foundation (NSF)NSF - Directorate for Social, Behavioral &amp; Economic Sciences (SBE))</t>
  </si>
  <si>
    <t>10.1177/1354068812462926</t>
  </si>
  <si>
    <t>AT0YC</t>
  </si>
  <si>
    <t>WOS:000344658900012</t>
  </si>
  <si>
    <t>Aaldering, L; van der Pas, DJ</t>
  </si>
  <si>
    <t>Aaldering, Loes; van der Pas, Daphne Joanna</t>
  </si>
  <si>
    <t>Political Leadership in the Media: Gender Bias in Leader Stereotypes during Campaign and Routine Times</t>
  </si>
  <si>
    <t>gender differences; political leadership; media coverage; stereotypes; content analysis</t>
  </si>
  <si>
    <t>WOMEN CANDIDATES; PRESS COVERAGE; NEWS COVERAGE; FEMALE; POWER; TELEVISION; ELECTIONS; SENATE; IMPACT; MPS</t>
  </si>
  <si>
    <t>This article studies gender differences in media portrayals of political leadership, starting with the expectation that male politicians are evaluated more often on traits belonging to the male leader stereotype, and that female politicians have no such advantage. These gender differences are expected to be especially pronounced during non-campaign periods. To test these expectations, a large-scale automated content analysis of all Dutch national newspapers from September 2006 to September 2012 was conducted. The results show that male politicians received more media coverage on leadership traits in general, although the male and female leader stereotypes explain most of the variation in gender bias between leadership traits. These gender effects are found during seldom-studied routine periods but not during campaigns. As leadership trait coverage has electoral consequences, this gender-differentiated coverage likely contributes to the under-representation of women in politics.</t>
  </si>
  <si>
    <t>[Aaldering, Loes] Univ Vienna, Dept Commun, Vienna, Austria; [van der Pas, Daphne Joanna] Univ Amsterdam, Dept Polit Sci, Amsterdam, Netherlands</t>
  </si>
  <si>
    <t>Aaldering, L (corresponding author), Univ Vienna, Dept Commun, Vienna, Austria.</t>
  </si>
  <si>
    <t>loes.aaldering@univie.ac.at; d.j.vanderpas@uva.nl</t>
  </si>
  <si>
    <t>van der Pas, Daphne/AAA-3400-2021</t>
  </si>
  <si>
    <t>van der Pas, Daphne/0000-0002-5107-1998; Aaldering, L./0000-0003-0436-6539</t>
  </si>
  <si>
    <t>Netherlands Organisation for Scientific Research [NWO406-13-038]</t>
  </si>
  <si>
    <t>Netherlands Organisation for Scientific Research(Netherlands Organization for Scientific Research (NWO))</t>
  </si>
  <si>
    <t>This study was supported by the Netherlands Organisation for Scientific Research in connection to the research programme 'Continuously campaigning for volatile voters. How policy positions and leadership images affect citizens' vote intentions before and during campaign periods, the Netherlands 2006-2012' (NWO406-13-038).</t>
  </si>
  <si>
    <t>PII S0007123417000795</t>
  </si>
  <si>
    <t>10.1017/S0007123417000795</t>
  </si>
  <si>
    <t>MC3RM</t>
  </si>
  <si>
    <t>WOS:000543208500006</t>
  </si>
  <si>
    <t>Ferrara, FM</t>
  </si>
  <si>
    <t>Ferrara, Federico Maria</t>
  </si>
  <si>
    <t>The battle of ideas on the euro crisis: evidence from ECB inter-meeting speeches</t>
  </si>
  <si>
    <t>Economic ideas; euro crisis; European Central Bank; political economy; quantitative text analysis</t>
  </si>
  <si>
    <t>POLITICAL-ECONOMY; POLICY POSITIONS; RULES; DISCRETION; TEXTS; MODEL; TIME</t>
  </si>
  <si>
    <t>The European Central Bank (ECB) has often been portrayed as highly resistant to ideational change. This paper paints a different picture. A battle of ideas dominated the academic debate on the euro crisis: one view stressed crisis-stricken countries' fiscal laxity, whereas the other highlighted the systemic roots of financial turmoil. I argue that the failure of policy experiments inspired by the fiscal discipline view favoured the ECB's adoption of systemic risk ideas, which shaped its crisis response. Empirically, I use an innovative technique combining automated text classification and unsupervised scaling methods to detect ideational variation in ECB Executive Board members' public speeches. Results indicate that the ECB has progressively moved from a fiscal to a systemic narrative of the euro crisis. Significantly, this shift anticipated and accompanied the ECB's commitment to unlimited bond purchases in summer 2012. Evidence suggests that this ideational turn was incremental and driven by policy learning dynamics.</t>
  </si>
  <si>
    <t>[Ferrara, Federico Maria] Univ Geneva, Dept Polit Sci &amp; Int Relat, Geneva, Switzerland; [Ferrara, Federico Maria] European Cent Bank, Frankfurt, Germany</t>
  </si>
  <si>
    <t>University of Geneva; European Central Bank</t>
  </si>
  <si>
    <t>Ferrara, FM (corresponding author), Univ Geneva, Dept Polit Sci &amp; Int Relat, Geneva, Switzerland.;Ferrara, FM (corresponding author), European Cent Bank, Frankfurt, Germany.</t>
  </si>
  <si>
    <t>federico.ferrara@unige.ch</t>
  </si>
  <si>
    <t>Ferrara, Federico Maria/0000-0002-7413-0989</t>
  </si>
  <si>
    <t>Swiss National Science Foundation [165480]</t>
  </si>
  <si>
    <t>The author is a Communications Specialist at the European Central Bank and is himself alone responsible for the views expressed in the article, which do not necessarily represent the views, decisions or policies of the European Central Bank. Previous drafts of the paper were presented at the 2018 MPSA Annual Conference in Chicago and the 2019 EUSA Biennial Conference in Denver, as well as in two seminars at the European Central Bank. The author thanks conference and seminar participants for helpful comments, and is especially grateful to Thomas Sattler, Maurizio Ferrera, Manuela Moschella, Vivien A. Schmidt, John Freeman, David Schafer, Frank Schimmelfennig, Stefania Secola, Siria Angino, Susanne Pihs-Lang, Pia Carter, and the anonymous reviewers. The author acknowledges financial support from the Swiss National Science Foundation, grant no. 165480.</t>
  </si>
  <si>
    <t>10.1080/13501763.2019.1670231</t>
  </si>
  <si>
    <t>OW5SO</t>
  </si>
  <si>
    <t>WOS:000592946300001</t>
  </si>
  <si>
    <t>Sandu, G; Samii, B</t>
  </si>
  <si>
    <t>Sandu, Georgiana; Samii, Behzad</t>
  </si>
  <si>
    <t>Physical asset management in the fourth industry revolution: mapping the literature for condition-based maintenance</t>
  </si>
  <si>
    <t>2021 IEEE PES INNOVATIVE SMART GRID TECHNOLOGIES - ASIA (ISGT ASIA)</t>
  </si>
  <si>
    <t>IEEE PES Innovative Smart Grid Technologies - Asia (ISGT Asia) Conference</t>
  </si>
  <si>
    <t>DEC 05-08, 2021</t>
  </si>
  <si>
    <t>Brisbane, AUSTRALIA</t>
  </si>
  <si>
    <t>IEEE PES</t>
  </si>
  <si>
    <t>condition-based maintenance; preventive maintenance; condition indicator; condition monitoring system; asset health index; energy sector</t>
  </si>
  <si>
    <t>The low-carbon energy transition depends on adopting renewable energy technologies and requires affected industries to adopt best practices for optimized performance, reliable and sustainable operations. Consequently, the legacy energy distribution system faces many challenges in supporting grid stability, reliability, efficiency, and security under this transition setting. Herein, we adopt a quantitative text analysis of 310 articles complemented by a qualitative review to identify how and to what extent the fourth industrial revolution reflects in the energy distribution system. To this end, we map the literature for the technological innovations that support condition-based maintenance of electricity distribution grid under the Industry 4.0 principles. We emphasize how physical asset management enabled by the Industry 4.0 principles, i.e., interconnection, information transparency, automation, decentralized decisions and sustainability, can become a source of competitive advantage for utilities. This study helps place the physical assets portfolio at the core of strategic decisions aimed at attaining a more sustainable state, operational excellence, and economic prosperity.</t>
  </si>
  <si>
    <t>[Sandu, Georgiana; Samii, Behzad] Vlerick Business Sch, Technol &amp; Operat Management Area, Brussels, Belgium</t>
  </si>
  <si>
    <t>Vlerick Business School</t>
  </si>
  <si>
    <t>Sandu, G (corresponding author), Vlerick Business Sch, Technol &amp; Operat Management Area, Brussels, Belgium.</t>
  </si>
  <si>
    <t>georgiana.sandu@vlerick.be; behzad.samii@vlerick.be</t>
  </si>
  <si>
    <t>978-1-6654-3339-6</t>
  </si>
  <si>
    <t>10.1109/ISGTASIA49270.2021.9715671</t>
  </si>
  <si>
    <t>Engineering, Electrical &amp; Electronic; Telecommunications</t>
  </si>
  <si>
    <t>Engineering; Telecommunications</t>
  </si>
  <si>
    <t>BT2OB</t>
  </si>
  <si>
    <t>WOS:000812323700124</t>
  </si>
  <si>
    <t>Spiclova, Z; Kase, V</t>
  </si>
  <si>
    <t>Spiclova, Zdenka; Kase, Vojtech</t>
  </si>
  <si>
    <t>Distant Reading of the Gospel of Thomas and the Gospel of John: Reflection of Methodological Aspects of the Use of Digital Technologies in the Research of Biblical Texts</t>
  </si>
  <si>
    <t>OPEN THEOLOGY</t>
  </si>
  <si>
    <t>Gospel of Thomas; Gospel of John; digital humanities; distant reading; quantitative text analysis; document distances; frequency distribution; word co-occurrences</t>
  </si>
  <si>
    <t>The aim of this study is to demonstrate the applicability of selected methods of the so-called distant reading from the area of digital humanities for the interpretation of early Christian texts, specifically for approaching similarities and differences between the Gospel of Thomas and the Gospel of John. We use the term distant reading for the methods that allow us to explore, analyze, and visualize digitized textual data while using the tools from the area of data mining, natural language processing, or corpus linguistics. We want to explore whether methods from the field of digital humanities can allow for a sophisticated, quantifiable, and replicable comparison of the corpora of early Christian movements and thereby help to uncover the basic features of their theology and thus be a suitable complement to traditional exegesis and interpretation achieved by close reading.</t>
  </si>
  <si>
    <t>[Spiclova, Zdenka; Kase, Vojtech] Univ West Bohemia, Fac Arts, Dept Philosophy, Plzen, Czech Republic; [Kase, Vojtech] Aarhus Univ, Sch Culture &amp; Soc, Dept Hist &amp; Class Studies, Aarhus, Denmark</t>
  </si>
  <si>
    <t>University of West Bohemia Pilsen; Aarhus University</t>
  </si>
  <si>
    <t>Spiclova, Z (corresponding author), Univ West Bohemia, Fac Arts, Dept Philosophy, Plzen, Czech Republic.</t>
  </si>
  <si>
    <t>spiclovz@kfi.zcu.cz; kase@kfi.zcu.cz</t>
  </si>
  <si>
    <t>Kase, Vojtech/T-7283-2018</t>
  </si>
  <si>
    <t>Kase, Vojtech/0000-0002-6601-1605</t>
  </si>
  <si>
    <t>University of West Bohemia in Pilsen [SGS-2018-022]</t>
  </si>
  <si>
    <t>University of West Bohemia in Pilsen</t>
  </si>
  <si>
    <t>This study was funded by the Grant System of the University of West Bohemia in Pilsen within the project SGS-2018-022.</t>
  </si>
  <si>
    <t>2300-6579</t>
  </si>
  <si>
    <t>OPEN THEOL</t>
  </si>
  <si>
    <t>Open Theol.</t>
  </si>
  <si>
    <t>10.1515/opth-2020-0111</t>
  </si>
  <si>
    <t>Religion</t>
  </si>
  <si>
    <t>MZ6XV</t>
  </si>
  <si>
    <t>WOS:000559273000001</t>
  </si>
  <si>
    <t>Keller, E; Wyles, KJ</t>
  </si>
  <si>
    <t>Keller, Ellis; Wyles, Kayleigh J.</t>
  </si>
  <si>
    <t>Straws, seals, and supermarkets: Topics in the newspaper coverage of marine plastic pollution</t>
  </si>
  <si>
    <t>MARINE POLLUTION BULLETIN</t>
  </si>
  <si>
    <t>Topic modelling; Quantitative text analysis; Plastic debris; Ocean pollution; Media analysis; Public opinion</t>
  </si>
  <si>
    <t>CLIMATE-CHANGE; ENVIRONMENTAL BEHAVIOR; UNITED-KINGDOM; MEDIA; DEBRIS; MICROPLASTICS; PREFERENCES; SCIENCE; PERCEPTIONS; CHEMICALS</t>
  </si>
  <si>
    <t>Media attention to marine plastic pollution is increasing, yet it is unclear which topics are being discussed. This paper analyses all 2019 news articles referencing marine plastics in the four leading UK online newspapers. Examining 943 articles in a structural topic model, this is the first analysis to depict what is being reported and how this varied according to political alignment (right vs. left-wing), type (broadsheet vs. tabloid), and publication date. We identified 36 topics, suggesting a large variety in the coverage, with plastic pollution ranging from the primary focus to only mentioned in passing. Greater emphasis was on explaining current issues of marine plastics, with limited reference to actionable reduction measures or producer responsibility. Many topics? prevalence varied across the media outlets. We discuss how this coverage varies across media outlets, and how it relates to a broader context (i.e. potential links to behaviour and current policy efforts).</t>
  </si>
  <si>
    <t>[Keller, Ellis; Wyles, Kayleigh J.] Univ Surrey, Sch Psychol, Guildford GU2 7XH, Surrey, England; [Keller, Ellis] Univ Cent Lancashire, Sch Psychol &amp; Comp Sci, Preston PR1 2HE, Lancs, England; [Wyles, Kayleigh J.] Univ Plymouth, Sch Psychol, Plymouth PL4 8AA, Devon, England</t>
  </si>
  <si>
    <t>University of Surrey; University of Central Lancashire; University of Plymouth</t>
  </si>
  <si>
    <t>Keller, E (corresponding author), Univ Cent Lancashire, Sch Psychol &amp; Comp Sci, Preston PR1 2HE, Lancs, England.</t>
  </si>
  <si>
    <t>ekeller@unclan.ac.uk</t>
  </si>
  <si>
    <t>Keller, Ellis/AAK-5709-2021</t>
  </si>
  <si>
    <t>Keller, Ellis/0000-0003-4478-0400; Wyles, Kayleigh/0000-0003-3205-9595</t>
  </si>
  <si>
    <t>0025-326X</t>
  </si>
  <si>
    <t>1879-3363</t>
  </si>
  <si>
    <t>MAR POLLUT BULL</t>
  </si>
  <si>
    <t>Mar. Pollut. Bull.</t>
  </si>
  <si>
    <t>10.1016/j.marpolbul.2021.112211</t>
  </si>
  <si>
    <t>Environmental Sciences &amp; Ecology; Marine &amp; Freshwater Biology</t>
  </si>
  <si>
    <t>RZ2NT</t>
  </si>
  <si>
    <t>WOS:000648436200003</t>
  </si>
  <si>
    <t>Bernau, JA</t>
  </si>
  <si>
    <t>Bernau, John A.</t>
  </si>
  <si>
    <t>The Institutionalization of Kubler-Ross's Five-Stage Model of Death and Dying</t>
  </si>
  <si>
    <t>OMEGA-JOURNAL OF DEATH AND DYING</t>
  </si>
  <si>
    <t>death; diffusion; institutionalization; cultural sociology; text analysis</t>
  </si>
  <si>
    <t>GENERAL-THEORY; FIELD; DEINSTITUTIONALIZATION; JOURNALISM; DIFFUSION; SOCIOLOGY; CREATION; FRENCH; WORLD</t>
  </si>
  <si>
    <t>Kubler-Ross's five-stage model of death and dying-denial, anger, bargaining, depression, and acceptance-is one of the most popular theoretical models to come out of the 20th century. How did an obscure theory of the dying process come to dominate our understanding of emotional processes altogether? Building on previous work in the sociology of knowledge, I analyze the diffusion and institutionalization of Kubler-Ross's five-stage model in scientific and journalistic fields. Specifically, I analyze all 3216 citations of Kubler-Ross in the New York Times and the Web of Science database using qualitative and quantitative text analysis. I demonstrate how early scientific interest and commercial promotion led to adoption in popular culture, and document how the five-stage model expanded to cover everything from rent prices to COVID-19. I also argue that renewed interest in Kubler-Ross's work may signal contemporary attempts to mine the tradition for meaningful understandings of death and dying.</t>
  </si>
  <si>
    <t>[Bernau, John A.] Emory Univ, Atlanta, GA 30322 USA</t>
  </si>
  <si>
    <t>Emory University</t>
  </si>
  <si>
    <t>Bernau, JA (corresponding author), Emory Univ, Ctr Study Law &amp; Relig, Gambrel Hall,Suite 310 1301 Clifton Rd NE, Atlanta, GA 30322 USA.</t>
  </si>
  <si>
    <t>john.bernau@emory.edu</t>
  </si>
  <si>
    <t>Bernau, John/0000-0001-6482-5368</t>
  </si>
  <si>
    <t>0030-2228</t>
  </si>
  <si>
    <t>1541-3764</t>
  </si>
  <si>
    <t>OMEGA-J DEATH DYING</t>
  </si>
  <si>
    <t>Omega-J. Death Dying</t>
  </si>
  <si>
    <t>10.1177/00302228221098893</t>
  </si>
  <si>
    <t>Psychology; Biomedical Social Sciences</t>
  </si>
  <si>
    <t>1K5WE</t>
  </si>
  <si>
    <t>WOS:000798669900001</t>
  </si>
  <si>
    <t>Liu, CH; Nowak, AD; Smith, PS</t>
  </si>
  <si>
    <t>Liu, Crocker H.; Nowak, Adam D.; Smith, Patrick S.</t>
  </si>
  <si>
    <t>Asymmetric or Incomplete Information about Asset Values?</t>
  </si>
  <si>
    <t>REVIEW OF FINANCIAL STUDIES</t>
  </si>
  <si>
    <t>SELECTION; AGENTS; TEXT; ART</t>
  </si>
  <si>
    <t>We provide a new framework for using text as data in empirical models. The framework identifies salient information in unstructured text that can control for multidimensional heterogeneity among assets. We demonstrate the efficacy of the framework by reexamining principal-agent problems in residential real estate markets. We show that the agent-owned premiums reported in the extant literature dissipate when the salient textual information is included. The results suggest the previously reported agent-owned premiums suffer from an omitted variable bias, which prior studies incorrectly ascribed to market distortions associated with asymmetric information.</t>
  </si>
  <si>
    <t>[Liu, Crocker H.] Cornell Univ, Ithaca, NY 14853 USA; [Nowak, Adam D.] West Virginia Univ, Morgantown, WV 26506 USA; [Smith, Patrick S.] San Diego State Univ, San Diego, CA 92182 USA</t>
  </si>
  <si>
    <t>Cornell University; West Virginia University; California State University System; San Diego State University</t>
  </si>
  <si>
    <t>Smith, PS (corresponding author), San Diego State Univ, Fowler Coll Business, 5500 Campanille Dr, San Diego, CA 92182 USA.</t>
  </si>
  <si>
    <t>patrick.smith@sdsu.edu</t>
  </si>
  <si>
    <t>0893-9454</t>
  </si>
  <si>
    <t>1465-7368</t>
  </si>
  <si>
    <t>REV FINANC STUD</t>
  </si>
  <si>
    <t>Rev. Financ. Stud.</t>
  </si>
  <si>
    <t>10.1093/rfs/hhz096</t>
  </si>
  <si>
    <t>NE3ET</t>
  </si>
  <si>
    <t>WOS:000562481500002</t>
  </si>
  <si>
    <t>Palaniswamy, N; Parthasarathy, R; Rao, V</t>
  </si>
  <si>
    <t>Palaniswamy, Nethra; Parthasarathy, Ramya; Rao, Vijayendra</t>
  </si>
  <si>
    <t>Unheard voices: The challenge of inducing women's civic speech</t>
  </si>
  <si>
    <t>WORLD DEVELOPMENT</t>
  </si>
  <si>
    <t>India; Gender; Deliberation; Village democracy; Text-as-data; Participation</t>
  </si>
  <si>
    <t>POLICY EXPERIMENT; GENDER; DEMOCRACY; FLOOR</t>
  </si>
  <si>
    <t>Deliberative institutions have gained popularity in the developing world as a means by which to make governance more inclusive and responsive to local needs. However, a growing body of evidence suggests that persistent gender inequality may limit women's ability to participate actively and influence outcomes in these forums. In response, policy makers have tried to induce women's participation by leveraging the group-based format of self-help groups, which can build women's social capital and develop their sense of political efficacy and identity. This paper evaluates the impact of one such intervention, known as the Pudhu Vaazhvu Project, on women's civic participation in rural Tamil Nadu. Using text as-data methods on a matched sample of transcripts from village assembly meetings, the analysis finds that the Pudhu Vaazhvu Project significantly increases women's participation in the gram sabha along several dimensions meeting attendance, propensity to speak, and the length of floor time they enjoy. Although women in the Pudhu Vaazhvu Project villages enjoy greater voice, the findings suggest that this intervention may shift discourse away from the organic topics raised by citizens and towards project specific activities. Given the finite amount of time to conduct local assemblies, this may have the perverse effect of crowding out discussion of issues that are broadly relevant to the community. (C) 2018 Elsevier Ltd. All rights reserved.</t>
  </si>
  <si>
    <t>[Palaniswamy, Nethra] World Bank, Poverty Global Practice, 1818 H St NW, Washington, DC 20433 USA; [Parthasarathy, Ramya] Stanford Univ, Dept Polit Sci, Stanford, CA 94305 USA; [Rao, Vijayendra] World Bank, Dev Res Grp, 1818 H St NW, Washington, DC 20433 USA</t>
  </si>
  <si>
    <t>The World Bank; Stanford University; The World Bank</t>
  </si>
  <si>
    <t>npalaniswamy@worldbank.org; ramyap1@alumni.stanford.edu; vrao@worldbank.org</t>
  </si>
  <si>
    <t>UK Aid from the UK government; Australian Government's Departments of Foreign Affairs and Trade; European Commission (EC) through the South Asia Food and Nutrition Security Initiative (SAFANSI)</t>
  </si>
  <si>
    <t>UK Aid from the UK government(CGIAR); Australian Government's Departments of Foreign Affairs and Trade; European Commission (EC) through the South Asia Food and Nutrition Security Initiative (SAFANSI)(European Commission)</t>
  </si>
  <si>
    <t>This paper is a product of the World Bank's Social Observatory. Financial support from the contributions of (1) UK Aid from the UK government, (2) the Australian Government's Departments of Foreign Affairs and Trade, and (3) the European Commission (EC) through the South Asia Food and Nutrition Security Initiative (SAFANSI), which is administered by the World Bank, is gratefully acknowledged. The authors are indebted to R.V. Shajeevana, the former Additional Project Director of the Pudhu Vaazhu Project, for her advice and assistance; Kevin Crockford and Samik Sundar Das for their support; as well as Madhulika Khanna, Nishtha Kochhar, Smriti Sakhamuri, G. Manivannan, and GFK-Mode for their help with the fieldwork. The authors also thank Avidit Acharya, Lisa Blaydes, Nick Eubank, Adriane Fresh, Justin Grimmer, David Laitin, Jeremy Weinstein, and participants of the Indian Political Economy working group in Washington, D.C. for comments and suggestions. The views expressed here do not necessarily reflect the UK, EC, or Australian government's official policies or the policies of the World Bank and its Board of Executive Directors.</t>
  </si>
  <si>
    <t>0305-750X</t>
  </si>
  <si>
    <t>WORLD DEV</t>
  </si>
  <si>
    <t>World Dev.</t>
  </si>
  <si>
    <t>10.1016/j.worlddev.2018.10.007</t>
  </si>
  <si>
    <t>Development Studies; Economics</t>
  </si>
  <si>
    <t>Development Studies; Business &amp; Economics</t>
  </si>
  <si>
    <t>HI3LW</t>
  </si>
  <si>
    <t>WOS:000456352700005</t>
  </si>
  <si>
    <t>Green, A; Unaldi, A; Weir, C</t>
  </si>
  <si>
    <t>Green, Anthony; Uenaldi, Aylin; Weir, Cyril</t>
  </si>
  <si>
    <t>Empiricism versus connoisseurship: Establishing the appropriacy of texts in tests of academic reading</t>
  </si>
  <si>
    <t>LANGUAGE TESTING</t>
  </si>
  <si>
    <t>automated text analysis; content validity; English for academic purposes; reading; text authenticity</t>
  </si>
  <si>
    <t>COMPREHENSION; COHESION</t>
  </si>
  <si>
    <t>Providers of tests of languages for academic purposes generally claim to provide evidence on the extent to which students are likely to be able to cope with the future demands of reading in specified real-life contexts. Such claims need to be supported by evidence that the texts employed in the test reflect salient features of the texts the test takers will encounter in the target situation as well as demonstrating the comparability of the cognitive processing demands of accompanying test tasks with target reading activities. This paper will focus on the issue of text comparability. For reasons of practicality, evidence relating to text characteristics is generally based on the expert judgement of individual test writers, arrived at through a holistic interpretation of test specifications. However, advances in automated textual analysis and a better understanding of the value of pooled qualitative judgement have now made it feasible to provide more quantitative approaches focusing analytically on a wide range of individual characteristics. This paper will employ these techniques to explore the comparability of texts used in a test of academic reading comprehension and key texts used by first-year undergraduates at a British university. It offers a principled means for test providers and test users to evaluate this aspect of test validity.</t>
  </si>
  <si>
    <t>tony.green@beds.ac.uk</t>
  </si>
  <si>
    <t>Unaldi, Aylin/AAR-8670-2020</t>
  </si>
  <si>
    <t>Unaldi, Aylin/0000-0003-4119-6700; Green, Anthony/0000-0003-4893-1798</t>
  </si>
  <si>
    <t>0265-5322</t>
  </si>
  <si>
    <t>1477-0946</t>
  </si>
  <si>
    <t>LANG TEST</t>
  </si>
  <si>
    <t>Lang. Test.</t>
  </si>
  <si>
    <t>10.1177/0265532209349471</t>
  </si>
  <si>
    <t>592GW</t>
  </si>
  <si>
    <t>WOS:000277367400005</t>
  </si>
  <si>
    <t>Than, N; Windel, F; Steele, LG</t>
  </si>
  <si>
    <t>Than, Nga; Windel, Friederike; Steele, Liza G.</t>
  </si>
  <si>
    <t>#Lorrydeaths: Structural Topic Modeling of Twitter Users' Attitudes About the Deaths of 39 Vietnamese Migrants to the United Kingdom</t>
  </si>
  <si>
    <t>FRONTIERS IN SOCIOLOGY</t>
  </si>
  <si>
    <t>Lorry deaths; public opinion; immigration; social media; Britain; Brexit; topic modeling; attitudes</t>
  </si>
  <si>
    <t>SOCIAL MEDIA; IMMIGRATION; SENTIMENT; TERRORIST; VIOLENCE; CRISIS; RACISM; STATE</t>
  </si>
  <si>
    <t>In this article, we analyze anti- and pro-immigrant attitudes expressed following the Essex Lorry Deaths tragedy in October 2019 in Britain, in which 39 Vietnamese immigrants died in a sealed lorry truck on their way to their destination. We apply Structural Topic Modeling, an automated text analysis method, to a Twitter dataset (N = 4,376), to understand public responses to the Lorry Deaths incident. We find that Twitter users' posts were organized into two themes regarding attitudes toward immigrants: (1) migration narratives, stereotypes, and victim identities, and (2) border control. Within each theme, both pro- and anti-immigration attitudes were expressed. Pro-immigration posts reflected counter-narratives that challenged the mainstream media's coverage of the incident and critiqued the militarization of borders and the criminalization of immigration. Anti-immigration posts ranged from reproducing stereotypes about Vietnamese immigrants to explicitly blaming the victims themselves or their families for the deaths. This study demonstrates the uses and limitations of using Twitter for public opinion research by offering a nuanced analysis of how pro-and anti-immigration attitudes are discussed in response to a tragic event. Our research also contributes to a growing literature on public opinion about an often-forgotten immigrant group in the UK, the Vietnamese.</t>
  </si>
  <si>
    <t>[Than, Nga; Windel, Friederike; Steele, Liza G.] CUNY, Grad Ctr, New York, NY 10016 USA; [Steele, Liza G.] John Jay Coll Criminal Justice, New York, NY USA</t>
  </si>
  <si>
    <t>City University of New York (CUNY) System; City University of New York (CUNY) System</t>
  </si>
  <si>
    <t>Than, N (corresponding author), CUNY, Grad Ctr, New York, NY 10016 USA.</t>
  </si>
  <si>
    <t>nthan@gradcenter.cuny.edu</t>
  </si>
  <si>
    <t>2297-7775</t>
  </si>
  <si>
    <t>FRONT SOCIOL</t>
  </si>
  <si>
    <t>Front. Sociol.</t>
  </si>
  <si>
    <t>AUG 11</t>
  </si>
  <si>
    <t>10.3389/fsoc.2022.787450</t>
  </si>
  <si>
    <t>3Z4DP</t>
  </si>
  <si>
    <t>WOS:000844366600001</t>
  </si>
  <si>
    <t>Petchprasert, A</t>
  </si>
  <si>
    <t>Petchprasert, Anongnad</t>
  </si>
  <si>
    <t>Utilizing an automated tool analysis to evaluate EFL students' writing performances</t>
  </si>
  <si>
    <t>ASIAN-PACIFIC JOURNAL OF SECOND AND FOREIGN LANGUAGE EDUCATION</t>
  </si>
  <si>
    <t>EFL writing; Coh-Metrix; Discourse components; Corpus linguistics; Computational linguistics</t>
  </si>
  <si>
    <t>TEXT ANALYSIS; COH-METRIX; LANGUAGE; MULTIPLE</t>
  </si>
  <si>
    <t>Recently, the integration of linguistics and technology has been promoted and widely used in the field of linguistics and English writing research for several purposes. One of those purposes is to evaluate English as a Foreign Language (EFL) writing ability by using electronic assessment tools. In the current study, an automated writing evaluation tool (Coh-Metrix) was used to indicate English-major students' writing performances based on the discourse components of the texts. The English texts generated for each writing task on two different topics were collected. The corpus analyses gathered from Coh-Metrix identified linguistic and discourse features that were interpreted to determine the 40 EFL undergraduate students' English writing abilities. The students wrote and revised their essays in hand-written essays in class and resubmitted their essays in digital forms with corrections made. The results showed that these students demonstrated linguistic flexibility across writing assignments that they produced. The analyses also indicated that the length of the texts and the uses of the word concreteness, and the referential and deep cohesion had impacts on the students' writing performances across the writing tasks. Besides, the findings suggest practical value in using an automated text analysis to support teachers' instructional decisions that could help to identify improvement of students' writing skill.</t>
  </si>
  <si>
    <t>[Petchprasert, Anongnad] Ramkhamhang Univ, Fac Educ, Dept Curriculum &amp; Instruct, 2086 Ramkhamhaeng Rd, Hua Mak 10240, Bangapi Bangkok, Thailand</t>
  </si>
  <si>
    <t>Petchprasert, A (corresponding author), Ramkhamhang Univ, Fac Educ, Dept Curriculum &amp; Instruct, 2086 Ramkhamhaeng Rd, Hua Mak 10240, Bangapi Bangkok, Thailand.</t>
  </si>
  <si>
    <t>anongnad07@hotmail.com</t>
  </si>
  <si>
    <t>Petchprasert, Anongnad/0000-0002-8490-5127</t>
  </si>
  <si>
    <t>2363-5169</t>
  </si>
  <si>
    <t>ASIAN-PAC J SEC FOR</t>
  </si>
  <si>
    <t>Asian-Pac. J. Sec. Foreign Lang. Educ.</t>
  </si>
  <si>
    <t>JAN 4</t>
  </si>
  <si>
    <t>10.1186/s40862-020-00107-w</t>
  </si>
  <si>
    <t>Education &amp; Educational Research; Linguistics</t>
  </si>
  <si>
    <t>PQ4GL</t>
  </si>
  <si>
    <t>WOS:000606503700001</t>
  </si>
  <si>
    <t>Reiss, MV</t>
  </si>
  <si>
    <t>Reiss, Michael, V</t>
  </si>
  <si>
    <t>Dissecting Non-Use of Online News - Systematic Evidence from Combining Tracking and Automated Text Classification</t>
  </si>
  <si>
    <t>News avoidance; news consumption; supervised machine learning; automated text analysis; tracking data; faux news effect; invisible news effect</t>
  </si>
  <si>
    <t>SOCIAL MEDIA USE; POLITICAL KNOWLEDGE; CURRENT AFFAIRS; EXPOSURE; ENTERTAINMENT; CONSUMPTION; JOURNALISM; ACCURACY; OVERLOAD; GAPS</t>
  </si>
  <si>
    <t>A high proportion of non-users of news is considered a concern for a functioning democracy. However, existing empirical assessments on the share of news avoiders rely exclusively on survey data and the results vary drastically between studies, making it difficult to evaluate the severity of the issue. This study relies on tracking data of Swiss Internet users and applies and discusses two computational methods, identifying news at the domain and article level, to realistically assess the extent of non-users of online news. Results indicate that at least 14.2% of Internet users do not use news online. Furthermore, this study suggests that identifying news use solely based on tracking data at the domain level is distorted by a faux news effect, i.e., non-news use on news domains, and an invisible news effect, i.e., news use on small and unknown news domains. The parallel use of tracking data and supervised text classification allows to dissect and discuss these effects systematically. Similarly, it is found that not accounting for news use via apps overestimates the extent of non-use of online news. The findings provide valuable insights for future applications of these methods in similar contexts.</t>
  </si>
  <si>
    <t>[Reiss, Michael, V] Univ Zurich, Dept Commun &amp; Media Res, Zurich, Switzerland</t>
  </si>
  <si>
    <t>Reiss, MV (corresponding author), Univ Zurich, Dept Commun &amp; Media Res, Zurich, Switzerland.</t>
  </si>
  <si>
    <t>m.reiss@ilcmz.uzh.ch</t>
  </si>
  <si>
    <t>Schweizerischer Nationalfonds zur Forderung der Wissenschaftlichen Forschung; Swiss National Science Foundation (SNF) [176443]</t>
  </si>
  <si>
    <t>Schweizerischer Nationalfonds zur Forderung der Wissenschaftlichen Forschung(Austrian Science Fund (FWF)); Swiss National Science Foundation (SNF)(Swiss National Science Foundation (SNSF))</t>
  </si>
  <si>
    <t>This work was funded by Schweizerischer Nationalfonds zur F_orderung der Wissenschaftlichen Forschung.This research project received funding from the Swiss National Science Foundation (SNF Grant No. 176443).</t>
  </si>
  <si>
    <t>10.1080/21670811.2022.2105243</t>
  </si>
  <si>
    <t>3U6NI</t>
  </si>
  <si>
    <t>WOS:000841085200001</t>
  </si>
  <si>
    <t>Unver, HA</t>
  </si>
  <si>
    <t>Unver, H. Akin</t>
  </si>
  <si>
    <t>Computational International Relations What Can Programming, Coding and Internet Research Do for the Discipline?</t>
  </si>
  <si>
    <t>Methodology; computer science; digital research; Internet</t>
  </si>
  <si>
    <t>SOCIAL MEDIA; NETWORK ANALYSIS; SCIENCE; COMMUNICATION; METHODOLOGY; INFORMATION; TECHNOLOGY; SOCIOLOGY; CONFLICT; SEARCH</t>
  </si>
  <si>
    <t>Computational Social Science emerged as a highly technical and popular discipline in the last few years, owing to the substantial advances in communication technology and daily production of vast quantities of personal data. As per capita data production significantly increased in the last decade, both in terms of its size (bytes) as well as its detail (hearttrate monitors, internet-connected appliances, smartphones), social scientists' ability to extract meaningful social, political and demographic information from digital data also increased. A vast methodological gap exists in 'computational international relations', which refers to the use of one or a combination of tools such as data mining, natural language processing, automated text analysis, web scraping, geospatial analysis and machine learning to provide larger and better organized data to test more advanced theories of After providing an overview of the potentials of computational IR and how an IR scholar can establish technical proficiency in computer science (such as starting with Python, R, OGis, ArcGis or Github), this paper will fonts on some of the authors works in providing an idea for IR students on how to think about computational IR. The paper argues that computational methods transcend the methodological schism between qualitative and quantitative approaches and form a solid foundation in building truly multi-method research design.</t>
  </si>
  <si>
    <t>[Unver, H. Akin] Kadir Has Univ, Int Relat, Istanbul, Turkey</t>
  </si>
  <si>
    <t>Kadir Has University</t>
  </si>
  <si>
    <t>Unver, HA (corresponding author), Kadir Has Univ, Int Relat, Istanbul, Turkey.</t>
  </si>
  <si>
    <t>akin.unver@khas.edu.tr</t>
  </si>
  <si>
    <t>Unver, Hamid Akin/AAG-6259-2019</t>
  </si>
  <si>
    <t>Unver, Hamid Akin/0000-0002-6932-8325</t>
  </si>
  <si>
    <t>WOS:000473342000004</t>
  </si>
  <si>
    <t>Rand, DG; Kraft-Todd, G; Gruber, J</t>
  </si>
  <si>
    <t>Rand, David G.; Kraft-Todd, Gordon; Gruber, June</t>
  </si>
  <si>
    <t>The Collective Benefits of Feeling Good and Letting Go: Positive Emotion and (dis)Inhibition Interact to Predict Cooperative Behavior</t>
  </si>
  <si>
    <t>SOCIAL NETWORKS; GRATITUDE; WORDS; PERSPECTIVE; REFLECTION; COMPASSION; PUNISHMENT; HAPPINESS; EMPATHY; CHOICE</t>
  </si>
  <si>
    <t>Cooperation is central to human existence, forming the bedrock of everyday social relationships and larger societal structures. Thus, understanding the psychological underpinnings of cooperation is of both scientific and practical importance. Recent work using a dual-process framework suggests that intuitive processing can promote cooperation while deliberative processing can undermine it. Here we add to this line of research by more specifically identifying deliberative and intuitive processes that affect cooperation. To do so, we applied automated text analysis using the Linguistic Inquiry and Word Count (LIWC) software to investigate the association between behavior in one-shot anonymous economic cooperation games and the presence inhibition (a deliberative process) and positive emotion (an intuitive process) in free-response narratives written after (Study 1, N = 4,218) or during (Study 2, N = 236) the decision-making process. Consistent with previous results, across both studies inhibition predicted reduced cooperation while positive emotion predicted increased cooperation (even when controlling for negative emotion). Importantly, there was a significant interaction between positive emotion and inhibition, such that the most cooperative individuals had high positive emotion and low inhibition. This suggests that inhibition (i.e., reflective or deliberative processing) may undermine cooperative behavior by suppressing the prosocial effects of positive emotion.</t>
  </si>
  <si>
    <t>[Rand, David G.; Kraft-Todd, Gordon] Yale Univ, Dept Psychol, New Haven, CT 06520 USA; [Rand, David G.] Yale Univ, Dept Econ, New Haven, CT 06520 USA; [Rand, David G.] Yale Univ, Sch Management, New Haven, CT USA; [Gruber, June] Univ Colorado, Dept Psychol &amp; Neurosci, Boulder, CO 80309 USA</t>
  </si>
  <si>
    <t>Yale University; Yale University; Yale University; University of Colorado System; University of Colorado Boulder</t>
  </si>
  <si>
    <t>Rand, DG (corresponding author), Yale Univ, Dept Psychol, New Haven, CT 06520 USA.</t>
  </si>
  <si>
    <t>david.rand@yale.edu</t>
  </si>
  <si>
    <t>Kraft-Todd, Gordon/O-5520-2016</t>
  </si>
  <si>
    <t>Kraft-Todd, Gordon/0000-0003-1220-9269; Rand, David/0000-0001-8975-2783</t>
  </si>
  <si>
    <t>John Templeton Foundation</t>
  </si>
  <si>
    <t>DR received funding from the John Templeton Foundation (http://www.templeton.org/) thru the New Paths to Purpose initiative. The funders had no role in study design, data collection and analysis, decision to publish, or preparation of the manuscript.</t>
  </si>
  <si>
    <t>JAN 27</t>
  </si>
  <si>
    <t>e0117426</t>
  </si>
  <si>
    <t>10.1371/journal.pone.0117426</t>
  </si>
  <si>
    <t>CA3QM</t>
  </si>
  <si>
    <t>WOS:000348821400034</t>
  </si>
  <si>
    <t>Pellert, M; Lasser, J; Metzler, H; Garcia, D</t>
  </si>
  <si>
    <t>Pellert, Max; Lasser, Jana; Metzler, Hannah; Garcia, David</t>
  </si>
  <si>
    <t>Dashboard of Sentiment in Austrian Social Media During COVID-19</t>
  </si>
  <si>
    <t>FRONTIERS IN BIG DATA</t>
  </si>
  <si>
    <t>COVID-19; collective emotions; real-time monitoring; social media; digital traces; webscraping; dashboard; affective sciences</t>
  </si>
  <si>
    <t>To track online emotional expressions on social media platforms close to real-time during the COVID-19 pandemic, we built a self-updating monitor of emotion dynamics using digital traces from three different data sources in Austria. This allows decision makers and the interested public to assess dynamics of sentiment online during the pandemic. We used web scraping and API access to retrieve data from the news platform derstandard.at, Twitter, and a chat platform for students. We documented the technical details of our workflow to provide materials for other researchers interested in building a similar tool for different contexts. Automated text analysis allowed us to highlight changes of language use during COVID-19 in comparison to a neutral baseline. We used special word clouds to visualize that overall difference. Longitudinally, our time series showed spikes in anxiety that can be linked to several events and media reporting. Additionally, we found a marked decrease in anger. The changes lasted for remarkably long periods of time (up to 12 weeks). We have also discussed these and more patterns and connect them to the emergence of collective emotions. The interactive dashboard showcasing our data is available online at http://www.mpellert.at/covid19_monitor_austria/. Our work is part of a web archive of resources on COVID-19 collected by the Austrian National Library.</t>
  </si>
  <si>
    <t>[Pellert, Max; Lasser, Jana; Metzler, Hannah; Garcia, David] Complex Sci Hub Vienna, Vienna, Austria; [Pellert, Max; Lasser, Jana; Metzler, Hannah; Garcia, David] Med Univ Vienna, Sect Sci Complex Syst, Ctr Med Stat Informat &amp; Intelligent Syst, Vienna, Austria; [Metzler, Hannah] Inst Globally Distributed Open Res &amp; Educ, Stockholm, Sweden</t>
  </si>
  <si>
    <t>Medical University of Vienna</t>
  </si>
  <si>
    <t>Pellert, M (corresponding author), Complex Sci Hub Vienna, Vienna, Austria.;Pellert, M (corresponding author), Med Univ Vienna, Sect Sci Complex Syst, Ctr Med Stat Informat &amp; Intelligent Syst, Vienna, Austria.</t>
  </si>
  <si>
    <t>pellert@csh.ac.at</t>
  </si>
  <si>
    <t>Pellert, Max/AAK-4900-2020; Metzler, Hannah/AAH-4442-2020</t>
  </si>
  <si>
    <t>Pellert, Max/0000-0002-6557-7607; Metzler, Hannah/0000-0001-9254-3675; Lasser, Jana/0000-0002-4274-4580</t>
  </si>
  <si>
    <t>Vienna Science and Technology Fund through the project Emotional Well-Being in the Digital Society [VRG16-005]</t>
  </si>
  <si>
    <t>Vienna Science and Technology Fund through the project Emotional Well-Being in the Digital Society</t>
  </si>
  <si>
    <t>This work was funded by the Vienna Science and Technology Fund through the project Emotional Well-Being in the Digital Society (Grant No. VRG16-005).</t>
  </si>
  <si>
    <t>2624-909X</t>
  </si>
  <si>
    <t>FRONT BIG DATA</t>
  </si>
  <si>
    <t>Front. Big Data</t>
  </si>
  <si>
    <t>OCT 26</t>
  </si>
  <si>
    <t>10.3389/fdata.2020.00032</t>
  </si>
  <si>
    <t>Computer Science, Information Systems; Computer Science, Interdisciplinary Applications; Multidisciplinary Sciences</t>
  </si>
  <si>
    <t>TK6RS</t>
  </si>
  <si>
    <t>WOS:000674283800001</t>
  </si>
  <si>
    <t>Handy, AB; Stanton, AM; Meston, CM</t>
  </si>
  <si>
    <t>Handy, Ariel B.; Stanton, Amelia M.; Meston, Cindy M.</t>
  </si>
  <si>
    <t>What Does Sexual Arousal Mean to You? Women With and Without Sexual Arousal Concerns Describe Their Experiences</t>
  </si>
  <si>
    <t>JOURNAL OF SEX RESEARCH</t>
  </si>
  <si>
    <t>FUNCTION INDEX FSFI; RELATIONSHIP SATISFACTION; DYSFUNCTION; INHIBITION; DESIRE; MODEL; VALIDATION; DIMENSIONS</t>
  </si>
  <si>
    <t>Sexual arousal is frequently characterized by both subjective (i.e., mental) and physiological (e.g., genital) components. The nuances of these components, however, are difficult to capture via self-report instruments. Asking women to describe sexual arousal in their own words may therefore enhance our understanding of this construct. In the present study, women with (n = 190) and without (n = 610) arousal concerns were recruited online and wrote about their experience of sexual arousal. Seven clusters of words were extracted using automated text analysis, and the prominence of these clusters was compared between groups of women. The autonomic arousal cluster differed between groups such that women with arousal concerns invoked this cluster significantly less than did women with no such concerns. Furthermore, the context cluster significantly predicted group membership (odds ratio [OR] = 1.063); greater scores on this cluster were associated with arousal concerns. Results suggest that autonomic arousal and relationship factors may play important roles in arousal concerns. It is suggested that clinicians assess for aspects of the sexual relationship that may facilitate or hinder sexual arousal. Clinicians may also consider inquiring about the presence or appraisal of autonomic arousal (e.g., one's interpretation of an increase in heart rate or respiration) during sexual activity.</t>
  </si>
  <si>
    <t>[Handy, Ariel B.; Stanton, Amelia M.; Meston, Cindy M.] Univ Texas Austin, Dept Psychol, 108 East Dean Keeton St,Stop A8000, Austin, TX 78712 USA</t>
  </si>
  <si>
    <t>Meston, CM (corresponding author), Univ Texas Austin, Dept Psychol, 108 East Dean Keeton St,Stop A8000, Austin, TX 78712 USA.</t>
  </si>
  <si>
    <t>meston@psy.utexas.edu</t>
  </si>
  <si>
    <t>Meston, Cindy/0000-0002-8771-3956</t>
  </si>
  <si>
    <t>0022-4499</t>
  </si>
  <si>
    <t>1559-8519</t>
  </si>
  <si>
    <t>J SEX RES</t>
  </si>
  <si>
    <t>J. Sex Res.</t>
  </si>
  <si>
    <t>10.1080/00224499.2018.1468867</t>
  </si>
  <si>
    <t>VK5HL</t>
  </si>
  <si>
    <t>WOS:000720101400007</t>
  </si>
  <si>
    <t>Colley, SK; Neal, A</t>
  </si>
  <si>
    <t>Colley, Sarah K.; Neal, Andrew</t>
  </si>
  <si>
    <t>Automated text analysis to examine qualitative differences in safety schema among upper managers, supervisors and workers</t>
  </si>
  <si>
    <t>SAFETY SCIENCE</t>
  </si>
  <si>
    <t>Occupational safety; Safety climate; Schema; Concept mapping; Qualitative analysis</t>
  </si>
  <si>
    <t>ORGANIZATIONAL-CLIMATE; WORKPLACE SAFETY; CULTURE; MAINTENANCE; PERCEPTIONS; PERFORMANCE; ATTITUDES; BEHAVIOR</t>
  </si>
  <si>
    <t>Differences in people's understanding of the concept of safety within an organization represent a barrier to communication, and may potentially undermine attempts to improve safety. The current study used a qualitative research design to examine whether safety schemas differed between individuals with and without leadership responsibilities. A representative sample of upper managers (N = 6), supervisors (N = 7) and workers (N = 12) were purposively sampled and interviewed. A machine learning algorithm was used to automatically extract concepts and themes from the interview transcripts. Results identified 10 emergent safety climate themes that formed the basis of the safety climate schema. Many of these themes aligned with dimensions of safety climate identified in the academic literature. Results also indicated that safety climate schema of upper managers, supervisors and workers differed. Upper managers were concerned more with themes relating to 'culture' and 'people'; supervisors were concerned more with themes relating to 'corporate values', 'management practices' and 'safety communication'; and workers were concerned more with themes relating to 'procedures' and 'safety training'. Results are discussed in relation to safety climate theory and in terms of how manager; can use this knowledge to improve safety communicate and align safety schemas. (C) 2012 Elsevier Ltd. All rights reserved.</t>
  </si>
  <si>
    <t>[Colley, Sarah K.; Neal, Andrew] Univ Queensland, Sch Psychol, St Lucia, Qld 4072, Australia</t>
  </si>
  <si>
    <t>University of Queensland</t>
  </si>
  <si>
    <t>Neal, A (corresponding author), Univ Queensland, Sch Psychol, St Lucia, Qld 4072, Australia.</t>
  </si>
  <si>
    <t>Andrew@psy.uq.edu.au</t>
  </si>
  <si>
    <t>Neal, Andrew/J-3152-2014</t>
  </si>
  <si>
    <t>Neal, Andrew/0000-0002-5344-9376</t>
  </si>
  <si>
    <t>ELSEVIER SCIENCE BV</t>
  </si>
  <si>
    <t>PO BOX 211, 1000 AE AMSTERDAM, NETHERLANDS</t>
  </si>
  <si>
    <t>0925-7535</t>
  </si>
  <si>
    <t>1879-1042</t>
  </si>
  <si>
    <t>SAFETY SCI</t>
  </si>
  <si>
    <t>Saf. Sci.</t>
  </si>
  <si>
    <t>10.1016/j.ssci.2012.04.006</t>
  </si>
  <si>
    <t>Engineering, Industrial; Operations Research &amp; Management Science</t>
  </si>
  <si>
    <t>983TQ</t>
  </si>
  <si>
    <t>WOS:000307142000007</t>
  </si>
  <si>
    <t>Urban-Lurain, M; Prevost, L; Haudek, KC; Henry, EN; Berry, M; Merrill, JE</t>
  </si>
  <si>
    <t>Urban-Lurain, Mark; Prevost, Luanna; Haudek, Kevin C.; Henry, Emily Norton; Berry, Mathew; Merrill, John E.</t>
  </si>
  <si>
    <t>Using Computerized Lexical Analysis of Student Writing to Support Just-in-Time Teaching in Large Enrollment STEM Courses</t>
  </si>
  <si>
    <t>2013 IEEE FRONTIERS IN EDUCATION CONFERENCE</t>
  </si>
  <si>
    <t>43rd Annual Frontiers in Education Conference (FIE)</t>
  </si>
  <si>
    <t>OCT 23-26, 2013</t>
  </si>
  <si>
    <t>Univ Oklahoma, Coll Engn, Oklahoma City, OK</t>
  </si>
  <si>
    <t>Inst Elect &amp; Elect Engineers Comp Soc,Amer Soc Engn Educ, Educ Res Methods Div,Inst Elect &amp; Elect Engineers,Inst Elect &amp; Elect Engineers Educ Soc</t>
  </si>
  <si>
    <t>Univ Oklahoma, Coll Engn</t>
  </si>
  <si>
    <t>large-enrollment introductory courses; constructed responses; lexical analysis; Just-in-Time Teaching (JiTT)</t>
  </si>
  <si>
    <t>NATURAL-SELECTION; BIOLOGY; KNOWLEDGE; EVOLUTION; THINKING; MODELS</t>
  </si>
  <si>
    <t>We have been exploring a variety of computerized techniques for analyzing student writing in introductory biology. We achieve computer-to-expert inter-rater reliability (IRR) on par with expert-to-expert IRR (&gt;.8). In Fall, 2012, we piloted the use of automated text analysis to facilitate the use of written formative assessment for Just-in-Time Teaching (JiTT) in a large-enrollment introductory biology course at a large public Midwestern university. A total of 12,677 student responses to 15 online homework questions were collected in three 300+ student course sections with four instructors. We used automated analysis to create feedback for instructors before the next class period (less than one working day), so that instructions could use this feedback to inform their instruction. Instructors used many of the questions pre- and post-instruction and the reports we provided to them allowed them to see how their students' answers changed as a result of their instruction. Focus groups with the instructors revealed that they already knew some of the topics that challenged students, as revealed in previous semesters with multiple-choice examinations. However, the instructors pointed out that the written assessments were particularly important for gaining insight as to why students have struggled continuously with these ideas.</t>
  </si>
  <si>
    <t>[Urban-Lurain, Mark; Prevost, Luanna; Haudek, Kevin C.; Henry, Emily Norton; Berry, Mathew] Michigan State Univ, Ctr Engn Educ Res, E Lansing, MI 48824 USA; [Merrill, John E.] Michigan State Univ, E Lansing, MI 48824 USA</t>
  </si>
  <si>
    <t>Urban-Lurain, M (corresponding author), Michigan State Univ, Ctr Engn Educ Res, E Lansing, MI 48824 USA.</t>
  </si>
  <si>
    <t>urban@msu.edu</t>
  </si>
  <si>
    <t>Urban-Lurain, Mark/AAA-9923-2021</t>
  </si>
  <si>
    <t>Urban-Lurain, Mark/0000-0002-2243-8252</t>
  </si>
  <si>
    <t>National Science Foundation [1022653]</t>
  </si>
  <si>
    <t>This material is based upon work supported by the National Science Foundation under award 1022653 (DUE). Any opinions, findings and conclusions or recommendations expressed in this material are those of the author(s) and do not necessarily reflect the views of the National Science Foundation (NSF).</t>
  </si>
  <si>
    <t>978-1-4673-5261-1</t>
  </si>
  <si>
    <t>BA0BM</t>
  </si>
  <si>
    <t>WOS:000330839100361</t>
  </si>
  <si>
    <t>Alag, S</t>
  </si>
  <si>
    <t>Alag, Shray</t>
  </si>
  <si>
    <t>Unique insights from ClinicalTrials.gov by mining protein mutations and RSids in addition to applying the Human Phenotype Ontology</t>
  </si>
  <si>
    <t>SEQUENCE VARIANTS; INFORMATION; CLINVAR; TMVAR</t>
  </si>
  <si>
    <t>Researchers and clinicians face a significant challenge in keeping up-to-date with the rapid rate of new associations between genetic mutations and diseases. To remedy this problem, this research mined the ClinicalTrials.gov corpus to extract relevant biological insights, produce unique reports to summarize findings, and make the meta-data available via APIs. An automated text-analysis pipeline performed the following features: parsing the ClinicalTrials.gov files, extracting and analyzing mutations from the corpus, mapping clinical trials to Human Phenotype Ontology (HPO), and finding associations between clinical trials and HPO nodes. Unique reports were created for each mutation (SNPs and protein mutations) mentioned in the corpus, as well as for each clinical trial that references a mutation. These reports, which have been run over multiple time points, along with APIs to access meta-data, are freely available at http://snpminertrials.com. Additionally, HPO was used to normalize disease terms and associate clinical trials with relevant genes. The creation of the pipeline and reports, the association of clinical trials with HPO terms, and the insights, public repository, and APIs produced are all novel in this work. The freely-available resources present relevant biological information and novel insights between biomedical entities in a robust and accessible manner, mitigating the challenge of being informed about new associations between mutations, genes, and diseases.</t>
  </si>
  <si>
    <t>[Alag, Shray] Harker Sch, San Jose, CA 95129 USA</t>
  </si>
  <si>
    <t>Alag, S (corresponding author), Harker Sch, San Jose, CA 95129 USA.</t>
  </si>
  <si>
    <t>21shraya@students.harker.org</t>
  </si>
  <si>
    <t>Alag, Shray/0000-0002-1725-2891</t>
  </si>
  <si>
    <t>e0233438</t>
  </si>
  <si>
    <t>10.1371/journal.pone.0233438</t>
  </si>
  <si>
    <t>LU1ON</t>
  </si>
  <si>
    <t>WOS:000537531500019</t>
  </si>
  <si>
    <t>Keuchenius, A; Mugge, L</t>
  </si>
  <si>
    <t>Keuchenius, Anna; Mugge, Liza</t>
  </si>
  <si>
    <t>Intersectionality on the go: The diffusion of Black feminist knowledge across disciplinary and geographical borders</t>
  </si>
  <si>
    <t>BRITISH JOURNAL OF SOCIOLOGY</t>
  </si>
  <si>
    <t>complexity science; diffusion; feminism; intersectionality; sociology of knowledge; women's studies</t>
  </si>
  <si>
    <t>COMMUNICATION; PERSPECTIVE; COMPLEXITY; SOCIOLOGY; COVERAGE; SCIENCE; CULTURE; GENDER; STIGMA</t>
  </si>
  <si>
    <t>Kimberle Crenshaw coined the term intersectionality in 1989 as a critique of feminist and critical race scholarship's neglect of-respectively-race and gender. Since then, the concept has been interpreted and reinterpreted to appeal to new disciplinary, geographical, and sociocultural audiences, generating heated debates over its appropriation and continued political significance. Drawing on all 3,807 publications in Scopus that contain the word intersectionality in the title, abstract, or keywords, we map the spread of intersectionality in academia through its citations. Network analysis reveals the contours of its diffusion among the 6,098 scholars in our data set, while automated text analysis, manual coding, and the close reading of publications reveal how the application and interpretation of intersectional thinking has evolved over time and space. We find that the diffusion network exhibits communities that are not well demarcated by either discipline or geography. Communities form around one or a few highly referenced scholars who introduce intersectionality to new audiences while reinterpreting it in a way that speaks to their research interests. By examining the microscopic interactions of publications and citations, our complex systems approach is able to identify the macroscopic patterns of a controversial concept's diffusion.</t>
  </si>
  <si>
    <t>[Keuchenius, Anna] Univ Amsterdam, Dept Sociol, Nieuwe Achtergracht 166, NL-1001 NA Amsterdam, Netherlands; [Mugge, Liza] Univ Amsterdam, Dept Polit Sci, Amsterdam, Netherlands</t>
  </si>
  <si>
    <t>Keuchenius, A (corresponding author), Univ Amsterdam, Dept Sociol, Nieuwe Achtergracht 166, NL-1001 NA Amsterdam, Netherlands.</t>
  </si>
  <si>
    <t>a.keuchenius@uva.nl</t>
  </si>
  <si>
    <t>keuchenius, anna/0000-0002-4117-9823</t>
  </si>
  <si>
    <t>European Union [732942]; Vidi grant Misrepresenting Diversity? - Netherlands Organisation for Scientific Research (NWO) [016.Vidi.175.355]</t>
  </si>
  <si>
    <t>European Union(European Commission); Vidi grant Misrepresenting Diversity? - Netherlands Organisation for Scientific Research (NWO)(Netherlands Organization for Scientific Research (NWO))</t>
  </si>
  <si>
    <t>This research received funding from the European Union's Horizon 2020 research and innovation program under grant agreement No 732942, project ODYCCEUS. Liza Mugge's work was supported by the Vidi grant Misrepresenting Diversity? funded by the Netherlands Organisation for Scientific Research (NWO) (Grant number 016.Vidi.175.355)</t>
  </si>
  <si>
    <t>0007-1315</t>
  </si>
  <si>
    <t>1468-4446</t>
  </si>
  <si>
    <t>BRIT J SOCIOL</t>
  </si>
  <si>
    <t>Br. J. Sociol.</t>
  </si>
  <si>
    <t>10.1111/1468-4446.12816</t>
  </si>
  <si>
    <t>RQ1UL</t>
  </si>
  <si>
    <t>WOS:000605998700001</t>
  </si>
  <si>
    <t>Honnige, C; Nyhuis, D; Meyer, P; Koker, P; Shikano, S</t>
  </si>
  <si>
    <t>Hoennige, Christoph; Nyhuis, Dominic; Meyer, Philipp; Koeker, Philipp; Shikano, Susumu</t>
  </si>
  <si>
    <t>Dominating the debate: visibility bias and mentions of British MPs in newspaper reporting on Brexit</t>
  </si>
  <si>
    <t>Brexit; newspaper analysis; media bias; visibility</t>
  </si>
  <si>
    <t>ELECTION NEWS COVERAGE; EUROPEAN-UNION; MEDIA BIAS; PUBLIC-OPINION; BALANCE; GERMAN; NATION</t>
  </si>
  <si>
    <t>Brexit has been the most important issue in British politics in recent years. Whereas extra-parliamentary actors dominated the run-up to the 2016 referendum, the issue moved back to Parliament after the vote. This paper analyses newspaper reporting on Brexit in major British outlets during the post-referendum phase from July 2017 to March 2019. We study the visibility of Members of Parliament to assess whether the debate was balanced between parties and individual MPs relative to their vote and seat share. We conduct an automated text analysis of 58,247 online and offline newspaper articles covering the ideological spectrum from left to right, and from pro-Brexit to anti-Brexit. Our main findings are: (1) Conservative politicians dominated the debate, and (2) organized pro-Brexit MP pressure groups such as 'Leave Means Leave' were disproportionally more visible. This means that reporting was biased towards Conservative MPs and within the Conservative Party towards supporters of a hard Brexit. These findings are remarkably stable across different types of newspapers. The results challenge previous analyses that found a higher degree of balance in reporting but corroborate recent studies on the tonality of Brexit reporting that found a pro-Brexit bias.</t>
  </si>
  <si>
    <t>[Hoennige, Christoph; Meyer, Philipp; Koeker, Philipp] Leibniz Univ Hannover, Dept Polit Sci, Schneiderberg 50, D-30167 Hannover, Germany; [Nyhuis, Dominic] Univ N Carolina, Dept Polit Sci, Chapel Hill, NC USA; [Shikano, Susumu] Univ Konstanz, Dept Polit &amp; Publ Adm, Constance, Germany</t>
  </si>
  <si>
    <t>Leibniz University Hannover; University of North Carolina; University of North Carolina Chapel Hill; University of Konstanz</t>
  </si>
  <si>
    <t>Honnige, C (corresponding author), Leibniz Univ Hannover, Dept Polit Sci, Schneiderberg 50, D-30167 Hannover, Germany.</t>
  </si>
  <si>
    <t>c.hoennige@ipw.uni-hannover.de</t>
  </si>
  <si>
    <t>Meyer, Philipp/AAV-7313-2020; Koeker, Philipp/I-3166-2019; Shikano, Susumu/Q-3501-2016</t>
  </si>
  <si>
    <t>Meyer, Philipp/0000-0002-7986-9432; Koeker, Philipp/0000-0003-2529-6947; Shikano, Susumu/0000-0003-4087-2789; Hoennige, Christoph/0000-0001-7596-4363</t>
  </si>
  <si>
    <t>10.1080/2474736X.2020.1788955</t>
  </si>
  <si>
    <t>RZ5WP</t>
  </si>
  <si>
    <t>WOS:000648667800010</t>
  </si>
  <si>
    <t>Waters, TEA; Steele, RD; Roisman, GI; Haydon, KC; Booth-LaForce, C</t>
  </si>
  <si>
    <t>Waters, Theodore E. A.; Steele, Ryan D.; Roisman, Glenn I.; Haydon, Katherine C.; Booth-LaForce, Cathryn</t>
  </si>
  <si>
    <t>A Linguistic Inquiry and Word Count Analysis of the Adult Attachment Interview in Two Large Corpora</t>
  </si>
  <si>
    <t>CANADIAN JOURNAL OF BEHAVIOURAL SCIENCE-REVUE CANADIENNE DES SCIENCES DU COMPORTEMENT</t>
  </si>
  <si>
    <t>Adult Attachment Interview; attachment; LIWC; linguistic structure</t>
  </si>
  <si>
    <t>LATENT STRUCTURE; SECURITY; INFANCY; REPRESENTATIONS; CHILD; CATEGORIES; EXPERIENCE; BEHAVIOR; COUPLES; MIND</t>
  </si>
  <si>
    <t>An emerging literature suggests that variation in Adult Attachment Interview (AAI; George, Kaplan, &amp; Main, 1985) states of mind about childhood experiences with primary caregivers is reflected in specific linguistic features captured by the Linguistic Inquiry Word Count (LIWC) automated text analysis program (Pennebaker, Booth, &amp; Francis, 2007). The current report addressed limitations of prior studies in this literature by using 2 large AAI corpora (Ns = 826 and 857) and a broader range of linguistic variables, as well as examining associations of LIWC-derived AAI dimensions with key developmental antecedents. First, regression analyses revealed that dismissing states of mind were associated with transcripts that were more truncated and deemphasized discussion of the attachment relationship whereas preoccupied states of mind were associated with longer, more conflicted, and angry narratives. Second, in aggregate, LIWC variables accounted for over a third of the variation in AAI dismissing and preoccupied states of mind, with regression weights cross-validating across samples. Third, LIWC-derived dismissing and preoccupied state of mind dimensions were associated with direct observations of maternal and paternal sensitivity as well as infant attachment security in childhood, replicating the pattern of results reported in Haydon, Roisman, Owen, Booth-LaForce, and Cox (2014) using coder-derived dismissing and preoccupation scores in the same sample.</t>
  </si>
  <si>
    <t>[Waters, Theodore E. A.] New York Univ, Dept Psychol, Abu Dhabi, U Arab Emirates; [Steele, Ryan D.; Roisman, Glenn I.] Univ Minnesota, Inst Child Dev, 51 East River Pkwy, Minneapolis, MN 55455 USA; [Haydon, Katherine C.] Mt Holyoke Coll, Dept Psychol &amp; Educ, S Hadley, MA 01075 USA; [Booth-LaForce, Cathryn] Univ Washington, Dept Family &amp; Child Nursing, Seattle, WA 98195 USA</t>
  </si>
  <si>
    <t>University of Minnesota System; University of Minnesota Twin Cities; Mount Holyoke College; University of Washington; University of Washington Seattle</t>
  </si>
  <si>
    <t>Roisman, GI (corresponding author), Univ Minnesota, Inst Child Dev, 51 East River Pkwy, Minneapolis, MN 55455 USA.</t>
  </si>
  <si>
    <t>roism001@umn.edu</t>
  </si>
  <si>
    <t>Research Board at the University of Illinois at Urbana-Champaign; NIMH National Research Service Award [MH19893-04]; Wayne F. Placek Award from the American Psychological Foundation; Eunice Kennedy Shriver National Institute of Child Health and Human Development of the National Institutes of Health [R01 HD054822, F32 HD078250]; EUNICE KENNEDY SHRIVER NATIONAL INSTITUTE OF CHILD HEALTH &amp; HUMAN DEVELOPMENT [F32HD078250] Funding Source: NIH RePORTER; EUNICE KENNEDY SHRIVER NATIONAL INSTITUTE OF CHILD HEALTH &amp;HUMAN DEVELOPMENT [R01HD054822] Funding Source: NIH RePORTER; NATIONAL INSTITUTE OF MENTAL HEALTH [T32MH019893] Funding Source: NIH RePORTER</t>
  </si>
  <si>
    <t>Research Board at the University of Illinois at Urbana-Champaign; NIMH National Research Service Award(United States Department of Health &amp; Human ServicesNational Institutes of Health (NIH) - USANIH National Institute of Mental Health (NIMH)); Wayne F. Placek Award from the American Psychological Foundation; Eunice Kennedy Shriver National Institute of Child Health and Human Development of the National Institutes of Health(United States Department of Health &amp; Human ServicesNational Institutes of Health (NIH) - USANIH Eunice Kennedy Shriver National Institute of Child Health &amp; Human Development (NICHD)); EUNICE KENNEDY SHRIVER NATIONAL INSTITUTE OF CHILD HEALTH &amp; HUMAN DEVELOPMENT(United States Department of Health &amp; Human ServicesNational Institutes of Health (NIH) - USANIH Eunice Kennedy Shriver National Institute of Child Health &amp; Human Development (NICHD)); EUNICE KENNEDY SHRIVER NATIONAL INSTITUTE OF CHILD HEALTH &amp;HUMAN DEVELOPMENT(United States Department of Health &amp; Human ServicesNational Institutes of Health (NIH) - USANIH Eunice Kennedy Shriver National Institute of Child Health &amp; Human Development (NICHD)); NATIONAL INSTITUTE OF MENTAL HEALTH(United States Department of Health &amp; Human ServicesNational Institutes of Health (NIH) - USANIH National Institute of Mental Health (NIMH))</t>
  </si>
  <si>
    <t>We would like to acknowledge the effort of Cory Buenting, Lauren Wruble, and Laura Baer, who helped prepare the data for analysis. The research presented in this paper was supported by a series of grants (including a Beckman Award) from the Research Board at the University of Illinois at Urbana-Champaign, an NIMH National Research Service Award (MH19893-04), and a Wayne F. Placek Award from the American Psychological Foundation to Glenn I. Roisman, as well as support by the Eunice Kennedy Shriver National Institute of Child Health and Human Development of the National Institutes of Health under Award Numbers R01 HD054822 to Cathryn Booth-LaForce and F32 HD078250 to Theodore E. A. Waters. The content is solely the responsibility of the authors and does not necessarily represent the official views of the National Institutes of Health.</t>
  </si>
  <si>
    <t>CANADIAN PSYCHOLOGICAL  ASSOC</t>
  </si>
  <si>
    <t>OTTAWA</t>
  </si>
  <si>
    <t>141 LAURIER AVE WEST, STE 702, OTTAWA, ONTARIO K1P 5J3, CANADA</t>
  </si>
  <si>
    <t>0008-400X</t>
  </si>
  <si>
    <t>1879-2669</t>
  </si>
  <si>
    <t>CAN J BEHAV SCI</t>
  </si>
  <si>
    <t>Can. J. Behav. Sci.-Rev. Can. Sci. Comport.</t>
  </si>
  <si>
    <t>10.1037/cbs0000035</t>
  </si>
  <si>
    <t>DD8NF</t>
  </si>
  <si>
    <t>WOS:000370183000009</t>
  </si>
  <si>
    <t>English, A</t>
  </si>
  <si>
    <t>English, Ashley</t>
  </si>
  <si>
    <t>She Who Shall Not Be Named: The Women That Women's Organizations Do (and Do Not) Represent in the Rulemaking Process</t>
  </si>
  <si>
    <t>POLITICS &amp; GENDER</t>
  </si>
  <si>
    <t>Intersectionality; women's organizations; rulemaking; representation; target populations; bureaucratic politics</t>
  </si>
  <si>
    <t>ACTIVE REPRESENTATION; GENDER; POLITICS; POLICY; BLACK</t>
  </si>
  <si>
    <t>Though the concept of intersectionality has been in circulation for nearly 30 years and women's organizations have long been criticized for failing to prioritize the concerns of women of color, poor women, and LGBTQ women, more research is needed to determine precisely why women's organizations do and do not discuss those intersectional identities during policy debates. This study analyzes 1,021 comments that women's organizations submitted to rulemakers to test a series of hypotheses about how women's organizations' references to women's intersectional identities increase or decrease depending on the organization's primary constituency and ideology, the proposed rule's target population, and other features of the policy-making context. Using automated text analysis and a series of models, it shows that women's organizations do discuss intersectionally marginalized women in their comments. However, not all subgroups of women are equally represented during the process. Women's organizations focus on women's sexual orientations and gender identities more than their races, ethnicities, nationalities, or socioeconomic statuses. Intersectionally marginalized women also tend to receive the most attention when commenters are from organizations that are explicitly focused on representing intersectionally marginalized women and when bureaucrats include references to intersectionally marginalized women in their proposed rules.</t>
  </si>
  <si>
    <t>[English, Ashley] Univ North Texas, Polit Sci, Denton, TX 76203 USA</t>
  </si>
  <si>
    <t>University of North Texas System; University of North Texas Denton</t>
  </si>
  <si>
    <t>English, A (corresponding author), Univ North Texas, Polit Sci, Denton, TX 76203 USA.</t>
  </si>
  <si>
    <t>Ashley.English2@unt.edu</t>
  </si>
  <si>
    <t>1743-923X</t>
  </si>
  <si>
    <t>1743-9248</t>
  </si>
  <si>
    <t>POLIT GENDER</t>
  </si>
  <si>
    <t>Polit. Gend.</t>
  </si>
  <si>
    <t>PII S1743923X18000375</t>
  </si>
  <si>
    <t>10.1017/S1743923X18000375</t>
  </si>
  <si>
    <t>Political Science; Women's Studies</t>
  </si>
  <si>
    <t>IV6NG</t>
  </si>
  <si>
    <t>WOS:000484384500012</t>
  </si>
  <si>
    <t>Mogos, AA; Grapa, TE; Sandru, TF</t>
  </si>
  <si>
    <t>Mogos, Andreea-Alina; Grapa, Teodora-Elena; Sandru, Teodora-Felicia</t>
  </si>
  <si>
    <t>Russian disinformation in Eastern Europe. Vaccination media frames in ro.sputnik.md</t>
  </si>
  <si>
    <t>COMUNICAR</t>
  </si>
  <si>
    <t>Media framing; news values; content analysis; textual analysis; COVID-19 vaccine; Sputnik News</t>
  </si>
  <si>
    <t>PUBLIC DIPLOMACY; NEWS VALUES; DISCOURSE</t>
  </si>
  <si>
    <t>The news site ro.sputnik.md is the Romanian language version of the Sputnik news website platform, owned by the Russian government, one of the main channels used by the Kremlin to disseminate mis- and disinformation across Russian borders. The current research aims to identify the frames associated with anti-COVID-19 vaccines, and the news values employed in constructing news discourse on vaccination in ro.sputnik.md media texts. To map the media frames and the lexical and discursive constructions, the research proposes a mixed methods content-based approach, where automated text analysis (frequency, co-occurrence, n-grams) is combined with thematic and discourse analysis. Six emphasis frames are identified in the corpus (N=1,165): Superiority of the Russian Sputnik V Vaccine, Fatal/Side Effects of EU Authorized Vaccines, Limitations of Individual Rights and Freedoms, EU and/or Romanian Authorities' Struggle, Children and Teenagers' Protection, and Big Pharma Conspiracy. The findings show that specific discursive patterns are associated with the negative news value: death, side effects (blood clot, thrombosis, coagulation), restrictions, and interdictions or warnings (serious, risk, negative, panic, etc.), while the conflict news value is associated with warfare vocabulary (defense, threat, battle, fire, gunpowder, etc.); and eliteness, with well-known actors (state leaders, European leaders, famous conspirators) and countries (powerful international actors, meaningful neighbours).</t>
  </si>
  <si>
    <t>[Mogos, Andreea-Alina] Univ Babes Bolyai, Dept Periodismo &amp; Medios Digitales, Cluj Napoca, Romania; [Grapa, Teodora-Elena; Sandru, Teodora-Felicia] Univ Babes Bolyai, Escuela Doctorado Ciencias Polit &amp; Comunicac, Cluj Napoca, Romania</t>
  </si>
  <si>
    <t>Babes Bolyai University from Cluj; Babes Bolyai University from Cluj</t>
  </si>
  <si>
    <t>Mogos, AA (corresponding author), Univ Babes Bolyai, Dept Periodismo &amp; Medios Digitales, Cluj Napoca, Romania.</t>
  </si>
  <si>
    <t>Andreea, Mogos/HDO-4972-2022</t>
  </si>
  <si>
    <t>Sandru, Teodora/0000-0001-5402-3935; Grapa, Teodora/0000-0003-0810-9097; Mogos, Andreea Alina/0000-0003-2977-2381</t>
  </si>
  <si>
    <t>GRUPO COMUNICAR</t>
  </si>
  <si>
    <t>HUELVA</t>
  </si>
  <si>
    <t>APDO CORREOS 527, HUELVA, 21080, SPAIN</t>
  </si>
  <si>
    <t>1134-3478</t>
  </si>
  <si>
    <t>1988-3293</t>
  </si>
  <si>
    <t>Comunicar</t>
  </si>
  <si>
    <t>10.3916/C72-2022-03</t>
  </si>
  <si>
    <t>Communication; Education &amp; Educational Research</t>
  </si>
  <si>
    <t>1D8NN</t>
  </si>
  <si>
    <t>WOS:000794053600003</t>
  </si>
  <si>
    <t>Santhanam, E; Lynch, B; Jones, J</t>
  </si>
  <si>
    <t>Santhanam, Elizabeth; Lynch, Bernardine; Jones, Jeffrey</t>
  </si>
  <si>
    <t>Making sense of student feedback using text analysis - adapting and expanding a common lexicon</t>
  </si>
  <si>
    <t>QUALITY ASSURANCE IN EDUCATION</t>
  </si>
  <si>
    <t>Evaluation; Quality assurance; Surveys; Student feedback; Text analysis; Qualitative data</t>
  </si>
  <si>
    <t>EXPERIENCE</t>
  </si>
  <si>
    <t>Purpose - This paper aims to report the findings of a study into the automated text analysis of student feedback comments to assist in investigating a high volume of qualitative information at various levels in an Australian university. It includes the drawbacks and advantages of using selected applications and established lexicons. There has been an emphasis on the analysis of the statistical data collected using student surveys of learning and teaching, while the qualitative comments provided by students are often not systematically scrutinised. Student comments are important, as they provide a level of detail and insight that are imperative to quality assurance practices. Design/methodology/approach - The paper outlines the process by which the institution researched, developed and implemented the automated analysis of student qualitative comments in surveys of units and teaching. Findings - The findings indicated that there are great benefits in implementing this automated process, particularly in the analysis of evaluation data for units with large enrolments. The analysis improved efficiency in the interpretation of student comments. However, a degree of human intervention is still required in creating reports that are meaningful and relevant to the context. Originality/value - This paper is unique in its examination of one institution's journey in developing a process to support academics staff in interpreting and understanding student comments provided in surveys of units and teaching.</t>
  </si>
  <si>
    <t>[Santhanam, Elizabeth; Lynch, Bernardine; Jones, Jeffrey] Australian Catholic Univ, Learning &amp; Teaching Ctr, Melbourne, Vic, Australia</t>
  </si>
  <si>
    <t>Australian Catholic University</t>
  </si>
  <si>
    <t>Santhanam, E (corresponding author), Australian Catholic Univ, Learning &amp; Teaching Ctr, Melbourne, Vic, Australia.</t>
  </si>
  <si>
    <t>Elizabeth.Santhanam@acu.edu.au</t>
  </si>
  <si>
    <t>0968-4883</t>
  </si>
  <si>
    <t>1758-7662</t>
  </si>
  <si>
    <t>QUAL ASSUR EDUC</t>
  </si>
  <si>
    <t>QUALITY ASSURANCE EDUCATION</t>
  </si>
  <si>
    <t>10.1108/QAE-11-2016-0062</t>
  </si>
  <si>
    <t>FV8XN</t>
  </si>
  <si>
    <t>WOS:000424870800004</t>
  </si>
  <si>
    <t>Daenekindt, S; Huisman, J</t>
  </si>
  <si>
    <t>Daenekindt, Stijn; Huisman, Jeroen</t>
  </si>
  <si>
    <t>Mapping the scattered field of research on higher education. A correlated topic model of 17,000 articles, 1991-2018</t>
  </si>
  <si>
    <t>HIGHER EDUCATION</t>
  </si>
  <si>
    <t>Automated text analysis; Bibliometrics; Big data analysis; Content analysis; Correlated topic models; Higher education research; Research specialization; Systematic review</t>
  </si>
  <si>
    <t>PATTERNS; JOURNALS; IDENTITY; POLICY; ASIA</t>
  </si>
  <si>
    <t>Parallel to the increasing level of maturity of the field of research on higher education, an increasing number of scholarly works aims at synthesising and presenting overviews of the field. We identify three important pitfalls these previous studies struggle with, i.e. a limited scope, a lack of a content-related analysis, and/or a lack of an inductive approach. We take these limitations into account by analysing the abstracts of 16,928 articles on higher education between 1991 and 2018. To investigate this huge collection of texts, we apply topic models, which are a collection of automatic content analysis methods that allow to map the structure of large text data. After an in-depth discussion of the topics differentiated by our model, we study how these topics have evolved over time. In addition, we analyse which topics tend to co-occur in articles. This reveals remarkable gaps in the literature which provides interesting opportunities for future research. Furthermore, our analysis corroborates the claim that the field of research on higher education consists of isolated 'islands'. Importantly, we find that these islands drift further apart because of a trend of specialisation. This is a bleak finding, suggesting the (further) disintegration of our field.</t>
  </si>
  <si>
    <t>[Daenekindt, Stijn; Huisman, Jeroen] Univ Ghent, Ghent, Belgium; [Daenekindt, Stijn] Erasmus Univ, Rotterdam, Netherlands</t>
  </si>
  <si>
    <t>Ghent University; Erasmus University Rotterdam</t>
  </si>
  <si>
    <t>Daenekindt, S (corresponding author), Univ Ghent, Ghent, Belgium.;Daenekindt, S (corresponding author), Erasmus Univ, Rotterdam, Netherlands.</t>
  </si>
  <si>
    <t>Stijn.Daenekindt@ugent.be; Jeroen.Huisman@UGent.be</t>
  </si>
  <si>
    <t>Daenekindt, Stijn/D-8691-2013</t>
  </si>
  <si>
    <t>Daenekindt, Stijn/0000-0003-2411-2560</t>
  </si>
  <si>
    <t>Research Foundation Flanders [G.OC42.13N]</t>
  </si>
  <si>
    <t>This study has been made possible with financial support of the Research Foundation Flanders (G.OC42.13N).</t>
  </si>
  <si>
    <t>0018-1560</t>
  </si>
  <si>
    <t>1573-174X</t>
  </si>
  <si>
    <t>HIGH EDUC</t>
  </si>
  <si>
    <t>High. Educ.</t>
  </si>
  <si>
    <t>10.1007/s10734-020-00500-x</t>
  </si>
  <si>
    <t>NA8OT</t>
  </si>
  <si>
    <t>WOS:000537982500001</t>
  </si>
  <si>
    <t>Egami, N; Fong, CJ; Grimmer, J; Roberts, ME; Stewart, BM</t>
  </si>
  <si>
    <t>Egami, Naoki; Fong, Christian J.; Grimmer, Justin; Roberts, Margaret E.; Stewart, Brandon M.</t>
  </si>
  <si>
    <t>How to make causal inferences using texts</t>
  </si>
  <si>
    <t>SCIENCE ADVANCES</t>
  </si>
  <si>
    <t>Text as data techniques offer a great promise: the ability to inductively discover measures that are useful for testing social science theories with large collections of text. Nearly all text-based causal inferences depend on a latent representation of the text, but we show that estimating this latent representation from the data creates underacknowledged risks: we may introduce an identification problem or overfit. To address these risks, we introduce a split-sample workflow for making rigorous causal inferences with discovered measures as treatments or outcomes. We then apply it to estimate causal effects from an experiment on immigration attitudes and a study on bureaucratic responsiveness.</t>
  </si>
  <si>
    <t>[Egami, Naoki] Columbia Univ, Dept Polit Sci, New York, NY 10027 USA; [Fong, Christian J.] Univ Michigan, Dept Polit Sci, Ann Arbor, MI 48109 USA; [Grimmer, Justin] Stanford Univ, Dept Polit Sci, Stanford, CA 94305 USA; [Grimmer, Justin] Stanford Univ, Hoover Inst, Stanford, CA 94305 USA; [Roberts, Margaret E.] Univ Calif San Diego, Dept Polit Sci, La Jolla, CA 92093 USA; [Roberts, Margaret E.] Univ Calif San Diego, Halicioglu Data Sci Inst, La Jolla, CA 92093 USA; [Stewart, Brandon M.] Princeton Univ, Dept Sociol, Princeton, NJ 08544 USA; [Stewart, Brandon M.] Princeton Univ, Off Populat Res, Princeton, NJ 08544 USA</t>
  </si>
  <si>
    <t>Columbia University; University of Michigan System; University of Michigan; Stanford University; Stanford University; University of California System; University of California San Diego; University of California System; University of California San Diego; Princeton University; Princeton University</t>
  </si>
  <si>
    <t>Grimmer, J (corresponding author), Stanford Univ, Dept Polit Sci, Stanford, CA 94305 USA.;Grimmer, J (corresponding author), Stanford Univ, Hoover Inst, Stanford, CA 94305 USA.;Roberts, ME (corresponding author), Univ Calif San Diego, Dept Polit Sci, La Jolla, CA 92093 USA.;Roberts, ME (corresponding author), Univ Calif San Diego, Halicioglu Data Sci Inst, La Jolla, CA 92093 USA.;Stewart, BM (corresponding author), Princeton Univ, Dept Sociol, Princeton, NJ 08544 USA.;Stewart, BM (corresponding author), Princeton Univ, Off Populat Res, Princeton, NJ 08544 USA.</t>
  </si>
  <si>
    <t>jgrimmer@stanford.edu; meroberts@ucsd.edu; bms4@princeton.edu</t>
  </si>
  <si>
    <t>Eunice Kennedy Shriver National Institute of Child Health and Human Development of the National Institutes of Health [P2CHD047879]; National Science Foundation under the Resource Implementations for Data Intensive Research program [1738411, 1738288]</t>
  </si>
  <si>
    <t>Eunice Kennedy Shriver National Institute of Child Health and Human Development of the National Institutes of Health(United States Department of Health &amp; Human ServicesNational Institutes of Health (NIH) - USANIH Eunice Kennedy Shriver National Institute of Child Health &amp; Human Development (NICHD)); National Science Foundation under the Resource Implementations for Data Intensive Research program</t>
  </si>
  <si>
    <t>This work was supported by the Eunice Kennedy Shriver National Institute of Child Health and Human Development of the National Institutes of Health under award number P2CHD047879 (to B.M.S.) and the National Science Foundation under the Resource Implementations for Data Intensive Research program award numbers 1738411 (to M.E.R.) and 1738288 (to B.M.S.).</t>
  </si>
  <si>
    <t>AMER ASSOC ADVANCEMENT SCIENCE</t>
  </si>
  <si>
    <t>1200 NEW YORK AVE, NW, WASHINGTON, DC 20005 USA</t>
  </si>
  <si>
    <t>2375-2548</t>
  </si>
  <si>
    <t>SCI ADV</t>
  </si>
  <si>
    <t>Sci. Adv.</t>
  </si>
  <si>
    <t>OCT 19</t>
  </si>
  <si>
    <t>eabg2652</t>
  </si>
  <si>
    <t>10.1126/sciadv.abg2652</t>
  </si>
  <si>
    <t>5Z9TY</t>
  </si>
  <si>
    <t>WOS:000880308800003</t>
  </si>
  <si>
    <t>Tusset, G</t>
  </si>
  <si>
    <t>Tusset, Gianfranco</t>
  </si>
  <si>
    <t>Plotting the Words of Econophysics</t>
  </si>
  <si>
    <t>ENTROPY</t>
  </si>
  <si>
    <t>lexical evolution of econophysics; text as data; correspondence analysis</t>
  </si>
  <si>
    <t>WORRYING TRENDS; BITCOIN; LAW; DISTRIBUTIONS; FLUCTUATIONS; COMPLEXITY; PHYSICS; MODELS; INCOME</t>
  </si>
  <si>
    <t>Text mining is applied to 510 articles on econophysics to reconstruct the lexical evolution of the discipline from 1999 to 2020. The analysis of the relative frequency of the words used in the articles and their visualization allow us to draw some conclusions about the evolution of the discipline. The traditional areas of research, financial markets and distribution of wealth, remain central, but they are flanked by other strands of research-production, currencies, networks-which broaden the discipline by pushing towards a dialectical application of traditional concepts and tools drawn from statistical physics.</t>
  </si>
  <si>
    <t>[Tusset, Gianfranco] Univ Padua, Dept Econ &amp; Management, Via Santo 33, I-35123 Padua, Italy</t>
  </si>
  <si>
    <t>University of Padua</t>
  </si>
  <si>
    <t>Tusset, G (corresponding author), Univ Padua, Dept Econ &amp; Management, Via Santo 33, I-35123 Padua, Italy.</t>
  </si>
  <si>
    <t>gianfranco.tusset@unipd.it</t>
  </si>
  <si>
    <t>1099-4300</t>
  </si>
  <si>
    <t>ENTROPY-SWITZ</t>
  </si>
  <si>
    <t>Entropy</t>
  </si>
  <si>
    <t>10.3390/e23080944</t>
  </si>
  <si>
    <t>Physics, Multidisciplinary</t>
  </si>
  <si>
    <t>Physics</t>
  </si>
  <si>
    <t>UG3SR</t>
  </si>
  <si>
    <t>WOS:000689177100001</t>
  </si>
  <si>
    <t>Zimand-Sheiner, D; Levy, S; Eckhaus, E</t>
  </si>
  <si>
    <t>Zimand-Sheiner, Dorit; Levy, Shalom; Eckhaus, Eyal</t>
  </si>
  <si>
    <t>Exploring Negative Spillover Effects on Stakeholders: A Case Study on Social Media Talk about Crisis in the Food Industry Using Data Mining</t>
  </si>
  <si>
    <t>corporate sustainability; stakeholders; crisis management; social media; situational crisis communication theory; data mining</t>
  </si>
  <si>
    <t>RESPONSE STRATEGIES; COMMUNICATION; MANAGEMENT; REPUTATION; PERSPECTIVE; MODELS; IMAGE</t>
  </si>
  <si>
    <t>Focusing on public-centered, social-mediated crisis communication, the current exploratory study drew on situational crisis communication theory to formulate a comprehensive view of consumer reactions to crisis. Data mining and automated content analysis techniques were utilized to analyze social media posts by the public during a crisis in the cereals industry. Two path analyses showed that: (a) crisis-related social media posts tended to skip over competitor brand products, followed by two major reaction paths-(1) a rational path based on guilt attribution that justifies implications for the company and (2) an emotional path associated with public distrust; and (b) public self-blame spilled over to other stakeholders such as the government and economic system. The results give voice to issues that concern the public during crises, both as individuals and as a community. They highlight the fact that sustainable crisis management should involve additional stakeholders. Conclusions and implications for society and practice are suggested.</t>
  </si>
  <si>
    <t>[Zimand-Sheiner, Dorit] Ariel Univ, Sch Commun, Sci Pk,POB 3, IL-40700 Ariel, Israel; [Levy, Shalom; Eckhaus, Eyal] Ariel Univ, Dept Econ &amp; Business Adm, Sci Pk,POB 3, IL-40700 Ariel, Israel</t>
  </si>
  <si>
    <t>Ariel University; Ariel University</t>
  </si>
  <si>
    <t>Zimand-Sheiner, D (corresponding author), Ariel Univ, Sch Commun, Sci Pk,POB 3, IL-40700 Ariel, Israel.</t>
  </si>
  <si>
    <t>doritzs@ariel.ac.il; shalom@ariel.ac.il; eyale@ariel.ac.il</t>
  </si>
  <si>
    <t>levy, shalom/AAF-7870-2019; Eckhaus, Eyal/AAX-2557-2020; Zimand Sheiner, Dorit/L-1946-2019</t>
  </si>
  <si>
    <t>levy, shalom/0000-0001-5632-4010; Eckhaus, Eyal/0000-0002-1815-0045; Zimand Sheiner, Dorit/0000-0003-3543-2260</t>
  </si>
  <si>
    <t>10.3390/su131910845</t>
  </si>
  <si>
    <t>WH3PY</t>
  </si>
  <si>
    <t>WOS:000707595400001</t>
  </si>
  <si>
    <t>Knudsen, E; Dahlberg, S; Iversen, MH; Johannesson, MP; Nygaard, S</t>
  </si>
  <si>
    <t>Knudsen, Erik; Dahlberg, Stefan; Iversen, Magnus H.; Johannesson, Mikael P.; Nygaard, Silje</t>
  </si>
  <si>
    <t>How the public understands news media trust: An open-ended approach</t>
  </si>
  <si>
    <t>Bias; credibility; ideology; open-ended survey question; structural topic model; trust in media</t>
  </si>
  <si>
    <t>Despite the central role that ordinary citizens play as 'trustors' (i.e. the actor that places trust) in the literature on news media trust, prior quantitative studies have paid little attention to how ordinary citizens understand and define news media trust. Here, trust tends to be studied from a researcher-defined - rather than an audience-defined - perspective. To address this gap, we investigate how the public describes news media trust in their own words by asking them directly. We analyse 1500 written responses collected through a Norwegian online probability-based survey, here using a semisupervised quantitative text analysis technique called structural topic modelling (STM). We find that citizens' own understanding of news media trust can be categorised into four distinct topics that, in some instances, are comparable to academic and professional discourse. We show that citizens' written descriptions of news media trust vary by many of the same variables that prior research has found to be important predictors of levels of trust. Respondents' written descriptions of news media trust vary by education and satisfaction with democracy but not other known predictors of trust, such as ideological self-placement and political preferences.</t>
  </si>
  <si>
    <t>[Knudsen, Erik; Iversen, Magnus H.; Nygaard, Silje] Univ Bergen, Dept Informat Sci &amp; Media Studies, Fosswinckelsgate 6, N-7802 Bergen, Norway; [Dahlberg, Stefan; Johannesson, Mikael P.] Univ Bergen, Dept Comparat Polit, Bergen, Norway; [Johannesson, Mikael P.] Univ Bergen, Digital Social Sci Core Facil DIGSSCORE, Bergen, Norway</t>
  </si>
  <si>
    <t>University of Bergen; University of Bergen; University of Bergen</t>
  </si>
  <si>
    <t>Iversen, MH (corresponding author), Univ Bergen, Dept Informat Sci &amp; Media Studies, Fosswinckelsgate 6, N-7802 Bergen, Norway.</t>
  </si>
  <si>
    <t>Erik.Knudsen@uib.no; Stefan.Dahlberg@miun.se; magnus.iversen@uib.no; mikj@norceresearch.no; Silje.nygaard@uib.no</t>
  </si>
  <si>
    <t>Hoem Iversen, Magnus/0000-0002-7709-942X</t>
  </si>
  <si>
    <t>Trond Mohn Stiftelse [BFS2015TMT01]; MediaFutures centre [309339]</t>
  </si>
  <si>
    <t>Trond Mohn Stiftelse; MediaFutures centre</t>
  </si>
  <si>
    <t>The authors disclosed receipt of the following financial support for the research, authorship, and/or publication of this article: This study was funded by Trond Mohn Stiftelse (project number: BFS2015TMT01) and the MediaFutures centre (project number: 309339).</t>
  </si>
  <si>
    <t>10.1177/14648849211005892</t>
  </si>
  <si>
    <t>6G7EY</t>
  </si>
  <si>
    <t>WOS:000635997500001</t>
  </si>
  <si>
    <t>Breuer, A; Johnston, AL</t>
  </si>
  <si>
    <t>Breuer, Adam; Johnston, Alastair Lain</t>
  </si>
  <si>
    <t>Memes, narratives and the emergent US-China security dilemma</t>
  </si>
  <si>
    <t>DISCOURSE; SOCIETY; POWER; MEDIA</t>
  </si>
  <si>
    <t>All major theoretical approaches that explain the growing rivalry between the United States (US) and China share a common prediction: as tensions develop, the US and China will each construct a master narrative emphasizing zero-sum interests, the efficacy of coercion, and the perceived blamelessness of the Self for the Other's aggressions. However, the concrete process by which these narratives emerge has been neither explicitly theorized nor measured in practice. We theorize that in the digital media age, narratives emerge when 'memes'-discrete, widely circulated images/descriptions of the Self or Other-are connected into coherent stories that eventually coalesce into a master narrative of rivalry. We therefore argue that tracking the speed and spread of memes provides a useful indicator of security dilemma dynamics. To this end, we note that in the United States the US-China rivalry is associated with a prominent meme that describes China as 'challenging the international rules-based order' (RBO). We use qualitative and quantitative text analysis, including network and plagiarism analysis, to track the spread of this meme. We provide preliminary evidence that the RBO meme and the 'revisionist China' narrative may be crowding out other, less malign narratives about China's rise.</t>
  </si>
  <si>
    <t>[Breuer, Adam] Harvard Univ, Dept Govt, Cambridge, MA 02138 USA; [Johnston, Alastair Lain] Harvard Univ, Dept Govt, China World Affairs, Cambridge, MA 02138 USA</t>
  </si>
  <si>
    <t>Breuer, A (corresponding author), Harvard Univ, Dept Govt, Cambridge, MA 02138 USA.</t>
  </si>
  <si>
    <t>breuer@g.harvard.edu; johnston@fas.harvard.edu</t>
  </si>
  <si>
    <t>National Science Foundation [NSF] [DGE-1144152]; NSF [1647325]; Harvard Weatherhead Center for International Affairs</t>
  </si>
  <si>
    <t>National Science Foundation [NSF](National Science Foundation (NSF)); NSF(National Science Foundation (NSF)); Harvard Weatherhead Center for International Affairs</t>
  </si>
  <si>
    <t>This material is based upon work supported by the National Science Foundation [NSF] Graduate Research Fellowship Program under Grant No DGE-1144152 and by NSF Grant No 1647325, and by the Harvard Weatherhead Center for International Affairs.</t>
  </si>
  <si>
    <t>10.1080/09557571.2019.1622083</t>
  </si>
  <si>
    <t>JUL 2019</t>
  </si>
  <si>
    <t>IN7VF</t>
  </si>
  <si>
    <t>WOS:000475036200001</t>
  </si>
  <si>
    <t>Seitzer, H</t>
  </si>
  <si>
    <t>Seitzer, Helen</t>
  </si>
  <si>
    <t>More than meets the eye: uncovering the evolution of the OECD's institutional priorities in education</t>
  </si>
  <si>
    <t>JOURNAL OF EDUCATION POLICY</t>
  </si>
  <si>
    <t>Topic modelling; education policy making; OECD; quantitative text analysis</t>
  </si>
  <si>
    <t>SOFT POWER; PISA; GOVERNANCE; LESSONS; PROGRAM; MODELS</t>
  </si>
  <si>
    <t>Over the last 20 years, since the launch of its flagship study the Programme for International Student Assessment (PISA), the Organization for Economic Co-operation and Development (OECD) has become a behemoth of transnational influence on education policy making. To better understand the evolution of the OECD's perspective on education and the importance of PISA within the OECD's overall publications, I analysed over 900 OECD publications on education with a topic modelling approach. The analysis revealed that contrary to popular belief, the OECD is a multi-centric organization with various agendas in education policy making, focusing on economic changes, higher education, management, planning, and budgeting. PISA made up only 12% of the overall text corpus and was therefore far less discussed than expected. This is in sharp contrast to the general impression held, namely that the OECD's work in education mostly relates to PISA. Therefore, this study reveals that the OECD has a far broader agenda than anticipated. This paper acts as a systematic review of OECD literature to gain insights into its institutional objectives.</t>
  </si>
  <si>
    <t>[Seitzer, Helen] Univ Bremen, CRC 1342, Bremen, Germany</t>
  </si>
  <si>
    <t>Seitzer, H (corresponding author), Univ Bremen, UNICOM, Mary Somerville Str 7, D-28359 Bremen, Germany.</t>
  </si>
  <si>
    <t>seitzer@uni-bremen.de</t>
  </si>
  <si>
    <t>Seitzer, Helen/0000-0003-1918-6637</t>
  </si>
  <si>
    <t>German Research Foundation (DFG)</t>
  </si>
  <si>
    <t>This paper is a product of the research conducted in the Collaborative Research Center `Global Dynamics of Social Policy' 1342 at the University of Bremen. The center is funded by the German Research Foundation (DFG)</t>
  </si>
  <si>
    <t>0268-0939</t>
  </si>
  <si>
    <t>1464-5106</t>
  </si>
  <si>
    <t>J EDUC POLICY</t>
  </si>
  <si>
    <t>J. Educ. Policy</t>
  </si>
  <si>
    <t>10.1080/02680939.2021.1974099</t>
  </si>
  <si>
    <t>UM0AI</t>
  </si>
  <si>
    <t>WOS:000693002800001</t>
  </si>
  <si>
    <t>de Koning, A; Schoones, JW; van der Heijde, D; van Gaalen, FA</t>
  </si>
  <si>
    <t>de Koning, Anoek; Schoones, Jan W.; van der Heijde, Desiree; van Gaalen, Floris A.</t>
  </si>
  <si>
    <t>Pathophysiology of axial spondyloarthritis: Consensus and controversies</t>
  </si>
  <si>
    <t>EUROPEAN JOURNAL OF CLINICAL INVESTIGATION</t>
  </si>
  <si>
    <t>axial spondyloarthritis; early disease; pathogenesis</t>
  </si>
  <si>
    <t>ANKYLOSING-SPONDYLITIS; BONE-FORMATION; CLASSIFICATION; HLA-B27; PATHOGENESIS; MICROBIOTA; DISEASE; DAMAGE</t>
  </si>
  <si>
    <t>BackgroundAxial spondyloarthritis (axSpA) is a common inflammatory arthritis of the sacroiliac joints and the spine. The best-known and most studied form of axSpA is ankylosing spondylitis. DesignIn this review, we provide a brief overview of the pathophysiology of axSpA. In addition, we performed a quantitative text analysis of reviews on the pathogenesis of axSpA published in the last 10 years to establish the current consensus in various fields of research into the pathogenesis of axSpA. ResultsThere appears to be broad consensus on genetic risk factors and the involvement of the immune system in the initiation phase of the disease although little consensus was found on which specific immune cells drive disease. Moreover, despite relatively little data available, alterations in the microbiome are commonly thought to be involved in disease. Abnormal bone formation is the most prominent pathogenic factor thought to be involved in disease progression. ConclusionSo, although the pathophysiology of axSpA remains incompletely understood, the progress in recent years in several fields of research in axSpA including genetics, diagnosis, imaging and therapeutics, hold great promise for the future.</t>
  </si>
  <si>
    <t>[de Koning, Anoek; van der Heijde, Desiree; van Gaalen, Floris A.] Leiden Univ, Med Ctr, Dept Rheumatol, Leiden, Netherlands; [Schoones, Jan W.] Leiden Univ, Med Ctr, Walaeus Lib, Leiden, Netherlands</t>
  </si>
  <si>
    <t>Leiden University; Leiden University Medical Center (LUMC); Leiden University - Excl LUMC; Leiden University; Leiden University Medical Center (LUMC); Leiden University - Excl LUMC</t>
  </si>
  <si>
    <t>van Gaalen, FA (corresponding author), Leiden Univ, Med Ctr, Dept Rheumatol, Leiden, Netherlands.</t>
  </si>
  <si>
    <t>f.a.van_gaalen@lumc.nl</t>
  </si>
  <si>
    <t>Schoones, Johannes Wilhelmus/B-2837-2008; van der Heijde, Désirée/I-6774-2019</t>
  </si>
  <si>
    <t>Schoones, Johannes Wilhelmus/0000-0003-1120-4781; van der Heijde, Désirée/0000-0002-5781-158X</t>
  </si>
  <si>
    <t>0014-2972</t>
  </si>
  <si>
    <t>1365-2362</t>
  </si>
  <si>
    <t>EUR J CLIN INVEST</t>
  </si>
  <si>
    <t>Eur. J. Clin. Invest.</t>
  </si>
  <si>
    <t>e12913</t>
  </si>
  <si>
    <t>10.1111/eci.12913</t>
  </si>
  <si>
    <t>Medicine, General &amp; Internal; Medicine, Research &amp; Experimental</t>
  </si>
  <si>
    <t>General &amp; Internal Medicine; Research &amp; Experimental Medicine</t>
  </si>
  <si>
    <t>GD7CN</t>
  </si>
  <si>
    <t>WOS:000430666900006</t>
  </si>
  <si>
    <t>Lesnikowski, A; Belfer, E; Rodman, E; Smith, J; Biesbroek, R; Wilkerson, JD; Ford, JD; Berrang-Ford, L</t>
  </si>
  <si>
    <t>Lesnikowski, Alexandra; Belfer, Ella; Rodman, Emma; Smith, Julie; Biesbroek, Robbert; Wilkerson, John D.; Ford, James D.; Berrang-Ford, Lea</t>
  </si>
  <si>
    <t>Frontiers in data analytics for adaptation research: Topic modeling</t>
  </si>
  <si>
    <t>WILEY INTERDISCIPLINARY REVIEWS-CLIMATE CHANGE</t>
  </si>
  <si>
    <t>climate change adaptation; governance; policy; quantitative text analysis; topic models</t>
  </si>
  <si>
    <t>CLIMATE-CHANGE ADAPTATION; NETWORK ANALYSIS; POLICY; TEXT; FRAMES; WORDS; OPPORTUNITIES; PREFERENCES; UNCERTAINTY; GOVERNANCE</t>
  </si>
  <si>
    <t>Rapid growth over the past two decades in digitized textual information represents untapped potential for methodological innovations in the adaptation governance literature that draw on machine learning approaches already being applied in other areas of computational social sciences. This Focus Article explores the potential for text mining techniques, specifically topic modeling, to leverage this data for large-scale analysis of the content of adaptation policy documents. We provide an overview of the assumptions and procedures that underlie the use of topic modeling, and discuss key areas in the adaptation governance literature where topic modeling could provide valuable insights. We demonstrate the diversity of potential applications for topic modeling with two examples that examine: (a) how adaptation is being talked about by political leaders in United Nations Framework Convention on Climate Change; and (b) how adaptation is being discussed by decision-makers and public administrators in Canadian municipalities using documents collected from 25 city council archives. This article is categorized under: Vulnerability and Adaptation to Climate Change &gt; Institutions for Adaptation</t>
  </si>
  <si>
    <t>[Lesnikowski, Alexandra; Belfer, Ella] McGill Univ, Dept Geog, Montreal, PQ, Canada; [Rodman, Emma; Smith, Julie; Wilkerson, John D.] Univ Washington, Dept Polit Sci, Seattle, WA 98195 USA; [Biesbroek, Robbert] Wageningen Univ &amp; Res, Publ Adm &amp; Policy, Wageningen, Netherlands; [Ford, James D.; Berrang-Ford, Lea] Univ Leeds, Priestley Int Ctr Climate, Leeds, W Yorkshire, England</t>
  </si>
  <si>
    <t>McGill University; University of Washington; University of Washington Seattle; Wageningen University &amp; Research; University of Leeds</t>
  </si>
  <si>
    <t>Lesnikowski, A (corresponding author), McGill Univ, Dept Geog, Montreal, PQ, Canada.</t>
  </si>
  <si>
    <t>alexandra.lesnikowski@mail.mcgill.ca</t>
  </si>
  <si>
    <t>Biesbroek, Robbert/ABE-3686-2021; Biesbroek, Robbert/GZZ-4476-2022; Ford, James/A-4284-2013</t>
  </si>
  <si>
    <t>Biesbroek, Robbert/0000-0002-2906-1419; Biesbroek, Robbert/0000-0002-2906-1419; Ford, James/0000-0002-2066-3456; Belfer, Ella/0000-0001-9784-8531</t>
  </si>
  <si>
    <t>Social Sciences and Humanities Research Council of Canada</t>
  </si>
  <si>
    <t>Social Sciences and Humanities Research Council of Canada(Social Sciences and Humanities Research Council of Canada (SSHRC))</t>
  </si>
  <si>
    <t>1757-7780</t>
  </si>
  <si>
    <t>1757-7799</t>
  </si>
  <si>
    <t>WIRES CLIM CHANGE</t>
  </si>
  <si>
    <t>Wiley Interdiscip. Rev.-Clim. Chang.</t>
  </si>
  <si>
    <t>e576</t>
  </si>
  <si>
    <t>10.1002/wcc.576</t>
  </si>
  <si>
    <t>Environmental Studies; Meteorology &amp; Atmospheric Sciences</t>
  </si>
  <si>
    <t>HW0PE</t>
  </si>
  <si>
    <t>WOS:000466382600007</t>
  </si>
  <si>
    <t>Seboki, M; Kozak, S</t>
  </si>
  <si>
    <t>Seboki, Miklos; Kozak, Sandor</t>
  </si>
  <si>
    <t>From State Capture to Pariah Status? The Preference Attainment of the Hungarian Banking Association (2006-14)</t>
  </si>
  <si>
    <t>BUSINESS AND POLITICS</t>
  </si>
  <si>
    <t>interest groups; banking; policy influence; preference attainment; qualitative content analysis; Hungary</t>
  </si>
  <si>
    <t>QUANTITATIVE TEXT ANALYSIS; EU</t>
  </si>
  <si>
    <t>One of the major political narratives in the build-up to the critical parliamentary election of 2010 in Hungary was related to the government of bankers. Pre-2010 governments earned this label by the opposition based on their supposed close relationship with banking interests and for purportedly formulating financial and tax policy according to the needs of major financial institutions. In this article, we examine the preference attainment of the Hungarian Banking Association, the pre-eminent interest group in banking, and that of OTP, the biggest bank in Hungary, in order to evaluate this popular claim. The article addresses this challenge by comparing the policy influence of Hungarian Banking Association and OTP in the government cycles ending and starting in 2010. We adopt a computer-assisted qualitative content analysis framework and juxtapose the policy positions of the interest group in their formal communications with actual legislation related to the same issues. Results show that the general preference attainment of the banking lobby on major policy issues decreased after 2010-nevertheless, seismic activity was already under way after 2006.</t>
  </si>
  <si>
    <t>[Seboki, Miklos] Ctr Social Sci, Budapest, Hungary; [Kozak, Sandor] Leiden Univ, Leiden, Netherlands</t>
  </si>
  <si>
    <t>Hungarian Academy of Sciences; Hungarian Centre for Social Sciences; Leiden University; Leiden University - Excl LUMC</t>
  </si>
  <si>
    <t>Seboki, M (corresponding author), Ctr Social Sci, Budapest, Hungary.</t>
  </si>
  <si>
    <t>Hungarian Foundation for the History of Politics</t>
  </si>
  <si>
    <t>We acknowledge the support the Hungarian Foundation for the History of Politics (Politikatorteneti Intezet). We thank the three anonymous reviewers and the participants of the workshop The Politics and Political Economy of Bank Reform (conveners: Huw Macartney and David Howarth) at the ECPR Joint Sessions in 2018 for their thoughtful comments.</t>
  </si>
  <si>
    <t>1469-3569</t>
  </si>
  <si>
    <t>BUS POLIT</t>
  </si>
  <si>
    <t>Bus. Polit.</t>
  </si>
  <si>
    <t>PII S1469356920000087</t>
  </si>
  <si>
    <t>10.1017/bap.2020.8</t>
  </si>
  <si>
    <t>RW1BN</t>
  </si>
  <si>
    <t>WOS:000646258500001</t>
  </si>
  <si>
    <t>Scherzinger, J</t>
  </si>
  <si>
    <t>Scherzinger, Johannes</t>
  </si>
  <si>
    <t>Unbowed, unbent, unbroken? Examining the validity of the responsibility to protect</t>
  </si>
  <si>
    <t>COOPERATION AND CONFLICT</t>
  </si>
  <si>
    <t>intervention; norm validity; quantitative text analysis; R2P; United Nations</t>
  </si>
  <si>
    <t>NORM CONTESTATION; LIBYA; SYRIA; R2P; ROBUSTNESS; SENTIMENT; DYNAMICS; POLITICS; FUTURE; TEXT</t>
  </si>
  <si>
    <t>How has the sentiment around the responsibility to protect (R2P) changed over time? Scholars have debated far and wide whether the political norm enjoys widespread discursive acceptance or is on the brink of decline. This article contends that we can use sentiment analysis as an important indicator for norm validity. My analysis provides three crucial insights. First, despite the well-known fear of some scholars, R2P is still frequently invoked in Security Council deliberations on issues of international peace and security. Second, overall levels of affirmative language have remained remarkably stable over time. This finding indicates that R2P is far from being obliterated. Out of 130 states, 4 international organizations (IOs), and 2 non-governmental organizations (NGOs) invoking the norm, 65% maintain a positive net-sentiment. Third, zooming into Libya as a case illustration of a critical juncture, we see some minor tonal shifts from some pivotal member states. Adding the fact that interest constellations within the Permanent Five are heterogeneous concerning the third pillar of R2P, future military interventions, sanctioned under the norm, seem unlikely.</t>
  </si>
  <si>
    <t>[Scherzinger, Johannes] Berlin Social Sci Ctr WZB, Reichpietschufer 50, D-10785 Berlin, Germany; [Scherzinger, Johannes] Free Univ Berlin, Boltzmannstr 20, D-14195 Berlin, Germany</t>
  </si>
  <si>
    <t>Free University of Berlin</t>
  </si>
  <si>
    <t>Scherzinger, J (corresponding author), Berlin Social Sci Ctr WZB, Reichpietschufer 50, D-10785 Berlin, Germany.;Scherzinger, J (corresponding author), Free Univ Berlin, Boltzmannstr 20, D-14195 Berlin, Germany.</t>
  </si>
  <si>
    <t>johannes.scherzinger@wzb.eu</t>
  </si>
  <si>
    <t>Scherzinger, Johannes/0000-0003-3115-6676</t>
  </si>
  <si>
    <t>Deutsche Forschungsgemeinschaft (DFG; German Research Foundation) [390715649, EXC 2055]; Friedrich-Ebert-Foundation (FES)</t>
  </si>
  <si>
    <t>Deutsche Forschungsgemeinschaft (DFG; German Research Foundation)(German Research Foundation (DFG)); Friedrich-Ebert-Foundation (FES)</t>
  </si>
  <si>
    <t>The author(s) disclosed receipt of the following financial support for the research, authorship, and/or publication of this article: Research for this contribution is part of the Cluster of Excellence Contestations of the Liberal Script (EXC 2055, Project-ID: 390715649), funded by the Deutsche Forschungsgemeinschaft (DFG; German Research Foundation). The author would further like to gratefully acknowledge a doctoral scholarship from the Friedrich-Ebert-Foundation (FES).</t>
  </si>
  <si>
    <t>0010-8367</t>
  </si>
  <si>
    <t>1460-3691</t>
  </si>
  <si>
    <t>COOP CONFL</t>
  </si>
  <si>
    <t>Coop. Confl.</t>
  </si>
  <si>
    <t>10.1177/00108367221093155</t>
  </si>
  <si>
    <t>1I8QS</t>
  </si>
  <si>
    <t>WOS:000797492300001</t>
  </si>
  <si>
    <t>Manger, MS; Peinhardt, C</t>
  </si>
  <si>
    <t>Manger, Mark S.; Peinhardt, Clint</t>
  </si>
  <si>
    <t>Learning and the Precision of International Investment Agreements</t>
  </si>
  <si>
    <t>INTERNATIONAL INTERACTIONS</t>
  </si>
  <si>
    <t>Bilateral investment treaties; foreign direct investment; investment agreements; legalization</t>
  </si>
  <si>
    <t>FOREIGN DIRECT-INVESTMENT; DEVELOPING-COUNTRIES; DISPUTE SETTLEMENT; TREATIES; LAW; INSTITUTIONS; LEGALIZATION; POLITICS; BITS; RATIFICATION</t>
  </si>
  <si>
    <t>The international regime for the promotion and protection of foreign investment consists of a multitude of close to 3,000 bilateral investment treaties (BITs) and related international investment agreements (IIAs). Yet, despite a growing body of research on IIAs, scholars in political economy have paid little attention to the legal language in the treaties themselves. In this research note, we draw on the conceptual apparatus of the legalization literature and focus on legal precision in BITs. We use a new data set created through quantitative text analysis to develop an index measuring legal precision. We then investigate the causes of the pronounced increase in precision in BITs and the considerable variation across treaties. We argue that capital-exporting countries are the primary drivers of change, and that they are motivated because they learn the implications of existing legal language from two sources: First, from the growing number of arbitration proceedings, and second, when they themselves are targeted by such claims. We provide statistical tests of our hypotheses and find ample support.</t>
  </si>
  <si>
    <t>[Manger, Mark S.] Univ Toronto, Toronto, ON, Canada; [Peinhardt, Clint] Univ Texas Dallas, Richardson, TX 75083 USA</t>
  </si>
  <si>
    <t>University of Toronto; University of Texas System; University of Texas Dallas</t>
  </si>
  <si>
    <t>Manger, MS (corresponding author), Univ Toronto, Munk Sch Global Affairs, 315 Bloor St W, Toronto, ON M5S 0A7, Canada.</t>
  </si>
  <si>
    <t>mark.manger@utoronto.ca</t>
  </si>
  <si>
    <t>Peinhardt, Clint/A-1519-2009</t>
  </si>
  <si>
    <t>Peinhardt, Clint/0000-0003-1322-6749; Manger, Mark/0000-0003-1984-5866</t>
  </si>
  <si>
    <t>European Commission FP-7 Grant [PIRG05-GA-2009-247836]; British Academy Small Grant [SG100550]</t>
  </si>
  <si>
    <t>European Commission FP-7 Grant; British Academy Small Grant</t>
  </si>
  <si>
    <t>This research was partially funded by European Commission FP-7 Grant PIRG05-GA-2009-247836 and by British Academy Small Grant SG100550.</t>
  </si>
  <si>
    <t>0305-0629</t>
  </si>
  <si>
    <t>1547-7444</t>
  </si>
  <si>
    <t>INT INTERACT</t>
  </si>
  <si>
    <t>Int. Interact.</t>
  </si>
  <si>
    <t>10.1080/03050629.2017.1311258</t>
  </si>
  <si>
    <t>FN0CP</t>
  </si>
  <si>
    <t>WOS:000415642800002</t>
  </si>
  <si>
    <t>Zeng, XK; Yang, C; Tu, CC; Liu, ZY; Sun, MS</t>
  </si>
  <si>
    <t>AAAI</t>
  </si>
  <si>
    <t>Zeng, Xiangkai; Yang, Cheng; Tu, Cunchao; Liu, Zhiyuan; Sun, Maosong</t>
  </si>
  <si>
    <t>Chinese LIWC Lexicon Expansion via Hierarchical Classification of Word Embeddings with Sememe Attention</t>
  </si>
  <si>
    <t>THIRTY-SECOND AAAI CONFERENCE ON ARTIFICIAL INTELLIGENCE / THIRTIETH INNOVATIVE APPLICATIONS OF ARTIFICIAL INTELLIGENCE CONFERENCE / EIGHTH AAAI SYMPOSIUM ON EDUCATIONAL ADVANCES IN ARTIFICIAL INTELLIGENCE</t>
  </si>
  <si>
    <t>AAAI Conference on Artificial Intelligence</t>
  </si>
  <si>
    <t>32nd AAAI Conference on Artificial Intelligence / 30th Innovative Applications of Artificial Intelligence Conference / 8th AAAI Symposium on Educational Advances in Artificial Intelligence</t>
  </si>
  <si>
    <t>FEB 02-07, 2018</t>
  </si>
  <si>
    <t>New Orleans, LA</t>
  </si>
  <si>
    <t>Linguistic Inquiry and Word Count (LIWC) is a word counting software tool which has been used for quantitative text analysis in many fields. Due to its success and popularity, the core lexicon has been translated into Chinese and many other languages. However, the lexicon only contains several thousand of words, which is deficient compared with the number of common words in Chinese. Current approaches often require manually expanding the lexicon, but it often takes too much time and requires linguistic experts to extend the lexicon. To address this issue, we propose to expand the LIWC lexicon automatically. Specifically, we consider it as a hierarchical classification problem and utilize the Sequence-to-Sequence model to classify words in the lexicon. Moreover, we use the sememe information with the attention mechanism to capture the exact meanings of a word, so that we can expand a more precise and comprehensive lexicon. The experimental results show that our model has a better understanding of word meanings with the help of sememes and achieves significant and consistent improvements compared with the state-of-the-art methods. The source code of this paper can be obtained from https://github.com/thunlp/Auto_CLIWC.</t>
  </si>
  <si>
    <t>[Zeng, Xiangkai] Beihang Univ, Sch Comp Sci &amp; Engn, Beijing, Peoples R China; [Yang, Cheng; Tu, Cunchao; Liu, Zhiyuan; Sun, Maosong] Tsinghua Univ, Natl Lab Informat Sci &amp; Technol, State Key Lab Intelligent Technol &amp; Syst, Dept Comp Sci &amp; Technol, Beijing, Peoples R China; [Liu, Zhiyuan; Sun, Maosong] Jiangsu Normal Univ, Jiangsu Collaborat Innovat Ctr Language Abil, Xuzhou, Jiangsu, Peoples R China; [Zeng, Xiangkai] Tsinghua Univ, Beijing, Peoples R China</t>
  </si>
  <si>
    <t>Beihang University; Tsinghua University; Jiangsu Normal University; Tsinghua University</t>
  </si>
  <si>
    <t>Liu, ZY (corresponding author), Tsinghua Univ, Natl Lab Informat Sci &amp; Technol, State Key Lab Intelligent Technol &amp; Syst, Dept Comp Sci &amp; Technol, Beijing, Peoples R China.;Liu, ZY (corresponding author), Jiangsu Normal Univ, Jiangsu Collaborat Innovat Ctr Language Abil, Xuzhou, Jiangsu, Peoples R China.</t>
  </si>
  <si>
    <t>liuzy@tsinghua.edu.cn</t>
  </si>
  <si>
    <t>Liu, Zhiyuan/L-9243-2019</t>
  </si>
  <si>
    <t>Liu, Zhiyuan/0000-0002-7709-2543</t>
  </si>
  <si>
    <t>973 Program [2014CB340500]; Major Project of the National Social Science Foundation of China [13ZD190]; China Association for Science and Technology [2016QNRC001]; Tsinghua University Initiative Scientific Research Program [20151080406]</t>
  </si>
  <si>
    <t>973 Program(National Basic Research Program of China); Major Project of the National Social Science Foundation of China; China Association for Science and Technology; Tsinghua University Initiative Scientific Research Program</t>
  </si>
  <si>
    <t>This work is supported by' the 973 Program (No. 2014CB340500, the Major Project of the National Social Science Foundation of China (No, 13&amp;ZD190), the China Association for Science and Technology (2016QNRC001), and Tsinghua University Initiative Scientific Research Program (20151080406).</t>
  </si>
  <si>
    <t>ASSOC ADVANCEMENT ARTIFICIAL INTELLIGENCE</t>
  </si>
  <si>
    <t>2275 E BAYSHORE RD, STE 160, PALO ALTO, CA 94303 USA</t>
  </si>
  <si>
    <t>2159-5399</t>
  </si>
  <si>
    <t>2374-3468</t>
  </si>
  <si>
    <t>978-1-57735-800-8</t>
  </si>
  <si>
    <t>AAAI CONF ARTIF INTE</t>
  </si>
  <si>
    <t>Computer Science, Artificial Intelligence; Computer Science, Theory &amp; Methods; Engineering, Electrical &amp; Electronic</t>
  </si>
  <si>
    <t>BN6JJ</t>
  </si>
  <si>
    <t>WOS:000485488905092</t>
  </si>
  <si>
    <t>Ritala, P; Huotari, P; Bocken, N; Albareda, L; Puurnalainen, K</t>
  </si>
  <si>
    <t>Ritala, Paavo; Huotari, Pontus; Bocken, Nancy; Albareda, Laura; Puurnalainen, Kaisu</t>
  </si>
  <si>
    <t>Sustainable business model adoption among S&amp;P 500 firms: A longitudinal content analysis study</t>
  </si>
  <si>
    <t>Sustainable business models; Sustainability; Content analysis; Large cap; S&amp;P 500</t>
  </si>
  <si>
    <t>CORPORATE SOCIAL-RESPONSIBILITY; INSTITUTIONAL THEORY; INNOVATION; MANAGEMENT; PRODUCT; DESIGN; DRIVEN; TECHNOLOGY; FRAMEWORK; STRATEGY</t>
  </si>
  <si>
    <t>In this study, we examine the diversity of sustainable business models adopted by the largest global corporations - those listed in the S&amp;P 500 index - over the period 2005-2014. We examine press release communications during this period, which represent public data about business-relevant events. We expect that examining this communication can reveal longitudinal patterns in the adoption of sustainable business activities and models. Empirically, we utilize academic and practitioner expert panels to build a set of keywords across nine sustainable business model archetypes and utilize automated content analysis to examine the breadth and nature of a firm's sustainable business activities and practices. We find evidence of the increasing prominence of different types of sustainable business models over time. In particular, the results show that large capitalized firms have mostly adopted the environmentally-oriented archetypes, and to much lesser extent the societal and organizational ones. (C) 2017 Elsevier Ltd. All rights reserved.</t>
  </si>
  <si>
    <t>[Bocken, Nancy] Lund Univ, IIIEE, Tegnersplatsen 4, S-22350 Lund, Sweden; [Bocken, Nancy] Delft Univ Technol, Ind Design Engn, Delft, Netherlands; [Ritala, Paavo; Huotari, Pontus; Albareda, Laura; Puurnalainen, Kaisu] Lappeenranta Univ Technol, Sch Business &amp; Management, Lappeenranta, Finland</t>
  </si>
  <si>
    <t>Lund University; Delft University of Technology; Lappeenranta University of Technology</t>
  </si>
  <si>
    <t>Ritala, P (corresponding author), Lappeenranta Univ Technol, Sch Business &amp; Management, Lappeenranta, Finland.</t>
  </si>
  <si>
    <t>ritala@lut.fi; pontus.huotari@lut.fi; nancy.bocken@iiiee.lu.se; laura.albareda@lut.fi; kaisu.puumalainen@lut.fi</t>
  </si>
  <si>
    <t>Ritala, Paavo/0000-0002-8525-4610; Bocken, Nancy/0000-0003-0137-4074</t>
  </si>
  <si>
    <t>Foundation for Economic Education (Liikesivistysrahasto), Finland [8-4159]</t>
  </si>
  <si>
    <t>Foundation for Economic Education (Liikesivistysrahasto), Finland</t>
  </si>
  <si>
    <t>We want to thank the Foundation for Economic Education (Liikesivistysrahasto), Finland, for funding the data collection of this research (grant number 8-4159).</t>
  </si>
  <si>
    <t>10.1016/j.jclepro.2017.09.159</t>
  </si>
  <si>
    <t>FM3BM</t>
  </si>
  <si>
    <t>WOS:000414879300021</t>
  </si>
  <si>
    <t>Elshandidy, T; Fraser, I; Hussainey, K</t>
  </si>
  <si>
    <t>Elshandidy, Tamer; Fraser, Ian; Hussainey, Khaled</t>
  </si>
  <si>
    <t>What drives mandatory and voluntary risk reporting variations across Germany, UK and US?</t>
  </si>
  <si>
    <t>BRITISH ACCOUNTING REVIEW</t>
  </si>
  <si>
    <t>Automated content analysis; Firm and country characteristics; Mandatory and voluntary risk reporting variations; Repeated measures multilevel analysis</t>
  </si>
  <si>
    <t>CORPORATE ANNUAL-REPORTS; DISCLOSURE; GOVERNANCE; INFORMATION; DETERMINANTS; ASSOCIATION; MANAGEMENT; EXCHANGE</t>
  </si>
  <si>
    <t>This paper utilises computerised textual analysis to explore the extent to which both firm and country characteristics influence mandatory and voluntary risk reporting (MRR and VRR) variations both within and between non-financial firms across Germany, the UK and the US, over the period from 2005 to 2010. We find significant variations in MRR and VRR between firms across the three countries. Further, we find, on average, that German firms tend to disclose significantly higher (lower) levels of risk information mandatorily than UK (US) firms. German firms, on average, tend to reveal considerably higher (lower) levels of VRR than US (UK) firms. Our results document that MRR and VRR variations are significantly influenced by systematic risk, the legal system and cultural values. We also find that country and firm characteristics have higher explanatory power over the observed variations in MRR than over those in VRR. (C) 2014 Elsevier Ltd. All rights reserved.</t>
  </si>
  <si>
    <t>[Elshandidy, Tamer] Univ Bristol, Bristol BS8 1TN, Avon, England; [Fraser, Ian] Univ Stirling, Stirling FK9 4LA, Scotland; [Hussainey, Khaled] Univ Plymouth, Plymouth PL4 8AA, Devon, England; [Elshandidy, Tamer] Helwan Univ, Cairo, Egypt</t>
  </si>
  <si>
    <t>University of Bristol; University of Stirling; University of Plymouth; Egyptian Knowledge Bank (EKB); Helwan University</t>
  </si>
  <si>
    <t>Elshandidy, T (corresponding author), Univ Bristol, Sch Econ Finance &amp; Management, 8 Woodland Rd, Bristol BS8 1TN, Avon, England.</t>
  </si>
  <si>
    <t>Tamer.Elashandidy@bristol.ac.uk</t>
  </si>
  <si>
    <t>Elshandidy, Tamer/U-3159-2019</t>
  </si>
  <si>
    <t>0890-8389</t>
  </si>
  <si>
    <t>BRIT ACCOUNT REV</t>
  </si>
  <si>
    <t>Brit. Account. Rev.</t>
  </si>
  <si>
    <t>10.1016/j.bar.2014.06.001</t>
  </si>
  <si>
    <t>CY5KC</t>
  </si>
  <si>
    <t>WOS:000366445500003</t>
  </si>
  <si>
    <t>Vukasovic, M</t>
  </si>
  <si>
    <t>Huisman, J; Tight, M</t>
  </si>
  <si>
    <t>Vukasovic, Martina</t>
  </si>
  <si>
    <t>ANALYSING POLICY POSITIONS OF STAKEHOLDER ORGANIZATIONS IN HIGHER EDUCATION: WHAT, HOW AND WHY?</t>
  </si>
  <si>
    <t>THEORY AND METHOD IN HIGHER EDUCATION RESEARCH</t>
  </si>
  <si>
    <t>Theory and Method in Higher Education Research</t>
  </si>
  <si>
    <t>Stakeholders; stakeholder organization; policy position; policy issue; policy preference; normative basis</t>
  </si>
  <si>
    <t>QUANTITATIVE TEXT ANALYSIS; POLITICAL TEXTS; AGENDA; MOBILIZATION; PREFERENCES; ENGAGEMENT; BANDWAGONS; PATTERNS; CONTEXT; BREADTH</t>
  </si>
  <si>
    <t>Stakeholders and their organizations are increasingly involved in governance of higher education, not only within institutions or at system level, but also in various supra-national and intergovernmental processes. For these, as well as pragmatic reasons (ease of access and relatively simple methods for analysis), this chapter advocates for a more systematic approach to studying stakeholder organizations, their participation in and impact on governance of higher education. Specifically, the chapter: (I) provides a three fold nested conceptualization ofpolicy positions of stakeholder organizations, comprising issues, preferences concerning these issues, and the normative basis utilized to legitimize said preferences; (2) presents advantages and disadvantages of different methodological approaches to analyzing policy positions of stakeholder organizations, including qualitative and quantitative content analysis, employing either human coding or computer-assisted coding ofpolicy documents; and (3) highlights different insights one can gain from analyzing policy positions of stakeholder organizations. It combines (thus far limited) insights from higher education studies with the more generic literature on interest groups, and uses examples from European level stakeholder organizations to illustrate its points.</t>
  </si>
  <si>
    <t>[Vukasovic, Martina] Univ Bergen, Bergen, Norway; [Vukasovic, Martina] Univ Ghent, Ghent, Belgium</t>
  </si>
  <si>
    <t>University of Bergen; Ghent University</t>
  </si>
  <si>
    <t>Vukasovic, M (corresponding author), Univ Bergen, Bergen, Norway.;Vukasovic, M (corresponding author), Univ Ghent, Ghent, Belgium.</t>
  </si>
  <si>
    <t>Odysseus project Higher Education Governance, Research Council Flanders (FWO) [G.OC42.13N2]</t>
  </si>
  <si>
    <t>Odysseus project Higher Education Governance, Research Council Flanders (FWO)</t>
  </si>
  <si>
    <t>The author would like to thank the staff of the Centre for Higher Education Governance Ghent (CHEGG) for their helpful feedback on an earlier version of this chapter. Part of the work was conducted in the framework of the Odysseus project Higher Education Governance, Research Council Flanders (FWO), grant number G.OC42.13N2.</t>
  </si>
  <si>
    <t>HOWARD HOUSE, WAGON LANE, BINGLEY, W YORKSHIRE BD16 1WA, ENGLAND</t>
  </si>
  <si>
    <t>2056-3752</t>
  </si>
  <si>
    <t>978-1-83867-841-8; 978-1-83867-842-5</t>
  </si>
  <si>
    <t>THEOR METH HIGH EDUC</t>
  </si>
  <si>
    <t>10.1108/S2056-375220190000005002</t>
  </si>
  <si>
    <t>BO2EG</t>
  </si>
  <si>
    <t>WOS:000505228700002</t>
  </si>
  <si>
    <t>Chen, Y; Hansen, C; Vu, HT</t>
  </si>
  <si>
    <t>Chen, Yvonnes; Hansen, Cole; Hong Tien Vu</t>
  </si>
  <si>
    <t>Meditation as panacea: A longitudinal semantic network analysis of meditation coverage in campus newspapers from 1997-2018</t>
  </si>
  <si>
    <t>JOURNAL OF AMERICAN COLLEGE HEALTH</t>
  </si>
  <si>
    <t>Campus newspapers; framing; meditation; semantic network analysis</t>
  </si>
  <si>
    <t>AUTOMATED CONTENT-ANALYSIS; MEDIA COVERAGE; NEWS COVERAGE; MINDFULNESS; STRESS; YOGA; FRAMES; ISSUE; POWER</t>
  </si>
  <si>
    <t>Objective Media framing of health issues reflects public opinion and impacts readers' perceptions and behavior. This study examines how meditation - a recommended stress coping strategy for college students - is framed in campus newspapers from 1997-2018. Participants A total of 494 articles were analyzed. Methods Semantic network analysis was used to automatically detect frames and the longitudinal trend. Results Five major frames emerged: (1) building a meditation community within a campus community, (2) meditation benefits, (3) yoga for enhancing mind and body awareness, (4) meditation techniques, and (5) secularizing meditation on campus. There is a shift in coverage from interest in religion to secular views of health benefits throughout the years. Discussions of adverse effects that have emerged from the literature were entirely absent. Conclusions The trend of secularizing meditation practices on college campuses is evident. Emphasizing the techniques and benefits could encourage participation and build a learning community.</t>
  </si>
  <si>
    <t>[Chen, Yvonnes; Hong Tien Vu] Univ Kansas, William Allen White Sch Journalism &amp; Mass Commun, Lawrence, KS 66045 USA; [Hansen, Cole] Univ Kansas, Sch Business, Undergrad Student Business Analyt, Lawrence, KS 66045 USA</t>
  </si>
  <si>
    <t>University of Kansas; University of Kansas</t>
  </si>
  <si>
    <t>Chen, Y (corresponding author), Univ Kansas, William Allen White Sch Journalism &amp; Mass Commun, Lawrence, KS 66045 USA.</t>
  </si>
  <si>
    <t>yvonnes.chen@gmail.com</t>
  </si>
  <si>
    <t>Vu, Hong/0000-0002-4132-5210</t>
  </si>
  <si>
    <t>0744-8481</t>
  </si>
  <si>
    <t>1940-3208</t>
  </si>
  <si>
    <t>J AM COLL HEALTH</t>
  </si>
  <si>
    <t>J. Am. Coll. Health</t>
  </si>
  <si>
    <t>10.1080/07448481.2021.1909042</t>
  </si>
  <si>
    <t>Education &amp; Educational Research; Public, Environmental &amp; Occupational Health</t>
  </si>
  <si>
    <t>SC1VQ</t>
  </si>
  <si>
    <t>WOS:000650468400001</t>
  </si>
  <si>
    <t>Neuner, FG; Soroka, SN; Wlezien, C</t>
  </si>
  <si>
    <t>Neuner, Fabian G.; Soroka, Stuart N.; Wlezien, Christopher</t>
  </si>
  <si>
    <t>Mass Media as a Source of Public Responsiveness</t>
  </si>
  <si>
    <t>mass media; public opinion; public policy; thermostatic responsiveness; negative feedback</t>
  </si>
  <si>
    <t>POLICY; NEWS; OPINION; KNOWLEDGE; COVERAGE; FRAME; CONTINGENCY; THERMOSTAT</t>
  </si>
  <si>
    <t>A sizable literature finds evidence of public responsiveness to policy change, across a range of salient policy domains and countries. We have a very limited sense for what drives this aggregate-level responsiveness, however. One possibility is that individuals learn at least part of what they need to know from mass media. Work tends to emphasize failures in both media coverage and citizens, but little research explores the prevalence of relevant, accurate information in media content, or citizens' abilities to identify and respond to that information. Using the case of defense spending in the United States, we examine both, through an automated content analysis of thirty-five years of reporting, validated by a coding exercise fielded to survey respondents. Results prompt analyses of the American National Election Study (ANES), tracing both individual-level perceptions of and preferences for defense spending change over time. These results, supplemented by aggregate analyses of the General Social Survey (GSS), illustrate how media might facilitate-but also confuse-public responsiveness.</t>
  </si>
  <si>
    <t>[Neuner, Fabian G.] Arizona State Univ, Sch Polit &amp; Global Studies, Tempe, AZ USA; [Soroka, Stuart N.] Univ Michigan, Inst Social Res, Commun Studies &amp; Polit Sci, Ann Arbor, MI USA; [Soroka, Stuart N.] Univ Michigan, Inst Social Res, Ctr Polit Studies, Ann Arbor, MI USA; [Wlezien, Christopher] Univ Texas Austin, Govt, Austin, TX 78712 USA</t>
  </si>
  <si>
    <t>Arizona State University; Arizona State University-Tempe; University of Michigan System; University of Michigan; University of Michigan System; University of Michigan; University of Texas System; University of Texas Austin</t>
  </si>
  <si>
    <t>Neuner, FG (corresponding author), Arizona State Univ, Lattie F Coor Hall,975 S Myrtle Ave, Tempe, AZ 85281 USA.</t>
  </si>
  <si>
    <t>fneuner@asu.edu</t>
  </si>
  <si>
    <t>Neuner, Fabian Guy/J-8032-2019</t>
  </si>
  <si>
    <t>Neuner, Fabian Guy/0000-0001-9357-0552</t>
  </si>
  <si>
    <t>Philip Converse and Warren Miller Fellowship Fund in American Political Behavior; Institute for Social Research at the University of Michigan</t>
  </si>
  <si>
    <t>The author(s) disclosed receipt of the following financial support for the research, authorship, and/or publication of this article: Fabian Neuner and Stuart Soroka received support for this research through the Philip Converse and Warren Miller Fellowship Fund in American Political Behavior, awarded by the Institute for Social Research at the University of Michigan.</t>
  </si>
  <si>
    <t>10.1177/1940161219832416</t>
  </si>
  <si>
    <t>ID4XL</t>
  </si>
  <si>
    <t>WOS:000471679500001</t>
  </si>
  <si>
    <t>Hopkins, DJ</t>
  </si>
  <si>
    <t>Hopkins, Daniel J.</t>
  </si>
  <si>
    <t>The Exaggerated Life of Death Panels? The Limited but Real Influence of Elite Rhetoric in the 2009-2010 Health Care Debate</t>
  </si>
  <si>
    <t>POLITICAL BEHAVIOR</t>
  </si>
  <si>
    <t>Health care reform; Public opinion; Automated content analysis; Framing effects</t>
  </si>
  <si>
    <t>PUBLIC-OPINION; POLITICAL COMMUNICATION; PARTISANSHIP; SUPPORT; TEXTS</t>
  </si>
  <si>
    <t>Experiments demonstrate that elites can influence public opinion through framing. Yet outside laboratories or surveys, real-world constraints are likely to limit elites' ability to reshape public opinion. Additionally, it is difficult to distinguish framing from related processes empirically. This paper uses the 2009-2010 health care debate, coupled with automated content analyses of elite- and mass-level language, to study real-world framing effects. Multiple empirical tests uncover limited but real evidence of elite influence. The language Americans use to explain their opinions proves generally stable, although there is also evidence that the public adopts the language of both parties' elites symmetrically. Elite rhetoric does not appear to have strong effects on Americans' overall evaluations of health care reform, but it can influence the reasons they provide for their evaluations. Methodologically, the automated analysis of elite rhetoric and open-ended questions shows promise in distinguishing framing from other communication effects and illuminating elite-mass interactions.</t>
  </si>
  <si>
    <t>[Hopkins, Daniel J.] Univ Penn, Dept Polit Sci, Philadelphia, PA 19104 USA; [Hopkins, Daniel J.] Univ Penn, Leonard Davis Inst Hlth Econ, Philadelphia, PA 19104 USA</t>
  </si>
  <si>
    <t>Hopkins, DJ (corresponding author), Univ Penn, Dept Polit Sci, Philadelphia, PA 19104 USA.;Hopkins, DJ (corresponding author), Univ Penn, Leonard Davis Inst Hlth Econ, Philadelphia, PA 19104 USA.</t>
  </si>
  <si>
    <t>Affordable Care Act from the Russell Sage Foundation [94-17-01]</t>
  </si>
  <si>
    <t>Affordable Care Act from the Russell Sage Foundation</t>
  </si>
  <si>
    <t>Prior versions of this manuscript were presented at the 2011 Summer Meeting of the Society for Political Methodology at Princeton University, the 2012 Analyzing Text as Data conference at Harvard University, the McCourt School of Public Policy at Georgetown University in 2014, and the Northeastern Methods Meeting at New York University in April 2016. This manuscript would not have been possible without the tireless and insightful research assistance of Robert Biemesderfer, Tiger Brown, Patrick Gavin, Saleel Huprikar, Douglas Kovel, Louis Lin, Owen O'Hare, Jake Sticka, Anton Strezhnev, Clare Tilton, and Marzena Zukowska. The author gratefully acknowledges support for his research into the Affordable Care Act from the Russell Sage Foundation (94-17-01).</t>
  </si>
  <si>
    <t>0190-9320</t>
  </si>
  <si>
    <t>1573-6687</t>
  </si>
  <si>
    <t>POLIT BEHAV</t>
  </si>
  <si>
    <t>Polit. Behav.</t>
  </si>
  <si>
    <t>10.1007/s11109-017-9418-4</t>
  </si>
  <si>
    <t>GQ8KF</t>
  </si>
  <si>
    <t>WOS:000442002500006</t>
  </si>
  <si>
    <t>Jonkman, JGF; Trilling, D; Verhoeven, P; Vliegenthart, R</t>
  </si>
  <si>
    <t>Jonkman, Jeroen G. F.; Trilling, Damian; Verhoeven, Piet; Vliegenthart, Rens</t>
  </si>
  <si>
    <t>To Pass or Not to Pass: How Corporate Characteristics Affect Corporate Visibility and Tone in Company News Coverage</t>
  </si>
  <si>
    <t>Gatekeeping; company news; company characteristics; visibility; tone; news; automated content analysis</t>
  </si>
  <si>
    <t>MEDIA REPUTATION; COMMUNICATION; DETERMINANTS; FRAMEWORK</t>
  </si>
  <si>
    <t>To pass or not to pass through the news gates? That is a key question with respect to the relationship between large commercial firms and the journalistic outlets that pub-lish news regarding them. Whereas previous research has considered how corporate communication affects media content, the focus of this study is on corporate characteristics (e.g. company size, age, location and ownership structure). Building on the gatekeeping approach, the study investigates the extent to which these characteristics affect corporate visibility in the news and tone of coverage. The characteristics of 100 large corporations in the Netherlands were combined with visibility and tone in Dutch online and print news throughout 2014 (N = 29,516). The results indicate that having more employees, being owned by the government and focusing on consumers add substantially to the explanation of corporate visibility. Furthermore, our results indicate that government-owned companies tend to be portrayed more negatively than listed firms and family businesses.</t>
  </si>
  <si>
    <t>[Jonkman, Jeroen G. F.; Trilling, Damian; Verhoeven, Piet; Vliegenthart, Rens] Univ Amsterdam, Amsterdam Sch Commun Res ASCoR, Amsterdam, Netherlands</t>
  </si>
  <si>
    <t>Jonkman, JGF (corresponding author), Univ Amsterdam, Amsterdam Sch Commun Res ASCoR, Amsterdam, Netherlands.</t>
  </si>
  <si>
    <t>j.g.f.jonkman@uva.nl</t>
  </si>
  <si>
    <t>SURFfoundation</t>
  </si>
  <si>
    <t>This work was carried out on the Dutch national e-infrastructure with the support of SURFfoundation.</t>
  </si>
  <si>
    <t>10.1080/1461670X.2019.1612266</t>
  </si>
  <si>
    <t>MAY 2019</t>
  </si>
  <si>
    <t>JZ6MD</t>
  </si>
  <si>
    <t>WOS:000470500700001</t>
  </si>
  <si>
    <t>Kleinnijenhuis, J; van den Hooff, B; Utz, S; Vermeulen, I; Huysman, M</t>
  </si>
  <si>
    <t>Kleinnijenhuis, Jan; van den Hooff, Bart; Utz, Sonja; Vermeulen, Ivar; Huysman, Marleen</t>
  </si>
  <si>
    <t>Social Influence in Networks of Practice: An Analysis of Organizational Communication Content</t>
  </si>
  <si>
    <t>organizational communication; networks of practice; content analysis; social influence; language style matching</t>
  </si>
  <si>
    <t>KNOWLEDGE TRANSFER; INFORMATION; CAPABILITY; CENTRALITY; PROXIMITY; DYNAMICS; ACCESS; NEWS; VIEW</t>
  </si>
  <si>
    <t>Networks of Practice (NoPs) facilitate knowledge sharing among geographically dispersed organization members. This research tests whether social influence in NoPs is reinforced by actors' embeddedness in practice (knowledge about informal content), organizational embeddedness (knowledge about formal organizational content), structural embeddedness (knowledge about who knows what), and relational embeddedness (knowledge about informal relationships). A full-fledged automated content analysis on all postings on four NoPs maintained by a multinational chemical company revealed four dimensions in communication content that largely coincide with the proposed embeddedness types. We measured social influence by assessing to what extent actors' use of uncommon language traits was adopted in the responses to the postings. Hypothesis testing revealed that network members who communicate about informal practice, and know who knows what, exert more social influence than others. The results suggest that network members' social influence is rooted in their utilitarian value for others, and not in their organizational or relational embeddedness.</t>
  </si>
  <si>
    <t>[Kleinnijenhuis, Jan; van den Hooff, Bart; Utz, Sonja; Vermeulen, Ivar; Huysman, Marleen] Vrije Univ Amsterdam, NL-1081 HV Amsterdam, Netherlands</t>
  </si>
  <si>
    <t>Kleinnijenhuis, J (corresponding author), Vrije Univ Amsterdam, Boelelaan 1081, NL-1081 HV Amsterdam, Netherlands.</t>
  </si>
  <si>
    <t>Vermeulen, Ivar E/I-9194-2012; Utz, Sonja/B-7256-2008; Kleinnijenhuis, Jan/A-2048-2013</t>
  </si>
  <si>
    <t>Utz, Sonja/0000-0002-7979-3554; Kleinnijenhuis, Jan/0000-0001-6231-8186; Vermeulen, Ivar/0000-0003-3589-8773; van den Hooff, Bart/0000-0002-8880-3910; huysman, marleen/0000-0002-9005-8200</t>
  </si>
  <si>
    <t>10.1177/0093650210385225</t>
  </si>
  <si>
    <t>811ZZ</t>
  </si>
  <si>
    <t>WOS:000294258800001</t>
  </si>
  <si>
    <t>Collingwood, L; El-Khatib, SO; O'Brien, BG</t>
  </si>
  <si>
    <t>Collingwood, Loren; El-Khatib, Stephen Omar; O'Brien, Benjamin Gonzalez</t>
  </si>
  <si>
    <t>Sustained Organizational Influence: American Legislative Exchange Council and the Diffusion of Anti-Sanctuary Policy</t>
  </si>
  <si>
    <t>sanctuary policy; Latino politics; policy diffusion</t>
  </si>
  <si>
    <t>IMMIGRATION POLICY; STATE LEGISLATURES; SOCIAL-POLICY; POSITION; POLITICS; ASSOCIATIONS; INNOVATION; INTERESTS; ADVOCACY; SUCCESS</t>
  </si>
  <si>
    <t>Building upon existing literature, we offer a particular model of network policy diffusion-which we call sustained organizational influence. Sustained organizational influence necessitates an institutional focus across a broad range of issues and across a long period of time. Sustaining organizations are well-financed, and exert their influence on legislators through benefits, shared ideological interests, and time-saving opportunities. Sustaining organizations' centralized nature makes legislators' jobs easier by providing legislators with ready-made model legislation. We argue that sustaining organizations uniquely contribute to policy diffusion in the U.S. states. We evaluate this model with a case study of state-level immigration sanctuary policy making and the role that the American Legislative Exchange Council (ALEC) played in disseminating model legislation. Through quantitative text analysis and several negative binomial state-level regression models, we demonstrate that ALEC has exerted an overwhelming influence on the introduction of anti-sanctuary legislative proposals in the U.S. states over the past 7 years consistent with our particular model of network policy diffusion. Implications are discussed.</t>
  </si>
  <si>
    <t>[Collingwood, Loren; El-Khatib, Stephen Omar] Univ Calif Riverside, Polit Sci, Riverside, CA 92521 USA; [O'Brien, Benjamin Gonzalez] San Diego State Univ, Polit Sci, San Diego, CA 92182 USA</t>
  </si>
  <si>
    <t>University of California System; University of California Riverside; California State University System; San Diego State University</t>
  </si>
  <si>
    <t>Collingwood, L (corresponding author), Univ Calif Riverside, Polit Sci, Riverside, CA 92521 USA.</t>
  </si>
  <si>
    <t>10.1111/psj.12284</t>
  </si>
  <si>
    <t>IR4YD</t>
  </si>
  <si>
    <t>WOS:000481439300010</t>
  </si>
  <si>
    <t>Vasko, V; Trilling, D</t>
  </si>
  <si>
    <t>Vasko, Vidar; Trilling, Damian</t>
  </si>
  <si>
    <t>A permanent campaign? Tweeting differences among members of Congress between campaign and routine periods</t>
  </si>
  <si>
    <t>Campaign and routine periods; Twitter; U.S. election; automated content analysis; political communication</t>
  </si>
  <si>
    <t>TWITTER USE; NEWS; AGE; NETWORKS; ONLINE; MEDIA; COMMUNICATION; CANDIDATES; ATTENTION; POLITICS</t>
  </si>
  <si>
    <t>This article investigates whether the notion of a permanent campaign characterizes politicians? Twitter use by analyzing 285,456 tweets by Members of Congress during and after the 2016 US elections. We distinguished a campaign period, a lame duck period, and a routine period. The inclusion of a lame duck period is novel in studies on social networking sites and allows for more precise conclusions. In the routine period, politicians focused more on hard news, put more emphasis on domestic than foreign content on the country level, had a higher level of negative sentiment and published more tweets, whereas in the campaign period positive sentiment was higher. Additionally, we found large differences in politicians? tweeting behavior between the lame duck and routine period. We conclude that the notion of a ?permanent campaign? does not appropriately describe political campaigning on Twitter, but that the exact differences are still poorly understood, as empirical findings do not align well with previous literature.</t>
  </si>
  <si>
    <t>[Vasko, Vidar] Univ Amsterdam, Dept Commun Sci, Sodra Ringvagen 14 A, S-35235 Vaxjo, Sweden; [Trilling, Damian] Univ Amsterdam, Dept Commun Sci, Polit Commun &amp; Journalism, Postbus 15791, NL-1001 NG Amsterdam, Netherlands</t>
  </si>
  <si>
    <t>Vasko, V (corresponding author), Univ Amsterdam, Dept Commun Sci, Ringvagen 14 A, S-35235 Vaxjo, Sweden.</t>
  </si>
  <si>
    <t>vidar@vasko.se</t>
  </si>
  <si>
    <t>SURF cooperative</t>
  </si>
  <si>
    <t>This work was carried out on the national Dutch e-infrastructure with the support of SURF cooperative.</t>
  </si>
  <si>
    <t>10.1080/19331681.2019.1657046</t>
  </si>
  <si>
    <t>JP0KN</t>
  </si>
  <si>
    <t>WOS:000497960800002</t>
  </si>
  <si>
    <t>Raftery, AE</t>
  </si>
  <si>
    <t>A generic semantic grammar for quantitative text analysis: Applications to East and West Berlin radio news content from 1979</t>
  </si>
  <si>
    <t>SOCIOLOGICAL METHODOLOGY 1997, VOL 27</t>
  </si>
  <si>
    <t>In a semantic text analysis the researcher begins by creating one of two types of semantic grammars, each of which provides one or more templates that specify the ways concepts (or more general themes) may be related. On the one hand, a phenomenal semantic grammar can be created to extract phenomenon-related information from a text population (e.g., ''Among the population's grievances [the phenomenon of interest in this case], which were ones for the abolition of taxes?''). On the other hand, a generic semantic grammar may be developed to yield data about the text population itself (e.g., ''Among all clauses in the text population, how many were grievances for the abolition of taxes?''). This paper describes a genetic semantic grammar that can be used to encode themes and theme relations in every clause within randomly sampled texts. Unlike the surface-grammatical relations mapped by syntax grammars, the theme relations allowed in this grammar only permit unambiguous encoding according to the meanings that clauses were intended to convey within their social context. All application of the grammar provides a concrete illustration of its research potential.</t>
  </si>
  <si>
    <t>Roberts, CW (corresponding author), IOWA STATE UNIV, DEPT SOCIOL, AMES, IA 50011 USA.</t>
  </si>
  <si>
    <t>BLACKWELL PUBL</t>
  </si>
  <si>
    <t>350 MAIN ST, MALDEN, MA 02148 USA</t>
  </si>
  <si>
    <t>0-63120-792-9</t>
  </si>
  <si>
    <t>10.1111/1467-9531.271020</t>
  </si>
  <si>
    <t>BJ45J</t>
  </si>
  <si>
    <t>WOS:A1997BJ45J00003</t>
  </si>
  <si>
    <t>Mylonas, P; Solachidis, V; Geyer-Schulz, A; Hoser, B; Chapman, S; Ciravegna, F; Staab, S; Smrz, P; Kompatsiaris, Y; Avrithis, Y</t>
  </si>
  <si>
    <t>Fink, A; Lausen, B; Seidel, W; Ultsch, A</t>
  </si>
  <si>
    <t>Mylonas, Phivos; Solachidis, Vassilios; Geyer-Schulz, Andreas; Hoser, Bettina; Chapman, Sam; Ciravegna, Fabio; Staab, Steffen; Smrz, Pavel; Kompatsiaris, Yiannis; Avrithis, Yannis</t>
  </si>
  <si>
    <t>Efficient Media Exploitation Towards Collective Intelligence</t>
  </si>
  <si>
    <t>ADVANCES IN DATA ANALYSIS, DATA HANDLING AND BUSINESS INTELLIGENCE</t>
  </si>
  <si>
    <t>32nd Annual Conference of the German-Classification-Society</t>
  </si>
  <si>
    <t>JUL 16-18, 2008</t>
  </si>
  <si>
    <t>Helmut Schmidt Univ, Hamburg, GERMANY</t>
  </si>
  <si>
    <t>Helmut Schmidt Univ,Deutsche Forschungsgemeinschaft,Gesellschaft Klassifikat,Gesellschaft Konsumforschung,Hamburg Mannheimer Versicherungen,Hamburger Sparkasse,Statsoft GmbH,Vattenfall,Volksfursorge Deutsche Lebensversicherung AG</t>
  </si>
  <si>
    <t>Helmut Schmidt Univ</t>
  </si>
  <si>
    <t>Collective intelligence; Media intelligence; Social media</t>
  </si>
  <si>
    <t>RETRIEVAL; CONTEXT</t>
  </si>
  <si>
    <t>In this work we propose intelligent, automated content analysis techniques for different media to extract knowledge from the multimedia content. Information derived from different sources/modalities will be analyzed and fused, in terms of spatiotemporal, personal and even social contextual information. In order to achieve this goal, semantic analysis will be applied to the content items, taking into account the content itself (e.g., text, images and video), as well as existing personal, social and contextual information (e.g., semantic and machine-processable metadata and tags). The above process exploits the so-called Media Intelligence towards the ultimate goal of identifying Collective Intelligence, emerging from the collaboration and competition among people, empowering innovative services and user interactions. The utilization of Media Intelligence constitutes a departure from traditional methods for information sharing, since semantic multimedia analysis has to fuse information from both the content itself and the social context, while at the same time the social dynamics have to be taken into account. Such intelligence provides added-value to the available multimedia content and renders existing procedures and research efforts more efficient.</t>
  </si>
  <si>
    <t>[Mylonas, Phivos; Solachidis, Vassilios; Geyer-Schulz, Andreas; Hoser, Bettina; Chapman, Sam; Ciravegna, Fabio; Staab, Steffen; Smrz, Pavel; Kompatsiaris, Yiannis; Avrithis, Yannis] Natl Tech Univ Athens, Image Video &amp; Multimedia Syst Lab, Zographou Campus, GR-15780 Athens, Greece</t>
  </si>
  <si>
    <t>National Technical University of Athens</t>
  </si>
  <si>
    <t>Mylonas, P (corresponding author), Natl Tech Univ Athens, Image Video &amp; Multimedia Syst Lab, Zographou Campus, GR-15780 Athens, Greece.</t>
  </si>
  <si>
    <t>fmylonas@image.ntua.gr; vsol@iti.gr; andreas.geyer-schulz@kit.edu; bettina.hoser@kit.edu; s.chapman@dcs.shef.ac.uk; fabio@dcs.shef.ac.uk; staab@uni-koblenz.de; smrz@fit.vutbr.cz; ikom@iti.gr; iavr@image.ntua.gr</t>
  </si>
  <si>
    <t>Kompatsiaris, Ioannis/P-8594-2015; Mylonas, Phivos/AAF-2497-2019; Solachidis, Vassilios/C-3895-2013</t>
  </si>
  <si>
    <t>Kompatsiaris, Ioannis/0000-0001-6447-9020; Mylonas, Phivos/0000-0002-6916-3129; Ciravegna, Fabio/0000-0001-5817-4810; Smrz, Pavel/0000-0002-5638-1362; Solachidis, Vassilios/0000-0002-0761-5396</t>
  </si>
  <si>
    <t>European Community's 7th Framework Programme FP7 [215453]</t>
  </si>
  <si>
    <t>European Community's 7th Framework Programme FP7</t>
  </si>
  <si>
    <t>The research leading to these results has received funding from the European Communitys 7th Framework Programme FP7/2007-2013 under grant agreement n.215453 WeKnowIt.</t>
  </si>
  <si>
    <t>978-3-642-01043-9</t>
  </si>
  <si>
    <t>10.1007/978-3-642-01044-6_66</t>
  </si>
  <si>
    <t>BRG33</t>
  </si>
  <si>
    <t>WOS:000282669800066</t>
  </si>
  <si>
    <t>Jungblut, M; Jungblut, J</t>
  </si>
  <si>
    <t>Jungblut, Marc; Jungblut, Jens</t>
  </si>
  <si>
    <t>Do organizational differences matter for the use of social media by public organizations? A computational analysis of the way the German police use Twitter for external communication</t>
  </si>
  <si>
    <t>EMPIRICAL-ANALYSIS; PATH DEPENDENCE; POPULARITY CUES; ONLINE MEDIA; STRATEGIES; ADOPTION; DIALOGUE; MESSAGE; CRISIS</t>
  </si>
  <si>
    <t>Using a neo-institutional framework, this study investigates how German police use Twitter for their communication. This is relevant, because the police increasingly use social media to bypass the media's gatekeeping function and attain increased agency in communication activities. However, little is known about their different communication strategies and their impact on user engagement. The analysis is based on an automated content analysis of all tweets (N = 137,771) sent out by the German police in 2019. It identifies different patterns regarding the usage of Twitter between police entities on different levels of governance and in differing types of environments and examines how these patterns translate into different levels of user engagement. We find that German police entities differ in their use of Twitter and that environmental and organizational aspects can explain these differences. Moreover, different patterns of social media usage also lead to differing levels of user engagement.</t>
  </si>
  <si>
    <t>[Jungblut, Marc] Ludwig Maximilians Univ Munchen, Dept Media &amp; Commun, Munich, Germany; [Jungblut, Jens] Univ Oslo, Dept Polit Sci, Oslo, Norway</t>
  </si>
  <si>
    <t>University of Munich; University of Oslo</t>
  </si>
  <si>
    <t>Jungblut, M (corresponding author), Oettingenstr 67, D-80538 Munich, Germany.</t>
  </si>
  <si>
    <t>marc.jungblut@ifkw.lmu.de</t>
  </si>
  <si>
    <t>Jungblut, Marc/0000-0002-2677-0738</t>
  </si>
  <si>
    <t>Open access funding enabled and organized by Projekt DEAL.</t>
  </si>
  <si>
    <t>10.1111/padm.12747</t>
  </si>
  <si>
    <t>SA0LR</t>
  </si>
  <si>
    <t>WOS:000648992000001</t>
  </si>
  <si>
    <t>Neto, V; Rolim, V; Ferreira, R; Kovanovic, V; Gasevic, D; Lins, RD; Lins, R</t>
  </si>
  <si>
    <t>PammerSchindler, V; PerezSanagustin, M; Drachsler, H; Elferink, R; Scheffel, M</t>
  </si>
  <si>
    <t>Neto, Valter; Rolim, Vitor; Ferreira, Rafael; Kovanovic, Vitomir; Gasevic, Dragan; Lins, Rafael Dueire; Lins, Rodrigo</t>
  </si>
  <si>
    <t>Automated Analysis of Cognitive Presence in Online Discussions Written in Portuguese</t>
  </si>
  <si>
    <t>LIFELONG TECHNOLOGY-ENHANCED LEARNING, EC-TEL 2018</t>
  </si>
  <si>
    <t>13th European Conference on Technology Enhanced Learning (EC-TEL)</t>
  </si>
  <si>
    <t>SEP 03-05, 2018</t>
  </si>
  <si>
    <t>Univ Leeds, Leeds, ENGLAND</t>
  </si>
  <si>
    <t>Univ Leeds</t>
  </si>
  <si>
    <t>Community of Inquiry (CoI) model; Content analytics; Online discussions; Text classification</t>
  </si>
  <si>
    <t>This paper presents a method for automated content analysis of students' messages in asynchronous discussions written in Portuguese. In particular, the paper looks at the problem of coding discussion transcripts for the levels of cognitive presence, a key construct in a widely used Community of Inquiry model of online learning. Although there are techniques to coding for cognitive presence in the English language, the literature is still poor in methods for others languages, such as Portuguese. The proposed method uses a set of 87 different features to create a random forest classifier to automatically extract the cognitive phases. The model developed reached Cohen's k of .72, which represents a substantial agreement, and it is above the Cohen's k threshold of .70, commonly used in the literature for determining a reliable quantitative content analysis. This paper also provides some theoretical insights into the nature of cognitive presence by looking at the classification features that were most relevant for distinguishing between the different phases of cognitive presence.</t>
  </si>
  <si>
    <t>[Neto, Valter; Rolim, Vitor; Ferreira, Rafael; Lins, Rafael Dueire; Lins, Rodrigo] Univ Fed Rural Pernambuco, Dept Comp, Recife, PE, Brazil; [Ferreira, Rafael; Gasevic, Dragan] Univ Edinburgh, Edinburgh EH8 9YL, Midlothian, Scotland; [Kovanovic, Vitomir] Univ South Australia, 160 Currie St, Adelaide, SA 5000, Australia; [Gasevic, Dragan] Monash Univ, 19 Ancora Imparo Way, Clayton, Vic 3800, Australia</t>
  </si>
  <si>
    <t>Universidade Federal Rural de Pernambuco (UFRPE); University of Edinburgh; University of South Australia; Monash University</t>
  </si>
  <si>
    <t>Ferreira, R (corresponding author), Univ Fed Rural Pernambuco, Dept Comp, Recife, PE, Brazil.;Ferreira, R (corresponding author), Univ Edinburgh, Edinburgh EH8 9YL, Midlothian, Scotland.</t>
  </si>
  <si>
    <t>valter.neto@ufrpe.br; vitor.rolim@ufrpe.br; rafael.mello@ufrpe.br; Vitomir.Kovanovic@unisa.edu.au; dragan.gasevic@ac.ed.uk; rafael.lins@ufrpe.br; rodrigo.linsrodrigues@ufrpe.br</t>
  </si>
  <si>
    <t>Dueire Lins, Rafael/GQI-4376-2022; Kovanovic, Vitomir/F-5862-2017</t>
  </si>
  <si>
    <t>Kovanovic, Vitomir/0000-0001-9694-6033; Ferreira Mello, Rafael/0000-0003-3548-9670; Lins Rodrigues, Rodrigo/0000-0002-3598-5204</t>
  </si>
  <si>
    <t>978-3-319-98572-5; 978-3-319-98571-8</t>
  </si>
  <si>
    <t>10.1007/978-3-319-98572-5_19</t>
  </si>
  <si>
    <t>Computer Science, Information Systems; Computer Science, Interdisciplinary Applications; Education &amp; Educational Research</t>
  </si>
  <si>
    <t>Computer Science; Education &amp; Educational Research</t>
  </si>
  <si>
    <t>BP4JF</t>
  </si>
  <si>
    <t>WOS:000552686200019</t>
  </si>
  <si>
    <t>Bayram, S</t>
  </si>
  <si>
    <t>Bayram, Salih</t>
  </si>
  <si>
    <t>Whose Story Won? Public Diplomacy and International News Coverage of the 2010 Gaza Flotilla/Mavi Marmara Raid</t>
  </si>
  <si>
    <t>ULUSLARARASI ILISKILER-INTERNATIONAL RELATIONS</t>
  </si>
  <si>
    <t>Gaza Flotilla; Mavi Marmara; Public Diplomacy; Content Analysis</t>
  </si>
  <si>
    <t>This article examines international news coverage of the Gaza Flotilla and the Israeli raid on the ship Mavi Marmara in May 2010, which resulted in the deaths of nine Turkish citizens and created a long-lasting cooling of relations between Turkey and Israel. The two countries had different interpretations of what the flotilla represented and what happened during the raid, and used all the might of their respective public diplomacy apparatuses to get their version of the events reported. This article looks at which country was more successful in this effort, four years into the dispute, using automated content analysis. Findings include Israel's overwhelming success, especially in the first two years and in the media of the countries that generate most of the English-language coverage, somewhat qualified by the Turkish advantage in the media of Muslim-majority countries and gains in the last two years. Both countries enjoyed positive coverage when they initiated newsworthy events, with third-party involvement moderating the usually strong pro-Israeli slant.</t>
  </si>
  <si>
    <t>Yalova Univ, Fac Econ &amp; Adm Sci, Dept Int Relat, Yalova, Turkey</t>
  </si>
  <si>
    <t>Yalova University</t>
  </si>
  <si>
    <t>Bayram, S (corresponding author), Yalova Univ, Fac Econ &amp; Adm Sci, Dept Int Relat, Yalova, Turkey.</t>
  </si>
  <si>
    <t>salih.bayram@yalova.edu.tr</t>
  </si>
  <si>
    <t>ULUSLARARASI ILISKILER KONSEYI DERNEGI</t>
  </si>
  <si>
    <t>SOGUTOZU</t>
  </si>
  <si>
    <t>SOGUTOZU CAD NO 43, TOBB-ETU BINASI, ODA NO 364, SOGUTOZU, ANKARA 06560, TURKEY</t>
  </si>
  <si>
    <t>1304-7310</t>
  </si>
  <si>
    <t>ULUSLAR ILISKILER</t>
  </si>
  <si>
    <t>Uluslar. Iliskiler</t>
  </si>
  <si>
    <t>CR7AT</t>
  </si>
  <si>
    <t>WOS:000361501000003</t>
  </si>
  <si>
    <t>Boumans, J; Trilling, D; Vliegenthart, R; Boomgaarden, H</t>
  </si>
  <si>
    <t>Boumans, Jelle; Trilling, Damian; Vliegenthart, Rens; Boomgaarden, Hajo</t>
  </si>
  <si>
    <t>The Agency Makes the (Online) News World Go Round: The Impact of News Agency Content on Print and Online News</t>
  </si>
  <si>
    <t>news production; news agency; intermedia agenda setting; churnalism; transparency; automated content analysis; online; print</t>
  </si>
  <si>
    <t>PUBLIC-RELATIONS; JOURNALISM; CONVERGENCE; ACCESS; WEB</t>
  </si>
  <si>
    <t>While it is generally acknowledged that news agencies play a pivotal role in the current news landscape, empirical insights into the extent of news media's reliance on agency copy are scarce. This study applies an innovative automated approach to trace agency copy for an entire year (n = 119,452) in the major print and online news media articles (n = 247,161) of the Dutch news landscape. Results suggest that particularly online news is highly dependent on agency content, with the agency being responsible for up to 75% of the online news articles. Furthermore, a large part of the online news consists of verbatim agency copy, involving little or no editing. The results provide a strong rationale to place news agencies high on the agenda of news production scholars. Moreover, the demonstrated agency domination of online news is alarming in the context of news diversity.</t>
  </si>
  <si>
    <t>[Boumans, Jelle; Trilling, Damian; Vliegenthart, Rens] Univ Amsterdam, Amsterdam, Netherlands; [Boomgaarden, Hajo] Univ Vienna, Vienna, Austria</t>
  </si>
  <si>
    <t>University of Amsterdam; University of Vienna</t>
  </si>
  <si>
    <t>Boumans, J (corresponding author), Univ Amsterdam, Amsterdam, Netherlands.</t>
  </si>
  <si>
    <t>j.w.boumans@uva.nl; d.c.trilling@uva.nl; r.vliegenthart@uva.nl; hajo.boomgaarden@univie.ac.at</t>
  </si>
  <si>
    <t>Boomgaarden, Hajo G./0000-0002-5260-1284</t>
  </si>
  <si>
    <t>GF3CG</t>
  </si>
  <si>
    <t>WOS:000431821400116</t>
  </si>
  <si>
    <t>Tsoneva, T; Barbieri, M; Weda, H</t>
  </si>
  <si>
    <t>Tsoneva, Tsvetomira; Barbieri, Mauro; Weda, Hans</t>
  </si>
  <si>
    <t>Automated summarization of narrative video on a semantic level</t>
  </si>
  <si>
    <t>ICSC 2007: INTERNATIONAL CONFERENCE ON SEMANTIC COMPUTING, PROCEEDINGS</t>
  </si>
  <si>
    <t>International Conference on Semantic Computing (ICSC 2007)</t>
  </si>
  <si>
    <t>SEP 17-19, 2007</t>
  </si>
  <si>
    <t>Irvine, CA</t>
  </si>
  <si>
    <t>The movie industry produces thousands of feature films and TV series annually. Such massive data volumes would take consumers more than a lifetime to watch. Therefore, summarization of narrative media, which engages in providing concise and informative video summaries, has become a popular topic of research. However, most of the summarization solutions so far aim to represent just the overall atmosphere of the video at the expense of the story line. In this paper we describe a novel approach for automated creation of summaries for narrative videos. We propose an automated content analysis and summarization framework for creating moving-image summaries. We aim at preserving the story line to the level that users can watch the summary instead of the original content. Our solution is based on textual cues available in subtitles and movie scripts. We extract features like keywords, main characters names and presence, and combine them in an importance function to identify the moments most relevant for preserving the story line. We develop several summarization methods and evaluate the quality of the resulting summaries in terms of user understanding and user satisfaction through a user test.</t>
  </si>
  <si>
    <t>[Tsoneva, Tsvetomira; Barbieri, Mauro; Weda, Hans] Philips Res Europe, High Tech Campus 34 WB 41, NL-5656 AE Eindhoven, Netherlands</t>
  </si>
  <si>
    <t>Philips; Philips Research</t>
  </si>
  <si>
    <t>Tsoneva, T (corresponding author), Philips Res Europe, High Tech Campus 34 WB 41, NL-5656 AE Eindhoven, Netherlands.</t>
  </si>
  <si>
    <t>tsvetomira.tsoneva@philips.com; mauro.barbieri@philips.com; hans.weda@philips.com</t>
  </si>
  <si>
    <t>Weda, Hans/0000-0001-6675-2270</t>
  </si>
  <si>
    <t>978-0-7695-2997-4</t>
  </si>
  <si>
    <t>10.1109/ICSC.2007.42</t>
  </si>
  <si>
    <t>Computer Science, Interdisciplinary Applications; Computer Science, Theory &amp; Methods; Engineering, Electrical &amp; Electronic</t>
  </si>
  <si>
    <t>BGW73</t>
  </si>
  <si>
    <t>WOS:000250994500021</t>
  </si>
  <si>
    <t>Heidenreich, T; Eberl, JM; Lind, F; Boomgaarden, HG</t>
  </si>
  <si>
    <t>Heidenreich, Tobias; Eberl, Jakob-Moritz; Lind, Fabienne; Boomgaarden, Hajo G.</t>
  </si>
  <si>
    <t>Discontentment trumps Euphoria: Interacting with European Politicians' migration-related messages on social media</t>
  </si>
  <si>
    <t>Automated content analysis; Facebook; framing; migration; political communication; political elites; social media; Twitter; user engagement</t>
  </si>
  <si>
    <t>FACEBOOK; TWITTER; NEWS; TEXT; PARTICIPATION; TRANSLATION</t>
  </si>
  <si>
    <t>We investigate user engagement with politicians' migration discourses on social media. In particular, we study the effects of message framing and support base attitudes on interactions on Facebook and Twitter in five European countries. Enriching automated analysis of social media content with survey data in a multilevel negative binomial regression approach, findings show that migration-related messages tend to elicit more interactions than other kinds of messages. Furthermore, the presence of a security frame in a migration-related message positively relates to user engagement. However, additional analyses suggest that the relevance of these frames differ between different political parties. In fact, a message gets an even higher number of interactions, when the dimension of the migration issue included in those framed messages is perceived more negatively by a party's support base. The findings have important implications for communication strategies of political actors and the state of migration discourses on social media.</t>
  </si>
  <si>
    <t>[Heidenreich, Tobias] WZB Berlin Social Sci Ctr, Reichpietschufer 50, D-10785 Berlin, Germany; [Eberl, Jakob-Moritz; Lind, Fabienne] Univ Vienna, Dept Commun, Vienna, Austria; [Boomgaarden, Hajo G.] Univ Vienna, Text Anal, Vienna, Austria</t>
  </si>
  <si>
    <t>Heidenreich, T (corresponding author), WZB Berlin Social Sci Ctr, Reichpietschufer 50, D-10785 Berlin, Germany.</t>
  </si>
  <si>
    <t>tobias.heidenreich@wzb.eu</t>
  </si>
  <si>
    <t>Lind, Fabienne/ABY-3927-2022; Eberl, Jakob-Moritz/K-4689-2019; Heidenreich, Tobias/HDO-5760-2022</t>
  </si>
  <si>
    <t>Eberl, Jakob-Moritz/0000-0002-5613-760X; Heidenreich, Tobias/0000-0001-9070-0550; , Fabienne/0000-0002-4978-9415</t>
  </si>
  <si>
    <t>The author(s) disclosed receipt of the following financial support for the research, authorship, and/or publication of this article: This work was supported by Horizon 2020 Framework Programme [grant number 727072].</t>
  </si>
  <si>
    <t>10.1177/14614448221074648</t>
  </si>
  <si>
    <t>YV6VA</t>
  </si>
  <si>
    <t>WOS:000752864300001</t>
  </si>
  <si>
    <t>Meltzer, CE; Eberl, JM; Theorin, N; Heidenreich, T; Stromback, J; Boomgaarden, HG; Schemer, C</t>
  </si>
  <si>
    <t>Meltzer, Christine E.; Eberl, Jakob-Moritz; Theorin, Nora; Heidenreich, Tobias; Stromback, Jesper; Boomgaarden, Hajo G.; Schemer, Christian</t>
  </si>
  <si>
    <t>Media effects on policy preferences toward free movement: evidence from five EU member states</t>
  </si>
  <si>
    <t>JOURNAL OF ETHNIC AND MIGRATION STUDIES</t>
  </si>
  <si>
    <t>Europe; migration; media effects; freedom of movement</t>
  </si>
  <si>
    <t>PUBLIC-OPINION; 2-STEP FLOW; NEWS; IMMIGRATION; ATTITUDES; IMPACT; ISSUE; COMPETITION; TRIGGERS; FRAMES</t>
  </si>
  <si>
    <t>In a time when freedom of movement is being challenged by an increasing number of European Union member states, and where immigration has been dominating public debate for years, this study investigates the effects (i.e. frame salience and frame sentiment) of migration news on individuals' attitudes about free movement. We are taking into account respondents individual media diet by linking a two-wave online survey in five European countries (n = 7,794) with an automated content analysis of online news coverage in these countries (n = 26,696). Findings indicate that overall the salience of specific frames (i.e. labour market and security), as well as sentiment, positively influence free movement attitudes among citizens. However, there are country-specific differences for both salience and sentiment effects. These findings have implications for our understanding of media effects on immigration attitudes and policy preferences as well as for comparative media effects research in general.</t>
  </si>
  <si>
    <t>[Meltzer, Christine E.; Schemer, Christian] Johannes Gutenberg Univ Mainz, Dept Commun, Mainz, Germany; [Eberl, Jakob-Moritz; Heidenreich, Tobias; Boomgaarden, Hajo G.] Univ Vienna, Dept Commun, Vienna, Austria; [Theorin, Nora; Stromback, Jesper] Univ Gothenburg, Dept Journalism Media &amp; Commun, Gothenburg, Sweden</t>
  </si>
  <si>
    <t>Johannes Gutenberg University of Mainz; University of Vienna; University of Gothenburg</t>
  </si>
  <si>
    <t>Meltzer, CE (corresponding author), Johannes Gutenberg Univ Mainz, Dept Commun, Mainz, Germany.</t>
  </si>
  <si>
    <t>meltzer@uni-mainz.de</t>
  </si>
  <si>
    <t>Eberl, Jakob-Moritz/K-4689-2019; Heidenreich, Tobias/HDO-5760-2022</t>
  </si>
  <si>
    <t>Eberl, Jakob-Moritz/0000-0002-5613-760X; Heidenreich, Tobias/0000-0001-9070-0550; Schemer, Christian/0000-0002-7808-2240; Boomgaarden, Hajo G./0000-0002-5260-1284</t>
  </si>
  <si>
    <t>This work was supported by Horizon 2020 Framework Programme: [Grant Number 727072].</t>
  </si>
  <si>
    <t>1369-183X</t>
  </si>
  <si>
    <t>1469-9451</t>
  </si>
  <si>
    <t>J ETHN MIGR STUD</t>
  </si>
  <si>
    <t>J. Ethn. Migr. Stud.</t>
  </si>
  <si>
    <t>NOV 18</t>
  </si>
  <si>
    <t>10.1080/1369183X.2020.1778454</t>
  </si>
  <si>
    <t>Demography; Ethnic Studies</t>
  </si>
  <si>
    <t>UK2VU</t>
  </si>
  <si>
    <t>WOS:000545330100001</t>
  </si>
  <si>
    <t>Igumnova, L</t>
  </si>
  <si>
    <t>Igumnova, L.</t>
  </si>
  <si>
    <t>Normative Power of the EU in Communications of the European External Action Service</t>
  </si>
  <si>
    <t>CONTEMPORARY EUROPE-SOVREMENNAYA EVROPA</t>
  </si>
  <si>
    <t>European Union; Russia; European External Action Service; Russia-EU relations; Normative power Europe</t>
  </si>
  <si>
    <t>The paper explores Russia-related official statements of the European External Action Service (EEAS), press releases and speeches of the European Union's two High Representatives for Foreign Affairs and Security Policy posted on the website of the service during the whole period of its activities (2010-2017). The goal of the analysis is to distinguish the elements of normative, soft and transformative power in EU's official communications to Moscow and to specify what type of power the EU tries to exercise in Russia. Quantitative text analysis of the EEAS documents was carried out for this purpose. The results obtained demonstrate that the communications of the European diplomatic service with Russia are limited to a narrow range of problems. The principles of the rule of law, human rights and fundamental freedoms dominate in the dialogue of the EEAS with Moscow. Criticizing mainly violation of legal norms, the European External Action Service positions itself as normative actor, promoting normative agenda in the country. The elements of soft and transformative power are very scarcely represented.</t>
  </si>
  <si>
    <t>[Igumnova, L.] Irkutsk State Univ, Hist, K Marx St 1, Irkutsk 664003, Russia; [Igumnova, L.] Irkutsk State Univ, Dept Polit Sci Hist &amp; Reg Studies, K Marx St 1, Irkutsk 664003, Russia</t>
  </si>
  <si>
    <t>Irkutsk State University; Irkutsk State University</t>
  </si>
  <si>
    <t>Igumnova, L (corresponding author), Irkutsk State Univ, Hist, K Marx St 1, Irkutsk 664003, Russia.;Igumnova, L (corresponding author), Irkutsk State Univ, Dept Polit Sci Hist &amp; Reg Studies, K Marx St 1, Irkutsk 664003, Russia.</t>
  </si>
  <si>
    <t>lyudmila.o.igumnova@gmail.com</t>
  </si>
  <si>
    <t>Igumnova, Lyudmila/0000-0002-1737-4995</t>
  </si>
  <si>
    <t>ROSSIISKAYA AKAD NAUK, INST EVROPY</t>
  </si>
  <si>
    <t>MOSCOW</t>
  </si>
  <si>
    <t>MOKHOVAYA UL DOM 11, STR 3B, MOSCOW, 125993, RUSSIA</t>
  </si>
  <si>
    <t>0201-7083</t>
  </si>
  <si>
    <t>CONTEMP EUR</t>
  </si>
  <si>
    <t>Contemp. Eur.</t>
  </si>
  <si>
    <t>NOV-DEC</t>
  </si>
  <si>
    <t>FV4QW</t>
  </si>
  <si>
    <t>WOS:000424560800010</t>
  </si>
  <si>
    <t>Jungblut, M; Haim, M</t>
  </si>
  <si>
    <t>Jungblut, Marc; Haim, Mario</t>
  </si>
  <si>
    <t>Visual Gender Stereotyping in Campaign Communication: Evidence on Female and Male Candidate Imagery in 28 Countries</t>
  </si>
  <si>
    <t>automated content analysis; gender stereotypes; European election; computational vision; visual politics</t>
  </si>
  <si>
    <t>WOMEN CANDIDATES; PRESS COVERAGE; FACE-ISM; MEDIA; NEWS; SEX; MEN; POLITICIANS; PERCEPTIONS; STRATEGIES</t>
  </si>
  <si>
    <t>Using the case of the 2019 European election, the study compares the visual self-depiction of female and male political candidates from all European Union's 28 member states on social networking sites and their depiction in the news coverage. It thereby investigates to what degree the news coverage and politicians' self-depiction employs visual gender stereotypes. Moreover, the study presents results on differences in the depiction of male and female candidates across party lines. With the help of computational vision, we demonstrate that, while differences between progressive and conservative candidates are scarce, there are clear differences in the depiction of female and male politicians. These differences resemble emotional gender stereotypes, especially since women are more often depicted as happy. Overall, the study demonstrates that female political communication is still distinct from male political communication for both their self-representation as well as the media's portrayal of political candidates.</t>
  </si>
  <si>
    <t>[Jungblut, Marc] Ludwig Maximilians Univ Munchen, Dept Media &amp; Commun, Oettingenstr 67, D-80538 Munich, Germany; [Haim, Mario] Univ Leipzig, Inst Commun &amp; Media Studies, Data Journalism, Leipzig, Germany</t>
  </si>
  <si>
    <t>University of Munich; Leipzig University</t>
  </si>
  <si>
    <t>Jungblut, M (corresponding author), Ludwig Maximilians Univ Munchen, Dept Media &amp; Commun, Oettingenstr 67, D-80538 Munich, Germany.</t>
  </si>
  <si>
    <t>10.1177/00936502211023333</t>
  </si>
  <si>
    <t>SW5QQ</t>
  </si>
  <si>
    <t>WOS:000664570100001</t>
  </si>
  <si>
    <t>Maurer, P; Diehl, T</t>
  </si>
  <si>
    <t>Maurer, Peter; Diehl, Trevor</t>
  </si>
  <si>
    <t>What kind of populism? Tone and targets in the Twitter discourse of French and American presidential candidates</t>
  </si>
  <si>
    <t>Automated content analysis; comparative; France; populism; populist communication; presidential elections; Twitter; US</t>
  </si>
  <si>
    <t>POLITICAL COMMUNICATION STYLE; SOCIAL MEDIA; SENTIMENT; PARTIES; LEADERS; US</t>
  </si>
  <si>
    <t>Insurgent candidates from across the political spectrum are increasingly turning to social media to directly engage the public. Social media offer a platform that favours affect and personality, both key components of populist-style rhetoric, a label that is often attached to politicians outside the political establishment. Despite noteworthy exceptions, few cross-national studies of high-profile candidates' use of social media exist, and even less is known about how candidates representing various political ideologies employ affect alongside populism. To advance the state-of-the-art, this study examines the sentiment and rhetorical targets of attack in the Twitter feeds (N = 25,825 tweets) of six presidential candidates in the United States and French election campaigns of 2016 and 2017. Employing dictionary-based quantitative analysis, the study finds variation among the candidates' rhetoric in terms of how they employ populist themes, affect and ideology. The findings suggest that scholars should consider a more nuanced approach to populism in late-modern democracies.</t>
  </si>
  <si>
    <t>[Maurer, Peter] Norwegian Univ Sci &amp; Technol, Trondheim, Norway; [Maurer, Peter] Univ Trier, Trier, Germany; [Diehl, Trevor] Cent Michigan Univ, Mt Pleasant, MI 48859 USA</t>
  </si>
  <si>
    <t>Norwegian University of Science &amp; Technology (NTNU); Universitat Trier; Central Michigan University</t>
  </si>
  <si>
    <t>Maurer, P (corresponding author), Univ Trier, Medienwissensch, Fachbereich 2, D-54286 Trier, Germany.</t>
  </si>
  <si>
    <t>maurer@uni-trier.de</t>
  </si>
  <si>
    <t>Maurer, Peter/0000-0001-6023-7366</t>
  </si>
  <si>
    <t>10.1177/0267323120909288</t>
  </si>
  <si>
    <t>NV8AZ</t>
  </si>
  <si>
    <t>WOS:000523778700001</t>
  </si>
  <si>
    <t>Gonen, Y; Tenenboim-Weinblatt, K; Kampf, Z</t>
  </si>
  <si>
    <t>Gonen, Yonatan; Tenenboim-Weinblatt, Keren; Kampf, Zohar</t>
  </si>
  <si>
    <t>Mediating the opponent's news: A study of inter-media citations in the Israeli-Palestinian conflict</t>
  </si>
  <si>
    <t>MEDIA WAR AND CONFLICT</t>
  </si>
  <si>
    <t>automated content analysis; comparative analysis; conflict news; Israeli-Palestinian conflict; sources</t>
  </si>
  <si>
    <t>PEACE JOURNALISM; COVERAGE; WAR; PERFORMANCE; DYNAMICS</t>
  </si>
  <si>
    <t>By using information sources from the opponent's side, the media can introduce alternative viewpoints and broaden the discussion on the conflict. One important information source that has received little attention in research is the other side's media reports. This study explores the practice of inter-media citations by analyzing Israeli and Palestinian news reports published over a span of 10 years. Based on a computerized quantitative analysis of 235,340 media texts, the authors show how the weaker (Palestinian) side relies more heavily on the media of the stronger side (Israel) than vice versa. During escalations or negotiations, the rate of use of inter-media citations is significantly higher than during routine periods. Furthermore, two main characteristics of a media source make it more likely to be cited: political agenda and accessibility. The authors discuss the factors shaping the phenomenon of inter-media citations and the implications of this practice for conflict coverage.</t>
  </si>
  <si>
    <t>[Gonen, Yonatan; Tenenboim-Weinblatt, Keren] Hebrew Univ Jerusalem, Dept Commun &amp; Journalism, IL-9190501 Jerusalem, Israel; [Kampf, Zohar] Hebrew Univ Jerusalem, Commun, Jerusalem, Israel</t>
  </si>
  <si>
    <t>Hebrew University of Jerusalem; Hebrew University of Jerusalem</t>
  </si>
  <si>
    <t>Gonen, Y (corresponding author), Hebrew Univ Jerusalem, Dept Commun &amp; Journalism, IL-9190501 Jerusalem, Israel.</t>
  </si>
  <si>
    <t>yonatan.gonen@mail.huji.ac.il</t>
  </si>
  <si>
    <t>European Union [613308]</t>
  </si>
  <si>
    <t>This work was supported by the European Union's 7th Framework Program for Research, Technological Development &amp; Demonstration, Grant No. 613308 (INFOCORE), and there is no conflict of interest.</t>
  </si>
  <si>
    <t>1750-6352</t>
  </si>
  <si>
    <t>1750-6360</t>
  </si>
  <si>
    <t>MEDIA WAR CONFL</t>
  </si>
  <si>
    <t>Media War Confl.</t>
  </si>
  <si>
    <t>10.1177/1750635220953656</t>
  </si>
  <si>
    <t>3S4YN</t>
  </si>
  <si>
    <t>WOS:000571061300001</t>
  </si>
  <si>
    <t>Vermeer, S; Trilling, D; Kruikemeier, S; de Vreese, C</t>
  </si>
  <si>
    <t>Vermeer, Susan; Trilling, Damian; Kruikemeier, Sanne; de Vreese, Claes</t>
  </si>
  <si>
    <t>Online News User Journeys: The Role of Social Media, News Websites, and Topics</t>
  </si>
  <si>
    <t>Online news consumption; social media; political news; entertainment news; Markov chains; supervised machine learning</t>
  </si>
  <si>
    <t>WEB ANALYTICS; CONSUMPTION; EXPOSURE; IMPACT; AUDIENCE; ENTERTAINMENT; PLATFORMS; KNOWLEDGE; PATTERNS; TRACKING</t>
  </si>
  <si>
    <t>The complexity and diversity of today's media landscape provides many challenges for scholars studying online news consumption. Yet it is unclear how news consumers navigate online. Moving forward, we used a custom-built browser plug-in-passively tracking Dutch online news consumers 24/7-to examine how context (website) and content (news topic) features affect patterns of online news consumption. This resulted in a data set containing more than one million Web pages, from 175 websites (news websites, search engines, social media), collected over 8 months in 2017/18. We used automated content analysis to retrieve news topics, and estimated Markov chains to detect consumption patterns. Our findings indicate that news consumers often directly visit their favorite (typically mainstream) news outlet, and continue browsing within that outlet. We also found a strong preference for entertainment news over any other topic. Although social media often offer entertainment news, they are not necessarily the starting point to such news.</t>
  </si>
  <si>
    <t>[Vermeer, Susan; Trilling, Damian; Kruikemeier, Sanne; de Vreese, Claes] Univ Amsterdam, Amsterdam Sch Commun Res ASCoR, Amsterdam, Netherlands</t>
  </si>
  <si>
    <t>Vermeer, S (corresponding author), Univ Amsterdam, Amsterdam Sch Commun Res ASCoR, Amsterdam, Netherlands.</t>
  </si>
  <si>
    <t>s.a.m.vermeer@uva.nl</t>
  </si>
  <si>
    <t>Kruikemeier, Sanne/0000-0002-8053-8200; Trilling, Damian/0000-0002-2586-0352</t>
  </si>
  <si>
    <t>Research Priority Area `Personalised Communication' of the University of Amsterdam; SURF Foundation</t>
  </si>
  <si>
    <t>The research was supported by the Research Priority Area `Personalised Communication' of the University of Amsterdam. The work was carried out on the Dutch national e-infrastructure with the support of SURF Foundation.</t>
  </si>
  <si>
    <t>NOV 12</t>
  </si>
  <si>
    <t>10.1080/21670811.2020.1767509</t>
  </si>
  <si>
    <t>PA5MQ</t>
  </si>
  <si>
    <t>WOS:000546012300001</t>
  </si>
  <si>
    <t>Kruikemeier, S; Vermeer, S; Metoui, N; Dobber, T; Zarouali, B</t>
  </si>
  <si>
    <t>Kruikemeier, Sanne; Vermeer, Susan; Metoui, Nadia; Dobber, Tom; Zarouali, Brahim</t>
  </si>
  <si>
    <t>(Tar)getting you: The use of online political targeted messages on Facebook</t>
  </si>
  <si>
    <t>BIG DATA &amp; SOCIETY</t>
  </si>
  <si>
    <t>Political Communication; Targeted Messages; Facebook; United States; Automated Content Analysis</t>
  </si>
  <si>
    <t>ISSUE OWNERSHIP; COMMUNICATION; CAMPAIGNS</t>
  </si>
  <si>
    <t>This study examines how mainstream political actors and other organizations use political targeted messages. For this purpose, a data set from ProPublica is used. The study examines 55,918 sponsored Facebook ads that were posted by 236 political actors (i.e., political elites and other organizations) in the United States. (1) Topic classification was used to identify policy issues, (2) network analysis to identify the main policy issues from the various political actors, and (3) Sankey diagrams to visualize microtargeted messages. Our findings indicate that actors focus on traditionally owned issues (i.e., the Democratic Party: environmental policy, social issues, and social welfare; the Republican Party: foreign affairs, law, and government finances). No clear evidence for a focus on wedge issues can be found, however, some first indications (e.g., a focus on reproductive rights, LGBTQ+) are present in a targeted media environment. All in all, the current study helps us to understand in what way political actors deploy targeted messages.</t>
  </si>
  <si>
    <t>[Kruikemeier, Sanne; Vermeer, Susan; Metoui, Nadia; Dobber, Tom; Zarouali, Brahim] Univ Amsterdam, Amsterdam Sch Commun Res, Amsterdam, Netherlands</t>
  </si>
  <si>
    <t>Kruikemeier, S (corresponding author), Univ Amsterdam, Amsterdam Sch Commun Res, Amsterdam, Netherlands.</t>
  </si>
  <si>
    <t>sanne.kruikemeier@wur.nl</t>
  </si>
  <si>
    <t>Dobber, Tom/0000-0002-6657-4037; Zarouali, Brahim/0000-0003-1042-4635; Kruikemeier, Sanne/0000-0002-8053-8200; Vermeer, Susan/0000-0002-9829-8057</t>
  </si>
  <si>
    <t>2053-9517</t>
  </si>
  <si>
    <t>BIG DATA SOC</t>
  </si>
  <si>
    <t>Big Data Soc.</t>
  </si>
  <si>
    <t>10.1177/20539517221089626</t>
  </si>
  <si>
    <t>3P3RB</t>
  </si>
  <si>
    <t>WOS:000837455700001</t>
  </si>
  <si>
    <t>Gretzel, U; Xiang, Z; Wober, K; Fesenmaier, DR</t>
  </si>
  <si>
    <t>Woodside, AG; Martin, D</t>
  </si>
  <si>
    <t>Gretzel, Ulrike; Xiang, Zheng (Phil); Woeber, Karl; Fesenmaier, Daniel R.</t>
  </si>
  <si>
    <t>Deconstructing Destination Perceptions, Experiences, Stories and Internet Search: Text Analysis in Tourism Research</t>
  </si>
  <si>
    <t>TOURISM MANAGEMENT: ANALYSIS, BEHAVIOUR AND STRATEGY</t>
  </si>
  <si>
    <t>This chapter provides an overview of developments which have resulted in an increased availability of text data, thereby creating greater interest in analysing text in the context of tourism. The first section of the chapter discusses different approaches to text analysis. Specifically, the chapter compares and contrasts qualitative and quantitative text analysis. Next, the chapter describes computer-assisted approaches and presents various representational techniques. The second section introduces four case studies to illustrate the depth and breadth of applications of text analysis in tourism research. The first case study employs a causal mapping technique to assess the changing market structure as perceived by managers in incentive travel. The second case study uses a hermeneutic approach to interpret consumers' perceptions of memorable experiences at a Midwest destination in the USA. The third case study applies quantitative analytical techniques to compare the language people use to describe their dining experiences at different types of restaurants. The fourth and final case study uses search keywords to identify the nature of competition between European cities. The chapter concludes with a discussion on the growing significance of text analysis in tourism as well as several important research challenges yet to overcome.</t>
  </si>
  <si>
    <t>[Gretzel, Ulrike] Texas A&amp;M Univ, Dept Recreat Pk &amp; Tourism Sci, College Stn, TX 77843 USA; [Xiang, Zheng (Phil)] Univ N Texas, Sch Merchandising &amp; Hospitality Management, Denton, TX 76203 USA; [Woeber, Karl] Vienna Univ Econ &amp; Business Adm, Inst Tourismus &amp; Freizeitwirtschaft, A-1090 Vienna, Austria</t>
  </si>
  <si>
    <t>Texas A&amp;M University System; Texas A&amp;M University College Station; University of North Texas System; University of North Texas Denton; Vienna University of Economics &amp; Business</t>
  </si>
  <si>
    <t>Gretzel, U (corresponding author), Texas A&amp;M Univ, Dept Recreat Pk &amp; Tourism Sci, College Stn, TX 77843 USA.</t>
  </si>
  <si>
    <t>ugretzel@tamu.edu; drfez@temple.edu</t>
  </si>
  <si>
    <t>Fesenmaier, Daniel R./HDM-0912-2022; Fesenmaier, Daniel/AAO-9250-2020; Gretzel, Ulrike/H-3848-2019</t>
  </si>
  <si>
    <t>Fesenmaier, Daniel R./0000-0003-4829-8056; Gretzel, Ulrike/0000-0001-8416-1829</t>
  </si>
  <si>
    <t>CABI PUBLISHING-C A B INT</t>
  </si>
  <si>
    <t>WALLINGFORD</t>
  </si>
  <si>
    <t>CABI PUBLISHING, WALLINGFORD 0X10 8DE, OXON, ENGLAND</t>
  </si>
  <si>
    <t>978-1-84593-323-4</t>
  </si>
  <si>
    <t>10.1079/9781845933234.0339</t>
  </si>
  <si>
    <t>10.1079/9781845933234.0000</t>
  </si>
  <si>
    <t>BWD01</t>
  </si>
  <si>
    <t>WOS:000293557400020</t>
  </si>
  <si>
    <t>Kirilenko, AP; Stepchenkova, SO; Dai, XY</t>
  </si>
  <si>
    <t>Kirilenko, Andrei P.; Stepchenkova, Svetlana O.; Dai, Xiangyi</t>
  </si>
  <si>
    <t>Automated topic modeling of tourist reviews: Does the Anna Karenina principle apply?</t>
  </si>
  <si>
    <t>TOURISM MANAGEMENT</t>
  </si>
  <si>
    <t>Traveler satisfaction; Latent Dirichlet allocation; Anna Karenina principle; TripAdvisor; Social media</t>
  </si>
  <si>
    <t>USER-GENERATED CONTENT; BIG DATA; INFORMATION SEARCH; DESTINATION IMAGE; SOCIAL MEDIA; ONLINE; ANALYTICS; SATISFACTION; HOSPITALITY; CLASSIFICATION</t>
  </si>
  <si>
    <t>Automated content analysis of online travel reviews allows identification of topics of travelers' satisfaction, yet its domain is not well researched. We suggest that the Anna Karenina principle positing a greater variability of the factors leading to business failure as opposed to those leading to success can be applied to the domain of visitors' reviews of historic and cultural attractions. The larger variability of issues in reviews of dissatisfied visitors is likely to result in limitations for automated topic modeling. We confirm our proposition using TripAdvisor reviews of the Terracotta Army museum in China, and validate the outcome with two additional sites. The study strongly suggests that application of unsupervised topic mining algorithms to negative reviews may be problematic and the results should be treated with caution. The main themes of dissatisfaction of visitors to all three sites are reported and practical implications for management of the attractions are discussed.</t>
  </si>
  <si>
    <t>[Kirilenko, Andrei P.; Stepchenkova, Svetlana O.] Univ Florida, Dept Tourism Hospitality &amp; Event Management, Coll Hlth &amp; Human Performance, POB 118208, Gainesville, FL 32611 USA; [Dai, Xiangyi] Capital Normal Univ, Coll Resource Environm &amp; Tourism, 105 North Rd,West 3rd Ring Rd, Beijing 100048, Peoples R China</t>
  </si>
  <si>
    <t>State University System of Florida; University of Florida; Capital Normal University</t>
  </si>
  <si>
    <t>Kirilenko, AP (corresponding author), Univ Florida, Dept Tourism Hospitality &amp; Event Management, Coll Hlth &amp; Human Performance, POB 118208, Gainesville, FL 32611 USA.</t>
  </si>
  <si>
    <t>andrei.kirilenko@ufl.edu; svetlana.step@ufl.edu; realnae@126.com</t>
  </si>
  <si>
    <t>Kirilenko, Andrei/0000-0001-6372-5904; dai, xiangyi/0000-0002-1304-0189</t>
  </si>
  <si>
    <t>0261-5177</t>
  </si>
  <si>
    <t>1879-3193</t>
  </si>
  <si>
    <t>TOURISM MANAGE</t>
  </si>
  <si>
    <t>Tourism Manage.</t>
  </si>
  <si>
    <t>10.1016/j.tourman.2020.104241</t>
  </si>
  <si>
    <t>Environmental Studies; Hospitality, Leisure, Sport &amp; Tourism; Management</t>
  </si>
  <si>
    <t>Environmental Sciences &amp; Ecology; Social Sciences - Other Topics; Business &amp; Economics</t>
  </si>
  <si>
    <t>PB5ON</t>
  </si>
  <si>
    <t>WOS:000596370300014</t>
  </si>
  <si>
    <t>de Leeuw, SE; Azrout, R; Rekker, RSB; Van Spanje, JHP</t>
  </si>
  <si>
    <t>de Leeuw, Sjifra E.; Azrout, Rachid; Rekker, Roderik S. B.; Van Spanje, Joost H. P.</t>
  </si>
  <si>
    <t>After All This Time? The Impact of Media and Authoritarian History on Political News Coverage in Twelve Western Countries</t>
  </si>
  <si>
    <t>Models of Journalism; Media Systems; Authoritarian Legacies; Comparative Research; Systematic Content Analysis</t>
  </si>
  <si>
    <t>FRENCH; PRESS</t>
  </si>
  <si>
    <t>Historical classifications of journalistic traditions are the backbone of comparative explanations for political news coverage. This study assesses the validity of the dominant media systems framework and proposes and tests a novel framework, which states that a history of authoritarianism affects today's coverage. To facilitate a clean cross-national comparison, we focus on the same person and measurement in 12 Western democracies, that is, the use of the pejorative terms sexist, racist, dictator, and equivalents to describe Donald Trump. Our manually validated automated content analysis (2016-2018; N = 27,830) shows that content varies along with countries' media and authoritarian history: pejoration is more common in countries with a polarized pluralist media system and former authoritarian countries than elsewhere. Newspapers' ideology does not matter, irrespective of countries' level of political parallelism or experiences with authoritarianism. Combined, we provide new methodological and theoretical handles to further comparative communication research in Western democracies.</t>
  </si>
  <si>
    <t>[de Leeuw, Sjifra E.; Azrout, Rachid; Rekker, Roderik S. B.; Van Spanje, Joost H. P.] Univ Amsterdam, Amsterdam Sch Commun Res, Dept Commun Sci, Amsterdam, Netherlands</t>
  </si>
  <si>
    <t>de Leeuw, SE (corresponding author), Univ Amsterdam, Amsterdam Sch Commun Res, Dept Commun Sci, Amsterdam, Netherlands.</t>
  </si>
  <si>
    <t>s.e.deleeuw@uva.nl</t>
  </si>
  <si>
    <t>Azrout, Rachid/AHD-0057-2022</t>
  </si>
  <si>
    <t>de Leeuw, Sjifra/0000-0002-8861-8942</t>
  </si>
  <si>
    <t>Netherlands Organisation for Scientific Research [452-14-002]; University of Amsterdam School of Communication Research (ASCoR); University of Amsterdam Center for European Studies (ACES)</t>
  </si>
  <si>
    <t>Netherlands Organisation for Scientific Research(Netherlands Organization for Scientific Research (NWO)); University of Amsterdam School of Communication Research (ASCoR); University of Amsterdam Center for European Studies (ACES)</t>
  </si>
  <si>
    <t>This work is generously supported by the Netherlands Organisation for Scientific Research (Grant 452-14-002 to Joost van Spanje), the University of Amsterdam School of Communication Research (ASCoR), and the University of Amsterdam Center for European Studies (ACES).</t>
  </si>
  <si>
    <t>10.1093/joc/jqaa029</t>
  </si>
  <si>
    <t>PR3TT</t>
  </si>
  <si>
    <t>WOS:000607162100007</t>
  </si>
  <si>
    <t>Fleig, A; Tosun, J</t>
  </si>
  <si>
    <t>Fleig, Andreas; Tosun, Jale</t>
  </si>
  <si>
    <t>Political Parties' Rhetoric Signaling of Sustainable Development</t>
  </si>
  <si>
    <t>SUSTAINABLE DEVELOPMENT</t>
  </si>
  <si>
    <t>content analysis; election manifestos; political parties; signaling; sustainability</t>
  </si>
  <si>
    <t>ENVIRONMENTAL-POLICY INTEGRATION; ENERGY-POLICY; EU; PREFERENCES; COMPETITION; POSITIONS; FRAMEWORK; CRISIS; VOTERS; ISSUES</t>
  </si>
  <si>
    <t>This study analyzes how frequently political parties in Austria, Germany, Ireland, the United Kingdom and Switzerland referred to the concept of sustainable development in their manifestos for national elections from 1976 to 2011. Has the frequency of reference to the concept grown over time? Does an increase in frequency still allow for a clear demarcation between political parties representing different ideologies? These two research questions guide our empirical analysis, which strives to integrate sustainability research with comparative politics. Using automated content analysis, we demonstrate that all political parties - irrespective of their placement on the ideology scale - have made increasing rhetoric use of sustainable development over time. Our findings indicate that sustainable development does not serve as a dimension for competition among political parties. Since all political parties send the same rhetoric signals, voters must rely on alternative voting cues than a parties' rhetorical reference to the concept of sustainable development. Copyright (c) 2017 John Wiley &amp; Sons, Ltd and ERP Environment</t>
  </si>
  <si>
    <t>[Fleig, Andreas; Tosun, Jale] Heidelberg Univ, Inst Polit Sci, Heidelberg, Germany</t>
  </si>
  <si>
    <t>Ruprecht Karls University Heidelberg</t>
  </si>
  <si>
    <t>Tosun, J (corresponding author), Heidelberg Univ, Inst Polit Sci, Heidelberg, Germany.</t>
  </si>
  <si>
    <t>jale.tosun@ipw.uni-heidelberg.de</t>
  </si>
  <si>
    <t>Tosun, Jale/0000-0001-9367-5039</t>
  </si>
  <si>
    <t>0968-0802</t>
  </si>
  <si>
    <t>1099-1719</t>
  </si>
  <si>
    <t>SUSTAIN DEV</t>
  </si>
  <si>
    <t>Sustain. Dev.</t>
  </si>
  <si>
    <t>10.1002/sd.1672</t>
  </si>
  <si>
    <t>Development Studies; Green &amp; Sustainable Science &amp; Technology; Regional &amp; Urban Planning</t>
  </si>
  <si>
    <t>Development Studies; Science &amp; Technology - Other Topics; Public Administration</t>
  </si>
  <si>
    <t>FJ4DJ</t>
  </si>
  <si>
    <t>WOS:000412685000006</t>
  </si>
  <si>
    <t>Williams, NL; Inversini, A; Ferdinand, N; Buhalis, D</t>
  </si>
  <si>
    <t>Williams, Nigel L.; Inversini, Alessandro; Ferdinand, Nicole; Buhalis, Dimitrios</t>
  </si>
  <si>
    <t>Destination eWOM: A macro and meso network approach?</t>
  </si>
  <si>
    <t>ANNALS OF TOURISM RESEARCH</t>
  </si>
  <si>
    <t>Destination eWOM; eWOM; Social media; Twitter; Social network analysis; Text analysis; Digital marketing</t>
  </si>
  <si>
    <t>USER-GENERATED CONTENT; WORD-OF-MOUTH; SOCIAL MEDIA; EXPLORATORY ANALYSIS; TOURISM; INFORMATION; TRAVEL; COMMUNITY; ONLINE; CREDIBILITY</t>
  </si>
  <si>
    <t>The purpose of this paper is to develop a framework that describes the characteristics and the underlying drivers of publically shared electronic word-of-mouth (eWOM) for destinations. Tweets about a destination were collected while the destination hosted a hallmark event over a 5-year period (2011-2015). In each year, interactions on Twitter were analysed using macro and meso-level social network analysis to identify the network structure and hubs of eWOM activity. A K means clustering algorithm was then applied to create clusters of nodes with similar characteristics and eWOM content within each cluster was analysed using automated content analysis. The resulting model indicates that destination and event eWOM maintains a macro network structure in which a small number of accounts or hubs influence information sharing. Hub characteristics evolve over time, whereas eWOM content can fluctuate in response to emergent destination activities. (C) 2017 The Authors. Published by Elsevier Ltd.</t>
  </si>
  <si>
    <t>[Williams, Nigel L.] Bournemouth Univ, Fac Management, Dept Leadership Strategy &amp; Org, Talbot Campus, Poole BH12 5BB, Dorset, England; [Inversini, Alessandro] Univ Reading, Henley Business Sch, Greenlands Campus, Henley On Thames RG9 3AU, England; [Ferdinand, Nicole] Bournemouth Univ, Fac Management, Dept Events &amp; Leisure, Talbot Campus, Poole BH12 5BB, Dorset, England; [Buhalis, Dimitrios] Bournemouth Univ, Fac Management, Dept Tourism &amp; Hospitality, Talbot Campus, Poole BH12 5BB, Dorset, England</t>
  </si>
  <si>
    <t>Bournemouth University; University of Reading; Bournemouth University; Bournemouth University</t>
  </si>
  <si>
    <t>Williams, NL (corresponding author), Bournemouth Univ, Fac Management, Dept Leadership Strategy &amp; Org, Talbot Campus, Poole BH12 5BB, Dorset, England.</t>
  </si>
  <si>
    <t>nwilliams@bournemouth.ac.uk</t>
  </si>
  <si>
    <t>Buhalis, Dimitrios/C-2045-2008; Inversini, Alessandro/AAJ-3797-2020</t>
  </si>
  <si>
    <t>Buhalis, Dimitrios/0000-0001-9148-6090; Ferdinand, Nicole/0000-0003-1784-7585; Inversini, Alessandro/0000-0003-3666-6851</t>
  </si>
  <si>
    <t>0160-7383</t>
  </si>
  <si>
    <t>1873-7722</t>
  </si>
  <si>
    <t>ANN TOURISM RES</t>
  </si>
  <si>
    <t>Ann. Touris. Res.</t>
  </si>
  <si>
    <t>10.1016/j.annals.2017.02.007</t>
  </si>
  <si>
    <t>Hospitality, Leisure, Sport &amp; Tourism; Sociology</t>
  </si>
  <si>
    <t>EV3RD</t>
  </si>
  <si>
    <t>Green Accepted, Green Published, hybrid</t>
  </si>
  <si>
    <t>WOS:000401675900008</t>
  </si>
  <si>
    <t>Mapping Emerging and Legacy Outlets Online by Their Democratic Functions-Agonistic, Deliberative, or Corrosive?</t>
  </si>
  <si>
    <t>agonistic pluralism; automated content analysis; deliberation; migration discourse; public sphere; webscraping</t>
  </si>
  <si>
    <t>IMMIGRATION; COMMUNICATION; CITIZENSHIP; NEWS</t>
  </si>
  <si>
    <t>In this study, we offer a novel approach to research on migration reporting by focusing on the argumentative substance prevalent in different online outlets. Taking German refugee policy as our case in point we map the role that moral, ethical-cultural, legal, and pragmatic argumentations play within journalistic, partisan, and activist outlets; and how these coincide with incivility and impoliteness. Using dictionary-based content analysis on a data set of 34,819 articles from thirty online news outlets published between April 10, 2017, and April 10, 2018, we find that legacy mainstream media, partisan media, and activist media perform vastly different functions for the larger public sphere. We observe that human rights activist media perform an advocatory function by making the moral case for refugees, whereas corrosive partisan media at the fringe-particularly within the contra-refugee camp-often present opponents as inherently illegitimate enemies. Implications for public sphere theory and directions for future research on emerging and legacy media are discussed.</t>
  </si>
  <si>
    <t>[Freudenthaler, Rainer] Univ Mannheim, Inst Media &amp; Commun Studies, Mannheim, Baden Wurttembe, Germany; [Wessler, Hartmut] Univ Mannheim, Media &amp; Commun Studies, Mannheim, Baden Wurttembe, Germany</t>
  </si>
  <si>
    <t>University of Mannheim; University of Mannheim</t>
  </si>
  <si>
    <t>Freudenthaler, R (corresponding author), Univ Mannheim, B6,30-32, D-68159 Mannheim, Baden Wurttembe, Germany.</t>
  </si>
  <si>
    <t>10.1177/19401612211015077</t>
  </si>
  <si>
    <t>ZD1GB</t>
  </si>
  <si>
    <t>WOS:000649333700001</t>
  </si>
  <si>
    <t>Eckhaus, E; Sheaffer, Z</t>
  </si>
  <si>
    <t>Eckhaus, Eyal; Sheaffer, Zachary</t>
  </si>
  <si>
    <t>Managerial hubris detection: the case of Enron</t>
  </si>
  <si>
    <t>RISK MANAGEMENT-AN INTERNATIONAL JOURNAL</t>
  </si>
  <si>
    <t>Hubris; Leadership; Enron; Natural language processing; Risk</t>
  </si>
  <si>
    <t>AUTOMATED CONTENT-ANALYSIS; EARLY WARNING SYSTEM; SENTIMENT ANALYSIS; IMPRESSION MANAGEMENT; EXECUTIVE HUBRIS; RISK-TAKING; TEXT; SELF; COMMUNICATION; INTEGRATION</t>
  </si>
  <si>
    <t>Hubris is a known risk for leadership failure. We show that hubristic tendencies can be detected semantically ex-ante in textual reports, and offer a novel methodology aimed at detecting real-time hubristic propensities. The methodology employs text mining based on natural language processing (NLP) on Enron email corpus. NLP can capture information about employees and predict change patterns. Employing NLP real-time mechanism, Enron executives' hubristic tendencies were detected. Findings indicate that hubristic expressions amongst senior executives are significantly more frequent than amongst their non-senior counterparts, and that the frequency of hubristic expressions increases the closer one gets to Enron's collapse. Whilst both Enron's CEO's were hubristic, we found Skilling to be typified with severer hubris. Our study is the first to employ NLP real-time analytical process to detect the hubris disposition. Predicated on Enron's case study, we demonstrate the methodology's strengths, notably immediate recognition of accumulated symptoms and prevalence.</t>
  </si>
  <si>
    <t>[Eckhaus, Eyal; Sheaffer, Zachary] Ariel Univ, Dept Econ &amp; Business Adm, Ariel, Israel</t>
  </si>
  <si>
    <t>Ariel University</t>
  </si>
  <si>
    <t>Eckhaus, E (corresponding author), Ariel Univ, Dept Econ &amp; Business Adm, Ariel, Israel.</t>
  </si>
  <si>
    <t>eyale@ariel.ac.il; zacharys@ariel.ac.il</t>
  </si>
  <si>
    <t>Eckhaus, Eyal/AAX-2557-2020</t>
  </si>
  <si>
    <t>Eckhaus, Eyal/0000-0002-1815-0045</t>
  </si>
  <si>
    <t>1460-3799</t>
  </si>
  <si>
    <t>1743-4637</t>
  </si>
  <si>
    <t>RISK MANAG-UK</t>
  </si>
  <si>
    <t>Risk Manag.</t>
  </si>
  <si>
    <t>10.1057/s41283-018-0037-0</t>
  </si>
  <si>
    <t>HG9RH</t>
  </si>
  <si>
    <t>WOS:000455345800002</t>
  </si>
  <si>
    <t>Manucci, L; Amsler, M</t>
  </si>
  <si>
    <t>Manucci, Luca; Amsler, Michi</t>
  </si>
  <si>
    <t>Where the wind blows: Five Star Movement's populism, direct democracy and ideological flexibility</t>
  </si>
  <si>
    <t>populism; direct democracy; ideology; political discourse</t>
  </si>
  <si>
    <t>EUROSCEPTICISM</t>
  </si>
  <si>
    <t>The paper focusses on the online political discourse of the Five Star Movement (5SM) and its strategic adaptability. The main goal of the analysis is to establish how salient several topics are over time in order to test the party's ideological flexibility. Indeed, 5SM's post-ideological approach and its emphasis on direct-democratic tools might constitute a winning formula for other populist parties willing to exploit the crisis of the mainstream parties and representation. The paper, through an automated content analysis, tracks the longitudinal evolution of the salience of the topics addressed by 5SM on the party's blog. This allows us to establish which topics are at the core of the party's message and which, on the other hand, have been raised strategically over time. Results show that 5SM's discourse is very flexible and adaptable: it devotes a large space to the importance of direct democracy while flexibly addressing different topics depending on the political and social context.</t>
  </si>
  <si>
    <t>[Manucci, Luca] Univ Zurich, Inst Polit Sci, NCCR Democracy, Zurich, Switzerland; [Amsler, Michi] Univ Zurich, Inst Computat Linguist, Zurich, Switzerland</t>
  </si>
  <si>
    <t>Manucci, L (corresponding author), Univ Zurich, Inst Polit Sci, NCCR Democracy, Zurich, Switzerland.</t>
  </si>
  <si>
    <t>luca.manucci@nccr-democracy.uzh.ch</t>
  </si>
  <si>
    <t>manucci, luca/0000-0002-6695-518X</t>
  </si>
  <si>
    <t>10.1017/ipo.2017.23</t>
  </si>
  <si>
    <t>GK7BU</t>
  </si>
  <si>
    <t>WOS:000436349700006</t>
  </si>
  <si>
    <t>Dumouchel, D</t>
  </si>
  <si>
    <t>Dumouchel, David</t>
  </si>
  <si>
    <t>Non-linear agenda-building: The impacts of media storms during the 2015 Canadian election</t>
  </si>
  <si>
    <t>media storms; electoral campaigns; agenda-building; political parties; mass media</t>
  </si>
  <si>
    <t>ISSUE OWNERSHIP; FOCUSING EVENTS; SETTING POWER; CAMPAIGNS; PARTY; NEWS; CONSTRUCTION; INFORMATION; COMPETITION; COVERAGE</t>
  </si>
  <si>
    <t>A common limitation of most analyses of electoral agenda-building dynamics is that they tend to operate under the assumption that the underlying dynamics between the political actors' and the media's agendas are more or less stable across time. Drawing upon recent work on media storms, I theorize that political parties have considerably less influence in periods that are characterized by sudden and explosive increases in media coverage of a particular issue. Using an automated content analysis built around a custom-made dictionary, I examine how parties' electoral agenda-building efficiency was affected by media storms during the 2015 Canadian federal election. My results support the idea that storm periods diminish parties' influence on the following day's media agenda, as the impact of parties' daily issue attention tend to be weaker. These findings demonstrate the non-linearity of electoral agenda-building dynamics and imply that some electoral contexts are less conducive to political actors' influence.</t>
  </si>
  <si>
    <t>[Dumouchel, David] Univ Montreal, CP 6128,Succ Ctr Ville, Montreal, PQ H3C 3J7, Canada</t>
  </si>
  <si>
    <t>Universite de Montreal</t>
  </si>
  <si>
    <t>Dumouchel, D (corresponding author), Univ Montreal, CP 6128,Succ Ctr Ville, Montreal, PQ H3C 3J7, Canada.</t>
  </si>
  <si>
    <t>d.dumouchel@umontreal.ca</t>
  </si>
  <si>
    <t>Dumouchel, David/0000-0003-0023-7932</t>
  </si>
  <si>
    <t>10.1177/13540688221122313</t>
  </si>
  <si>
    <t>SEP 2022</t>
  </si>
  <si>
    <t>4S9TV</t>
  </si>
  <si>
    <t>WOS:000857774600001</t>
  </si>
  <si>
    <t>Gonzalez, M; Tadle, RC</t>
  </si>
  <si>
    <t>Gonzalez, Mario; Tadle, Raul Cruz</t>
  </si>
  <si>
    <t>Signaling and Financial Market Impact of Chile's Central Bank Communication: A Content Analysis Approach</t>
  </si>
  <si>
    <t>ECONOMIA-JOURNAL OF THE LATIN AMERICAN AND CARIBBEAN ECONOMIC ASSOCIATION</t>
  </si>
  <si>
    <t>Central bank; financial market; monetary policy; communication</t>
  </si>
  <si>
    <t>MONETARY-POLICY SURPRISES; INTEREST-RATES; STOCK MARKETS; LANGUAGE; WORDS</t>
  </si>
  <si>
    <t>The Central Bank of Chile determines Chile's monetary policy rate and circulates press releases that explain policy decisions after each of its policy meetings. The information contained in these press releases includes current policies, economic outlook, and signals about likely future policies. In this paper, we examine this type of policy communication by using semi-automated content analysis to study the information contained in the releases. Based on this information, we create a quantitative measure that we call the sentiment score index, which we then use to evaluate the effectiveness of the central bank's communication strategy. In this examination, we analyze whether the central bank's communication conveys information regarding the future path of the policy rate. We also study the impact of the monetary policy statement on financial markets. We find that the central bank's communication provides information that helps anticipate the future stance of monetary policy and that causes significant short-term impacts on equity markets.</t>
  </si>
  <si>
    <t>[Gonzalez, Mario] Cent Bank Chile, Santiago, Chile; [Tadle, Raul Cruz] Calif State Univ Sacramento, Sacramento, CA 95819 USA</t>
  </si>
  <si>
    <t>Central Bank of Chile; California State University System; California State University Sacramento</t>
  </si>
  <si>
    <t>Gonzalez, M (corresponding author), Cent Bank Chile, Santiago, Chile.</t>
  </si>
  <si>
    <t>BROOKINGS INST PRESS</t>
  </si>
  <si>
    <t>1775 MASSACHUSETTS AVE NW, WASHINGTON, DC 20036 USA</t>
  </si>
  <si>
    <t>1529-7470</t>
  </si>
  <si>
    <t>1533-6239</t>
  </si>
  <si>
    <t>ECONOMIA</t>
  </si>
  <si>
    <t>Economia</t>
  </si>
  <si>
    <t>10.1353/eco.2020.0005</t>
  </si>
  <si>
    <t>PF0NE</t>
  </si>
  <si>
    <t>WOS:000598760600004</t>
  </si>
  <si>
    <t>Grundl, J</t>
  </si>
  <si>
    <t>Gruendl, Johann</t>
  </si>
  <si>
    <t>Populist ideas on social media: A dictionary-based measurement of populist communication</t>
  </si>
  <si>
    <t>automated content analysis; automated measurement; dictionary; Facebook; Germany; political communication; populism; populist communication; social media; Twitter</t>
  </si>
  <si>
    <t>This article presents a dictionary-based measurement of populist communication that reaches citizens directly through social media in German. The studied populist messages reflect ideational definitions of populism. Thus, populist messages appeal to the people, dismiss the elites as appalling, or highlight the people's right to unfettered rule. Despite German-speaking countries offering a variety of populist parties, existing automated approaches are rarely applicable to German texts. Furthermore, they are not tailored to social media and often focus only on anti-elitism. I vastly improved existing dictionaries by analyzing populist ideology in its entirety, including people-centrism and the demand for people's sovereignty. The article showed how known populist parties in Austria, Germany, and Switzerland spread these messages to a great extent on social media. Furthermore, I was able to highlight intra-party differences. Finally, the article discusses different aspects of validity and shows that the proposed approach offers high convergent validity and split-half reliability.</t>
  </si>
  <si>
    <t>[Gruendl, Johann] Univ Vienna, Dept Govt, Kolingasse 14-16, A-1010 Vienna, Austria</t>
  </si>
  <si>
    <t>Grundl, J (corresponding author), Univ Vienna, Dept Govt, Kolingasse 14-16, A-1010 Vienna, Austria.</t>
  </si>
  <si>
    <t>johann.gruendl@univie.ac.at</t>
  </si>
  <si>
    <t>10.1177/1461444820976970</t>
  </si>
  <si>
    <t>1K1EB</t>
  </si>
  <si>
    <t>WOS:000623429900001</t>
  </si>
  <si>
    <t>Schiehll, E; Kolahgar, S</t>
  </si>
  <si>
    <t>Schiehll, Eduardo; Kolahgar, Sam</t>
  </si>
  <si>
    <t>Financial materiality in the informativeness of sustainability reporting</t>
  </si>
  <si>
    <t>BUSINESS STRATEGY AND THE ENVIRONMENT</t>
  </si>
  <si>
    <t>agency theory; informativeness; materiality; sustainability reporting; voluntary disclosure</t>
  </si>
  <si>
    <t>ENVIRONMENTAL DISCLOSURES; INSTITUTIONAL INVESTORS; CORPORATE DISCLOSURE; QUALITY; COST; DETERMINANTS; MANAGEMENT; ANALYSTS; MARKETS</t>
  </si>
  <si>
    <t>This study examines whether financial materiality in environmental, social, and governance (ESG) disclosure benefits the stock market by increasing the amount of accessible and relevant firm-specific information. Based on the value relevance of information and the principle of financial materiality, we demonstrate that disclosing material ESG information increases stock price informativeness. We conduct an automated content analysis of 150,000 electronic documents filed by firms listed on the S&amp;P/TSX Composite Index from 1999 to the end of 2014. Our findings show that ESG disclosure is indeed value relevant for investors and that financial materiality in ESG disclosure leads to more informative stock prices. In addition, the effect of ESG disclosure on stock price informativeness differs across the ESG components, being more sensitive to the social component. This study contributes to the literature on sustainability reporting, and in particular to the ongoing discussion about whether the financial materiality of ESG issues matters. This study also deepens the understanding of agency theory predictions about the economic effects of ESG disclosure.</t>
  </si>
  <si>
    <t>[Schiehll, Eduardo] HEC Montreal, 3000 Chemin Cote St Catherine,Bur 5509, Montreal, PQ H3T 2A7, Canada; [Kolahgar, Sam] Univ Prince Edward Isl, Fac Business, Charlottetown, PE, Canada</t>
  </si>
  <si>
    <t>Universite de Montreal; HEC Montreal; University of Prince Edward Island</t>
  </si>
  <si>
    <t>Schiehll, E (corresponding author), HEC Montreal, 3000 Chemin Cote St Catherine,Bur 5509, Montreal, PQ H3T 2A7, Canada.</t>
  </si>
  <si>
    <t>eduardo.schiehll@hec.ca</t>
  </si>
  <si>
    <t>Schiehll, Eduardo/0000-0002-1539-1978; Kolahgar, Sam/0000-0001-9846-6850</t>
  </si>
  <si>
    <t>Autorite des marches financiers [SC-2691]; Social Science and Humanities Research Council (SSHRC) of Canada [435-2018-1522]</t>
  </si>
  <si>
    <t>Autorite des marches financiers; Social Science and Humanities Research Council (SSHRC) of Canada(Social Sciences and Humanities Research Council of Canada (SSHRC))</t>
  </si>
  <si>
    <t>Autorite des marches financiers, Grant/Award Number: SC-2691; Social Science and Humanities Research Council (SSHRC) of Canada, Grant/Award Number: 435-2018-1522</t>
  </si>
  <si>
    <t>0964-4733</t>
  </si>
  <si>
    <t>1099-0836</t>
  </si>
  <si>
    <t>BUS STRATEG ENVIRON</t>
  </si>
  <si>
    <t>Bus. Strateg. Environ.</t>
  </si>
  <si>
    <t>10.1002/bse.2657</t>
  </si>
  <si>
    <t>QA6PT</t>
  </si>
  <si>
    <t>WOS:000584458100001</t>
  </si>
  <si>
    <t>Jungblut, M; Kumpel, AS; Steer, R</t>
  </si>
  <si>
    <t>Jungblut, Marc; Kumpel, Anna Sophie; Steer, Ramona</t>
  </si>
  <si>
    <t>Social media use of the police in crisis situations: A mixed-method study on communication practices of the German police</t>
  </si>
  <si>
    <t>Crisis communication; dialogue-orientation; mixed-methods design; police communication; social media</t>
  </si>
  <si>
    <t>TWITTER; STRATEGIES; MANAGEMENT; ADOPTION; DIALOGUE; TRUST</t>
  </si>
  <si>
    <t>Social media have become essential for crisis communication. While past research has focused on their role in corporate communication, studies largely ignored how public organizations use social media. Among these, the police are a particularly relevant case due to their responsibilities in society. Using a sequential mixed-methods design that combines qualitative interviews with an automated content analysis, this study analyzes how the German police use social media during community (e.g. mass shootings) and organizational-level crises (e.g. misdemeanors within the police). The results demonstrate that Twitter and Facebook are the primary platforms for crisis communication, with their unique affordances shaping the communicative styles of the police. We also find police communication strategies to differ between the two crisis types. During community-level crises, the main goal of the police is to provide information in a largely unidirectional manner, while communication during organizational-level crises is more dialogue-oriented to prevent reputational damage.</t>
  </si>
  <si>
    <t>[Jungblut, Marc] Ludwig Maximilians Univ Munchen, Dept Media &amp; Commun, Oettingenstr 67, D-80538 Munich, Germany; [Kumpel, Anna Sophie] Tech Univ Dresden, Commun, Inst Media &amp; Commun, Dresden, Germany; [Steer, Ramona] Ludwig Maximilians Univ Munchen, Dept Media &amp; Commun, Int Publ Relat, Munich, Germany</t>
  </si>
  <si>
    <t>University of Munich; Technische Universitat Dresden; University of Munich</t>
  </si>
  <si>
    <t>Jungblut, Marc/0000-0002-2677-0738; Kumpel, Anna Sophie/0000-0001-7184-4057</t>
  </si>
  <si>
    <t>10.1177/14614448221127899</t>
  </si>
  <si>
    <t>5C0IO</t>
  </si>
  <si>
    <t>WOS:000863952100001</t>
  </si>
  <si>
    <t>Weber, V; Mubig, A</t>
  </si>
  <si>
    <t>Weber, Veronique; Mubig, Anke</t>
  </si>
  <si>
    <t>The Effect of Business Strategy on Risk Disclosure</t>
  </si>
  <si>
    <t>ACCOUNTING IN EUROPE</t>
  </si>
  <si>
    <t>risk disclosure; business strategy; automated content analysis</t>
  </si>
  <si>
    <t>CORPORATE GOVERNANCE; OWNERSHIP STRUCTURE; FIRM; VOLUNTARY; INCENTIVES; MANAGEMENT; DETERMINANTS; INVESTMENT; IMPACT; COST</t>
  </si>
  <si>
    <t>For a sample of nonfinancial and non-utility firms from the European Economic Area in 2005-2017, we find that a firm's business strategy is a determinant of the amount of risk factor information in the annual report. Firms with an innovation-oriented prospector strategy report more about their risk factors than firms with an efficiency-oriented defender strategy. This is because, first, these innovation-oriented prospectors face greater risks and uncertainties and the regulator and enforcement institution expect them to report these accordingly in the annual report. Second, given the discretion the firms have in disclosing risks, prospectors are more likely to engage in voluntary disclosure. It seems that the benefits outweigh the costs of revealing proprietary information. Further, our findings reveal that business strategy influences the coverage of the main risk topics and risk disclosure complexity. Additionally, the influence of business strategy on risk disclosure is stronger for small, young, and low-technology firms.</t>
  </si>
  <si>
    <t>[Weber, Veronique; Mubig, Anke] Univ Luxembourg, Fac Law Econ &amp; Finance, Dept Econ &amp; Management, 6 Rue Richard Coudenhove Kalergi, L-1359 Luxembourg, Luxembourg; [Weber, Veronique] Minist Travail Emploi &amp; Econ Sociale &amp; Solidaire, Luxembourg, Luxembourg</t>
  </si>
  <si>
    <t>Weber, V (corresponding author), Univ Luxembourg, Fac Law Econ &amp; Finance, Dept Econ &amp; Management, 6 Rue Richard Coudenhove Kalergi, L-1359 Luxembourg, Luxembourg.</t>
  </si>
  <si>
    <t>veroniqueweber@outlook.com</t>
  </si>
  <si>
    <t>1744-9480</t>
  </si>
  <si>
    <t>1744-9499</t>
  </si>
  <si>
    <t>ACCOUNT EUR</t>
  </si>
  <si>
    <t>Account. Eur.</t>
  </si>
  <si>
    <t>10.1080/17449480.2021.2018473</t>
  </si>
  <si>
    <t>0F0GA</t>
  </si>
  <si>
    <t>WOS:000739719000001</t>
  </si>
  <si>
    <t>Johnson, M; Paulussen, S; Van Aelst, P</t>
  </si>
  <si>
    <t>Johnson, Michiel; Paulussen, Steve; Van Aelst, Peter</t>
  </si>
  <si>
    <t>The manifest and latent functions of Twitter use by journalists: An observational study among economic journalists</t>
  </si>
  <si>
    <t>JOURNAL OF APPLIED JOURNALISM &amp; MEDIA STUDIES</t>
  </si>
  <si>
    <t>Twitter use; economic journalists; branding; sourcing</t>
  </si>
  <si>
    <t>SOCIAL MEDIA; HEALTH JOURNALISM; NEWS; COVERAGE</t>
  </si>
  <si>
    <t>This study focuses on Twitter use among economic journalists working for print media in Belgium. By looking into their tweeting and following behaviour, the article examines how economic journalists use Twitter for promotional, conversational and sourcing purposes. Based on an automated content analysis of what they tweet and a social network analysis of whom they follow, the results show that economic journalists mainly use Twitter to promote themselves and their news organization rather than to engage in public conversation on the platform. In addition, the study looks into their following behaviour to investigate which actors they consider as 'potential sources'. Here, the findings are consistent with previous studies among political and health journalists, indicating that journalists are more likely to follow institutionally affiliated rather than non-affiliated sources on Twitter. Furthermore, the social network analysis gives additional evidence of the media-centered of journalists' Twitter use, as media-affiliated actors maintain a dominant position in the economic journalists' Twitter networks.</t>
  </si>
  <si>
    <t>[Johnson, Michiel] Univ Antwerp, Antwerp, Belgium; [Paulussen, Steve] Univ Antwerp, Media &amp; Journalism Studies, Antwerp, Belgium; [Paulussen, Steve] Univ Antwerp, Res Grp Media Policy &amp; Culture MPC, Antwerp, Belgium; [Van Aelst, Peter] Univ Antwerp, Fac Social Sci, Sint Jacobstr 2, B-2000 Antwerp, Belgium</t>
  </si>
  <si>
    <t>University of Antwerp; University of Antwerp; University of Antwerp; University of Antwerp</t>
  </si>
  <si>
    <t>Johnson, M (corresponding author), Univ Antwerp, Antwerp, Belgium.</t>
  </si>
  <si>
    <t>michiel.johnson@uantwerpen.be; steve.paulussen@uantwerpen.be; peter.vanaelst@uantwerpen.be</t>
  </si>
  <si>
    <t>Paulussen, Steve/AAF-8290-2019</t>
  </si>
  <si>
    <t>Paulussen, Steve/0000-0002-7903-1103</t>
  </si>
  <si>
    <t>Research Foundation - Flanders</t>
  </si>
  <si>
    <t>Research Foundation - Flanders(FWO)</t>
  </si>
  <si>
    <t>This research was funded by the Research Foundation - Flanders.</t>
  </si>
  <si>
    <t>INTELLECT LTD</t>
  </si>
  <si>
    <t>THE MILL, PARNALL RD, BRISTOL, BS16 3JG, ENGLAND</t>
  </si>
  <si>
    <t>2001-0818</t>
  </si>
  <si>
    <t>2049-9531</t>
  </si>
  <si>
    <t>J APPL JOURNAL MEDIA</t>
  </si>
  <si>
    <t>J. Appl. Journal. Media Stud.</t>
  </si>
  <si>
    <t>10.1386/ajms_00004_1</t>
  </si>
  <si>
    <t>JQ7JL</t>
  </si>
  <si>
    <t>WOS:000499117000004</t>
  </si>
  <si>
    <t>Orlandi, LB; Veronesi, G; Zardini, A</t>
  </si>
  <si>
    <t>Orlandi, Ludovico Bullini; Veronesi, Gianluca; Zardini, Alessandro</t>
  </si>
  <si>
    <t>Unpacking linguistic devices and discursive strategies in online social movement organizations: Evidence from anti-vaccine online communities</t>
  </si>
  <si>
    <t>INFORMATION AND ORGANIZATION</t>
  </si>
  <si>
    <t>Social media; Discourse analysis; Discursive strategies; Linguistic devices; Anti-vaccine SMOs</t>
  </si>
  <si>
    <t>LEXIMANCER; MEDIA; CONSTRUCTION; LEGITIMATION; DISCOURSE; MESSAGES; IDENTITY; PROTEST; TENSION; IMPACT</t>
  </si>
  <si>
    <t>This study investigates linguistic devices and discursive strategies employed by online social movement organizations (SMOs) in attempts to deinstitutionalize long-standing, institutionalized behaviors. The research draws from an in-depth analysis of public discourse within anti-vaccine online communities in Italy and contributes to the social movement literature on framing and the theory of discursive institutionalization. It employs semi-automated text-analysis methods and interpretive analysis of textual data from seven anti-vaccine social media communities, before and subsequent to the 2017 regulatory intervention of the Italian government to increase vaccination rates. This intervention followed a phase of intense debate centered on the decrease in vaccination coverage and the spread of anti-vaccine ideas in social media as well as in the broader public discourse. The study analyzes the discursive strategies and linguistic devices of community leaders (moderators) and followers (members), and investigates shifts in micro-level online anti-vaccine discursive strategies that developed after the government regulation. The findings suggest that anti-vaccine online SMOs employ specific sets of linguistic devices, namely rhetorical fallacies, that support well-defined discursive strategies such as those aiming to dele-gitimize actors that endorse vaccines. Furthermore, the evidence shows that these linguistic de-vices and discursive strategies, after the government regulation, shift from an evidence-based stance towards values and emotions-based argumentations.</t>
  </si>
  <si>
    <t>[Orlandi, Ludovico Bullini] Univ Bologna, Dept Management, Via Capo di Lucca 34, I-40126 Bologna, Italy; [Zardini, Alessandro] Univ Bristol, Dept Management, Queens Ave, Bristol BS8 1SD, England; [Zardini, Alessandro] Univ Verona, Dept Business Adm, Via Cantarane 24, I-37129 Verona, Italy</t>
  </si>
  <si>
    <t>University of Bologna; University of Bristol; University of Verona</t>
  </si>
  <si>
    <t>Orlandi, LB (corresponding author), Univ Bologna, Dept Management, Via Capo di Lucca 34, I-40126 Bologna, Italy.</t>
  </si>
  <si>
    <t>ludovico.bullini2@unibo.it; gianluca.veronesi@bristol.ac.uk; alessandro.zardini@univr.it</t>
  </si>
  <si>
    <t>1471-7727</t>
  </si>
  <si>
    <t>1873-7919</t>
  </si>
  <si>
    <t>INFORM ORGAN-UK</t>
  </si>
  <si>
    <t>Inf. Organ.</t>
  </si>
  <si>
    <t>10.1016/j.infoorg.2022.100409</t>
  </si>
  <si>
    <t>Information Science &amp; Library Science; Management</t>
  </si>
  <si>
    <t>Information Science &amp; Library Science; Business &amp; Economics</t>
  </si>
  <si>
    <t>6A1IN</t>
  </si>
  <si>
    <t>WOS:000880414400005</t>
  </si>
  <si>
    <t>Kietzmann, J; Pitt, LF</t>
  </si>
  <si>
    <t>Kietzmann, Jan; Pitt, Leyland F.</t>
  </si>
  <si>
    <t>Computerized content analysis of online data - opportunities for marketing scholars and practitioners</t>
  </si>
  <si>
    <t>Marketing; Text analysis; Content analysis; Artificial intelligence; Consumer research; Machine learning; LIWC; DICTION; IBM Watson; CATA; Automated text analysis</t>
  </si>
  <si>
    <t>Purpose The purpose of this paper is to summarize the main developments from the early days of manual content analysis to the adoption of computer-assisted content analysis and the emerging artificial intelligence (AI)-supported ways to analyze content (primarily text) in marketing and consumer research. A further aim is to outline the many opportunities these new methods offer to marketing scholars and practitioners facing new types of data. Design/methodology/approach This conceptual paper maps our methods used for content analysis in marketing and consumer research. Findings This paper concludes that many new and emerging forms of unstructured data provide a wealth of insight that is neglected by existing content analysis methods. The main findings of this paper support the fact that emerging methods of making sense of such consumer data will take us beyond text and eventually lead to the adoption of AI-supported tools for all types of content and media. Originality/value This paper provides a broad summary of nearly five decades of content analysis in consumer and marketing research. It concludes that, much like in the past, today's research focuses on the producers of the words than the words themselves and urges researchers to use AI and machine learning to extract meaning and value from the oceans of text and other content generated by organizations and their customers.</t>
  </si>
  <si>
    <t>[Kietzmann, Jan] Univ Victoria, Gustavson Sch Business, Victoria, BC, Canada; [Pitt, Leyland F.] Simon Fraser Univ, Beedie Sch Business, Burnaby, BC, Canada</t>
  </si>
  <si>
    <t>University of Victoria; Simon Fraser University</t>
  </si>
  <si>
    <t>Kietzmann, J (corresponding author), Univ Victoria, Gustavson Sch Business, Victoria, BC, Canada.</t>
  </si>
  <si>
    <t>jan_kietzmann@sfu.ca; lpitt@sfu.ca</t>
  </si>
  <si>
    <t>Kietzmann, Jan/ABF-6025-2020</t>
  </si>
  <si>
    <t>FEB 26</t>
  </si>
  <si>
    <t>10.1108/EJM-01-2020-0007</t>
  </si>
  <si>
    <t>LB7AJ</t>
  </si>
  <si>
    <t>WOS:000516586600001</t>
  </si>
  <si>
    <t>Nassour, J; Leykin, D; Elhadad, M; Cohen, O</t>
  </si>
  <si>
    <t>Nassour, J.; Leykin, D.; Elhadad, M.; Cohen, O.</t>
  </si>
  <si>
    <t>Computational Text Analysis of A Scientific Resilience Management Corpus: Environmental Insights and Implications</t>
  </si>
  <si>
    <t>JOURNAL OF ENVIRONMENTAL INFORMATICS</t>
  </si>
  <si>
    <t>concept maps; LIWC; NLP tools; resilience; resilience management; topic modeling</t>
  </si>
  <si>
    <t>COMMUNITY RESILIENCE; DISASTER RESILIENCE; NONNEGATIVE MATRIX; HURRICANE KATRINA; BUILT ENVIRONMENT; SUSTAINABILITY; PATHWAYS; RECOVERY</t>
  </si>
  <si>
    <t>Resilience is a multifaceted concept describing the ability to cope with change or disruption. Its importance in the era of emergency preparedness and response, combined with its multidisciplinary attributes, have led researches to study similarities and differences in the meaning of resilience across various fields. A systematic literature review, conducted in the field of resilience management by the DARWIN project, yielded a scientific corpus of 419 articles. In the present study, automated text-analysis approaches were used to investigate this corpus and generateinsights, aiming at understanding resilience management. Three complementary computational analyses were employed: (a) topic modeling to understand the different topics or fields discussed in the articles; (b) concept maps to provide a synthetic view of key concepts in the domain and their relations; (c) psycho-linguistic analysis to identify significant psychological categories addressed in the corpus. The topic model identified four key topics: Environmental/Socioecological aspects, Organizational/Operational aspects, Health, and Infrastructure/Resource Management. The concept map recognized concepts at a finer granularity level and depicted them into five main clusters with relations between them, reflecting key dimensions leading to resilience management. The psycho-linguistic analysis highlighted the importance of psychological processes within resilience management. This study identified important aspects that need to be addressed when designing resilience management frameworks, such as rehabilitation period and the role of public.</t>
  </si>
  <si>
    <t>[Nassour, J.; Elhadad, M.] Ben Gurion Univ Negev, Fac Nat Sci, Comp Sci Dept, POB 635, Beer Sheva, Israel; [Leykin, D.; Cohen, O.] Ben Gurion Univ Negev, PREPARED Ctr Emergency Response Res, POB 635, Beer Sheva, Israel; [Leykin, D.] Community Stress Prevent Ctr CSPC, POB 7973, IL-11016 Kiryat Shmona, Israel; [Cohen, O.] Ben Gurion Univ Negev, Fac Hlth Sci, Recanati Sch Community Hlth Profess, Nursing Dept, POB 653, IL-84105 Beer Sheva, Israel; [Cohen, O.] Ben Gurion Univ Negev, Mastersprogram Emergency Med, Sch Publ Hlth, Fac Hlth Sci, POB 653, IL-84105 Beer Sheva, Israel</t>
  </si>
  <si>
    <t>Ben Gurion University; Ben Gurion University; Ben Gurion University; Ben Gurion University</t>
  </si>
  <si>
    <t>Cohen, O (corresponding author), Ben Gurion Univ Negev, PREPARED Ctr Emergency Response Res, POB 635, Beer Sheva, Israel.;Cohen, O (corresponding author), Ben Gurion Univ Negev, Fac Hlth Sci, Recanati Sch Community Hlth Profess, Nursing Dept, POB 653, IL-84105 Beer Sheva, Israel.;Cohen, O (corresponding author), Ben Gurion Univ Negev, Mastersprogram Emergency Med, Sch Publ Hlth, Fac Hlth Sci, POB 653, IL-84105 Beer Sheva, Israel.</t>
  </si>
  <si>
    <t>odeyac@bgu.ac.il</t>
  </si>
  <si>
    <t>ELHADAD, MICHAEL/AIB-3614-2022</t>
  </si>
  <si>
    <t>ELHADAD, MICHAEL/0000-0002-5629-2351; Cohen, Odeya/0000-0002-2427-6381</t>
  </si>
  <si>
    <t>European Union's Horizon 2020 research and innovation program [653289]</t>
  </si>
  <si>
    <t>European Union's Horizon 2020 research and innovation program</t>
  </si>
  <si>
    <t>The authors would like to thank the group of professionals - both researchers and practitioners from the DARWIN project that conducted the systematic literature review and interview of diverse experts. In particular, we would like to note the D1.1 group members which include Woltjer R., Nevhage, B., Nilsson, S., Adini, B., Cohen, O., Aharonson-Daniel L., Goldberg A., Grotan, T.O., Branlat, M., Moe, M Froystad, C., and Herrera, I.; Special thanks are sent to Dr. Herrera for coordinating the DARWIN project and to Dr. Woltjer for overseeing the literature review. The research leading to the results received funding from the European Union's Horizon 2020 research and innovation program under grant agreement No 653289. Opinions expressed in this publication reflect only the authors' view. The Agency is not responsible for any use that may be made of the information it contains.</t>
  </si>
  <si>
    <t>INT SOC ENVIRON INFORM SCI</t>
  </si>
  <si>
    <t>REGINA</t>
  </si>
  <si>
    <t>4246 ALBERT ST, REGINA, SASKATCHEWAN S4S 3R9, CANADA</t>
  </si>
  <si>
    <t>1726-2135</t>
  </si>
  <si>
    <t>1684-8799</t>
  </si>
  <si>
    <t>J ENVIRON INFORM</t>
  </si>
  <si>
    <t>J. Environ. Inform.</t>
  </si>
  <si>
    <t>10.3808/jei.201900423</t>
  </si>
  <si>
    <t>NW1NA</t>
  </si>
  <si>
    <t>WOS:000574777500003</t>
  </si>
  <si>
    <t>Iliev, R; Hoover, J; Dehghani, M; Axelrod, R</t>
  </si>
  <si>
    <t>Iliev, Rumen; Hoover, Joe; Dehghani, Morteza; Axelrod, Robert</t>
  </si>
  <si>
    <t>Linguistic positivity in historical texts reflects dynamic environmental and psychological factors</t>
  </si>
  <si>
    <t>Pollyanna hypothesis; positivity in language; automated text analysis; subjective happiness</t>
  </si>
  <si>
    <t>COLLEGE-STUDENTS; HAPPINESS; LANGUAGE; ENGLISH; CULTURE; METAANALYSIS; CONFORMITY; UNIVERSAL; EASTERLIN; FREQUENCY</t>
  </si>
  <si>
    <t>People use more positive words than negative words. Referred to as linguistic positivity bias (LPB), this effect has been found across cultures and languages, prompting the conclusion that it is a panhuman tendency. However, although multiple competing explanations of LPB have been proposed, there is still no consensus on what mechanism(s) generate LPB or even on whether it is driven primarily by universal cognitive features or by environmental factors. In this work we propose that LPB has remained unresolved because previous research has neglected an essential dimension of language: time. In four studies conducted with two independent, time-stamped text corpora (Google books Ngrams and the New York Times), we found that LPB in American English has decreased during the last two centuries. We also observed dynamic fluctuations in LPB that were predicted by changes in objective environment, i.e., war and economic hardships, and by changes in national subjective happiness. In addition to providing evidence that LPB is a dynamic phenomenon, these results suggest that cognitive mechanisms alone cannot account for the observed dynamic fluctuations in LPB. At the least, LPB likely arises from multiple interacting mechanisms involving subjective, objective, and societal factors. In addition to having theoretical significance, our results demonstrate the value of newly available data sources in addressing long-standing scientific questions.</t>
  </si>
  <si>
    <t>[Iliev, Rumen; Axelrod, Robert] Univ Michigan, Gerald R Ford Sch Publ Policy, Ann Arbor, MI 48109 USA; [Hoover, Joe; Dehghani, Morteza] Univ Southern Calif, Dept Psychol, Los Angeles, CA 90089 USA; [Hoover, Joe; Dehghani, Morteza] Univ Southern Calif, Brain &amp; Creat Inst, Los Angeles, CA 90089 USA</t>
  </si>
  <si>
    <t>University of Michigan System; University of Michigan; University of Southern California; University of Southern California</t>
  </si>
  <si>
    <t>Iliev, R; Axelrod, R (corresponding author), Univ Michigan, Gerald R Ford Sch Publ Policy, Ann Arbor, MI 48109 USA.</t>
  </si>
  <si>
    <t>rumen.i.iliev@gmail.com; axe@umich.edu</t>
  </si>
  <si>
    <t>Dehghani, Morteza/0000-0002-9478-4365; Axelrod, Robert/0000-0003-4758-6590</t>
  </si>
  <si>
    <t>National Science Foundation [1520031]; University of Michigan</t>
  </si>
  <si>
    <t>National Science Foundation(National Science Foundation (NSF)); University of Michigan(University of Michigan System)</t>
  </si>
  <si>
    <t>We thank Richard Easterlin, Selin Kesebir, and John Monterosso for useful comments and suggestions. This research was supported in part by National Science Foundation Interdisciplinary Behavior and Social Sciences Grant 1520031 (to M.D.). R.I. is the recipient of a University of Michigan Research Assistantship.</t>
  </si>
  <si>
    <t>DEC 6</t>
  </si>
  <si>
    <t>E7871</t>
  </si>
  <si>
    <t>E7879</t>
  </si>
  <si>
    <t>10.1073/pnas.1612058113</t>
  </si>
  <si>
    <t>EE3XX</t>
  </si>
  <si>
    <t>WOS:000389536700001</t>
  </si>
  <si>
    <t>Mathies, C; Burford, M</t>
  </si>
  <si>
    <t>Mathies, Christine; Burford, Marion</t>
  </si>
  <si>
    <t>Customer service understanding: gender differences of frontline employees</t>
  </si>
  <si>
    <t>MANAGING SERVICE QUALITY</t>
  </si>
  <si>
    <t>Frontline service employees; Customer service; Customer orientation; Gender; Employee attitudes; Service industries</t>
  </si>
  <si>
    <t>PERCEPTIONS; ORIENTATION; MEN</t>
  </si>
  <si>
    <t>Purpose - Despite widespread acknowledgement of the importance of employees to the success of service firms, research into how well frontline service staff understand service remains scarce. This study aims to investigate what constitutes good customer service from the viewpoint of frontline service employees and to explore gender differences in particular. Design/methodology/approach - The data were collected from 876 frontline employees across a wide range of service industries. An automated text analysis using Leximancer explored general and gender-specific patterns in employees' customer service understanding. Findings - Irrespective of gender, frontline service staff share the perception that the pillars of good customer service are listening skills, making the customer happy, and offering service. Males have a more functional, outcome-oriented interpretation of customer service; females focus more on the actual service interaction and emotional outcomes. Practical implications - By acknowledging gender-based dissimilarities in the customer service understanding of frontline service employees, the efficiency of recruitment and training processes will be enhanced. Originality/value - This study contributes to limited work on service models of frontline staff and shows that gender can explain some differences. This study also adds another dimension to the understanding of gender effects in services, beyond its influence on customers' quality perceptions and behaviours. The results are important for services marketing research and for managers in charge of recruiting and training frontline service staff.</t>
  </si>
  <si>
    <t>[Mathies, Christine; Burford, Marion] Univ New S Wales, Australian Sch Business, Sch Mkt, Sydney, NSW, Australia</t>
  </si>
  <si>
    <t>University of New South Wales Sydney</t>
  </si>
  <si>
    <t>Mathies, C (corresponding author), Univ New S Wales, Australian Sch Business, Sch Mkt, Sydney, NSW, Australia.</t>
  </si>
  <si>
    <t>m.burford@unsw.edu.au</t>
  </si>
  <si>
    <t>0960-4529</t>
  </si>
  <si>
    <t>1758-8030</t>
  </si>
  <si>
    <t>MANAG SERV QUAL</t>
  </si>
  <si>
    <t>Manag. Serv. Qual.</t>
  </si>
  <si>
    <t>10.1108/09604521111185628</t>
  </si>
  <si>
    <t>873PN</t>
  </si>
  <si>
    <t>WOS:000298895400005</t>
  </si>
  <si>
    <t>Bonikowski, B; Gidron, N</t>
  </si>
  <si>
    <t>Bonikowski, Bart; Gidron, Noam</t>
  </si>
  <si>
    <t>The Populist Style in American Politics: Presidential Campaign Discourse, 1952-1996</t>
  </si>
  <si>
    <t>SOCIAL FORCES</t>
  </si>
  <si>
    <t>AGREEMENT; CULTURE</t>
  </si>
  <si>
    <t>This paper examines populist claims-making in US presidential elections. We define populism as a discursive strategy that juxtaposes the virtuous populace with a corrupt elite and views the former as the sole legitimate source of political power. In contrast to past research, we argue that populism is best operationalized as an attribute of political claims rather than a stable ideological property of political actors. This analytical strategy allows us to systematically measure how the use of populism is affected by a variety of contextual factors. Our empirical case consists of 2,406 speeches given by American presidential candidates between 1952 and 1996, which we code using automated text analysis. Populism is shown to be a common feature of presidential politics among both Democrats and Republicans, but its prevalence varies with candidates' relative positions in the political field. In particular, we demonstrate that the probability of a candidate's reliance on populist claims is directly proportional to his distance from the center of power (in this case, the presidency). This suggests that populism is primarily a strategic tool of political challengers, and particularly those who have legitimate claims to outsider status. By examining temporal changes in populist claims-making on the political left and right, its variation across geographic regions and field positions, and the changing content of populist frames, our paper contributes to the debate on populism in modern democracies, while integrating field theory with the study of institutional politics.</t>
  </si>
  <si>
    <t>[Bonikowski, Bart] Harvard Univ, Sociol, Cambridge, MA 02138 USA; [Gidron, Noam] Harvard Univ, Govt, Cambridge, MA 02138 USA</t>
  </si>
  <si>
    <t>Bonikowski, B (corresponding author), Harvard Univ, Dept Sociol, 636 William James Hall, Cambridge, MA 02138 USA.</t>
  </si>
  <si>
    <t>bonikowski@fas.harvard.edu</t>
  </si>
  <si>
    <t>Gidron, Noam/AAX-1485-2020</t>
  </si>
  <si>
    <t>Gidron, Noam/0000-0002-0217-1204</t>
  </si>
  <si>
    <t>Weatherhead Center for International Affairs; Multidisciplinary Program in Inequality and Social Policy at Harvard University</t>
  </si>
  <si>
    <t>The authors thank Carly Knight, Eleni Arzoglou, and members of the Harvard Economic Sociology Seminar for their excellent feedback on an earlier draft of the paper. Delaram Takyar, David Campos, Charlotte Lloyd, Jake Matthews, and Michael Gribben provided valuable research assistance on this project. The research was generously supported by the Weatherhead Center for International Affairs and the Multidisciplinary Program in Inequality and Social Policy at Harvard University. Direct correspondence to Bart Bonikowski, Department of Sociology, Harvard University, 636 William James Hall, Cambridge, MA 02138, USA. E-mail: bonikowski@fas.harvard.edu.</t>
  </si>
  <si>
    <t>0037-7732</t>
  </si>
  <si>
    <t>1534-7605</t>
  </si>
  <si>
    <t>SOC FORCES</t>
  </si>
  <si>
    <t>Soc. Forces</t>
  </si>
  <si>
    <t>10.1093/sf/sov120</t>
  </si>
  <si>
    <t>DN9WH</t>
  </si>
  <si>
    <t>WOS:000377430900037</t>
  </si>
  <si>
    <t>Sanderink, L</t>
  </si>
  <si>
    <t>Sanderink, Lisa</t>
  </si>
  <si>
    <t>Shattered frames in global energy governance: Exploring fragmented interpretations among renewable energy institutions</t>
  </si>
  <si>
    <t>ENERGY RESEARCH &amp; SOCIAL SCIENCE</t>
  </si>
  <si>
    <t>Automated text analysis; Energy trilemma; Fragmentation; Frame analysis; Global governance; Renewable energy</t>
  </si>
  <si>
    <t>REGIME COMPLEX; ELECTRICITY; ACTORS</t>
  </si>
  <si>
    <t>A global transition towards renewable energy is key for a sustainable future, and effective global governance is required to make this possible. However, global renewable energy governance is often regarded as fragmented and ineffective. Existing research has provided useful insights into the multiplicity of governance goals and diversity in institutions, but an understanding of underlying frames is yet lacking. Frame analysis explores how actors interpret and define a problem in different ways, based on which different solutions can be put forward of which some are more adequate than others. It thus provides a compelling new angle to the scientific debate on fragmentation. This paper therefore poses the question how the global energy challenge and the role of renewables are framed throughout the overall institutional complex for renewable energy, among different institutional types, and across individual institutions. To facilitate the search for an answer, it applies an innovative computational method that allows for a large-scale and multi-level frame analysis. The results demonstrate that renewable energy institutions currently prioritize climate change, with a stronger growing focus on universal access to energy services, while undermining concerns of energy scarcity. Nevertheless, frames vary strongly across different levels of governance, and among various types of institutions. The paper therewith forms an important contribution to our understanding of global renewable energy governance and its fragmented nature.</t>
  </si>
  <si>
    <t>[Sanderink, Lisa] Vrije Univ Amsterdam, Fac Sci, Inst Environm Studies, Dept Environm Policy Anal, De Boelektan 1085,De Boelelaan 1087, NL-1081 HV Amsterdam, Netherlands</t>
  </si>
  <si>
    <t>Sanderink, L (corresponding author), Vrije Univ Amsterdam, Fac Sci, Inst Environm Studies, Dept Environm Policy Anal, De Boelektan 1085,De Boelelaan 1087, NL-1081 HV Amsterdam, Netherlands.</t>
  </si>
  <si>
    <t>Lisa.Sanderink@vu.nl</t>
  </si>
  <si>
    <t>Londe, Pedro/AAG-2267-2019</t>
  </si>
  <si>
    <t>Swedish Energy Agency [40657-1]</t>
  </si>
  <si>
    <t>Swedish Energy Agency(Swedish Energy AgencyMaterials &amp; Energy Research Center (MERC))</t>
  </si>
  <si>
    <t>The author would like to acknowledge support from the Swedish Energy Agency (CLIMENGO project, `Mapping the institutional complexity of global climate and energy governance, evaluating its effectiveness and legitimacy, and developing a knowledge base for decisionmakers', contract number 40657-1). On top of that, the author thanks Philipp Pattberg and Oscar Widerberg for their valuable inputs during the writing process, and James Patterson, Dave Huitema, Nicolien van der Grijp, and Erick Velazquez Hernandez for participating in the validation workshop. Most importantly, the author appreciates the extensive commentaries of the three reviewers and the chief-editor of Energy Research &amp; Social Science, which have helped to significantly improve the quality of this research paper.</t>
  </si>
  <si>
    <t>2214-6296</t>
  </si>
  <si>
    <t>2214-6326</t>
  </si>
  <si>
    <t>ENERGY RES SOC SCI</t>
  </si>
  <si>
    <t>Energy Res. Soc. Sci.</t>
  </si>
  <si>
    <t>10.1016/j.erss.2019.101355</t>
  </si>
  <si>
    <t>KN5HN</t>
  </si>
  <si>
    <t>WOS:000514868000018</t>
  </si>
  <si>
    <t>Myneni, S; Lewis, B; Singh, T; Paiva, K; Kim, SM; Cebula, AV; Villanueva, G; Wang, J</t>
  </si>
  <si>
    <t>Myneni, Sahiti; Lewis, Brittney; Singh, Tavleen; Paiva, Kristi; Kim, Seon Min; Cebula, Adrian, V; Villanueva, Gloria; Wang, Jing</t>
  </si>
  <si>
    <t>Diabetes Self-Management in the Age of Social Media: Large-Scale Analysis of Peer Interactions Using Semiautomated Methods</t>
  </si>
  <si>
    <t>JMIR MEDICAL INFORMATICS</t>
  </si>
  <si>
    <t>diabetes; self-management; social media; digital health</t>
  </si>
  <si>
    <t>HEALTH; INTERVENTIONS; SUPPORT; ADHERENCE; COMMUNICATION; OPPORTUNITIES; INTEGRATION; COMMUNITY; FACEBOOK; TAXONOMY</t>
  </si>
  <si>
    <t>Background: Online communities have been gaining popularity as support venues for chronic disease management. User engagement, information exposure, and social influence mechanisms can play a significant role in the utility of these platforms. Objective: In this paper, we characterize peer interactions in an online community for chronic disease management. Our objective is to identify key communications and study their prevalence in online social interactions. Methods: The American Diabetes Association Online community is an online social network for diabetes self-management. We analyzed 80,481 randomly selected deidentified peer-to-peer messages from 1212 members, posted between June 1, 2012, and May 30, 2019. Our mixed methods approach comprised qualitative coding and automated text analysis to identify, visualize, and analyze content-specific communication patterns underlying diabetes self-management. Results: Qualitative analysis revealed that social support was the most prevalent theme (84.9%), followed by readiness to change (18.8%), teachable moments (14.7%), pharmacotherapy (13.7%), and progress (13.3%). The support vector machine classifier resulted in reasonable accuracy with a recall of 0.76 and precision 0.78 and allowed us to extend our thematic codes to the entire data set. Conclusions: Modeling health-related communication through high throughput methods can enable the identification of specific content related to sustainable chronic disease management, which facilitates targeted health promotion.</t>
  </si>
  <si>
    <t>[Myneni, Sahiti; Singh, Tavleen] Univ Texas Houston, Sch Biomed Informat Houston, 7000 Fannin St,Suite 600, Houston, TX 77030 USA; [Lewis, Brittney; Paiva, Kristi; Kim, Seon Min; Cebula, Adrian, V; Villanueva, Gloria; Wang, Jing] Univ Texas Hlth Sci Ctr San Antonio, Ctr Smart &amp; Connected Hlth Technol, Sch Nursing, San Antonio, TX 78229 USA</t>
  </si>
  <si>
    <t>University of Texas System; University of Texas Health Science Center Houston; University of Texas System; University of Texas Health San Antonio</t>
  </si>
  <si>
    <t>Myneni, S (corresponding author), Univ Texas Houston, Sch Biomed Informat Houston, 7000 Fannin St,Suite 600, Houston, TX 77030 USA.</t>
  </si>
  <si>
    <t>sahiti.myneni@uth.tmc.edu</t>
  </si>
  <si>
    <t>Wang, Jing/0000-0002-4012-0977; Kim, Seon Min/0000-0002-9242-9335; Paiva, Kristi/0000-0002-3124-9584; Cebula, Adrian/0000-0003-4715-9521; Singh, Tavleen/0000-0002-1721-4780</t>
  </si>
  <si>
    <t>National Library of Medicine of the National Institutes of Health [1R01LM012974-01A1]; University of Texas Health San Antonio Center on Smart and Connected Health Technologies pilot funding</t>
  </si>
  <si>
    <t>National Library of Medicine of the National Institutes of Health(United States Department of Health &amp; Human ServicesNational Institutes of Health (NIH) - USANIH National Library of Medicine (NLM)); University of Texas Health San Antonio Center on Smart and Connected Health Technologies pilot funding</t>
  </si>
  <si>
    <t>The research reported in this publication was supported by the National Library of Medicine of the National Institutes of Health under Award Numbers 1R01LM012974-01A1, and University of Texas Health San Antonio Center on Smart and Connected Health Technologies pilot funding. The content is solely the responsibility of the authors and does not necessarily represent the official views of the National Institutes of Health.</t>
  </si>
  <si>
    <t>2291-9694</t>
  </si>
  <si>
    <t>JMIR MED INF</t>
  </si>
  <si>
    <t>JMIR Med. Inf.</t>
  </si>
  <si>
    <t>e18441</t>
  </si>
  <si>
    <t>10.2196/18441</t>
  </si>
  <si>
    <t>MG9YS</t>
  </si>
  <si>
    <t>WOS:000546388900022</t>
  </si>
  <si>
    <t>Parashchuk, V; Yarova, L; Parashchuk, S</t>
  </si>
  <si>
    <t>Parashchuk, Valentyna; Yarova, Laryssa; Parashchuk, Stepan</t>
  </si>
  <si>
    <t>Automated Complexity Assessment of English Informational Texts for EFL Pre-service Teachers and Translators</t>
  </si>
  <si>
    <t>ARAB WORLD ENGLISH JOURNAL</t>
  </si>
  <si>
    <t>automated complexity assessment; informational texts; text complexity; text complexity indices; the TextEvaluator; EFL pre-service teachers and translators</t>
  </si>
  <si>
    <t>COH-METRIX; LANGUAGE</t>
  </si>
  <si>
    <t>Automated text complexity assessment tools are of enormous practical value in solving the time-consuming task of analyzing English informational texts for their complexity at the pre-reading stage. The present study depicts the application of the automated text analysis system the TextEvaluator as an effective tool that helps analyze texts on eight dimensions of text complexity as follows: syntactic complexity; academic vocabulary; word unfamiliarity; word concreteness; lexical cohesion; interactive style; level of argumentation; degree of narrativity, with further summarizing them with an overall genre-dependent complexity score. This research examines the complexity dimensions of English informational texts of four genres - legal, linguistic, news, and medical - that are used for teaching reading comprehension to EFL (English as a foreign language) pre-service teachers and translators at universities in Ukraine. The data obtained with the help of the TextEvaluator has shown that English legal texts are the most difficult for reading comprehension in comparison to linguistic, news, and medical texts. In contrast, medical texts are the least challenging out of the four genres compared. The TextEvaluator has provided insight into the complexity of English informational texts across their different genres that would be useful for assembling the corpora of reading passages scaled on specific dimensions of text complexity that predict text difficulty to EFL pre-service teachers and translators.</t>
  </si>
  <si>
    <t>[Parashchuk, Valentyna] Volodymyr Vynnychenko Cent Ukrainian State Pedag, Dept English Language &amp; ELT Methodol, Kropyvnytskyi, Ukraine; [Yarova, Laryssa] Volodymyr Vynnychenko Cent Ukrainian State Pedag, Dept Translat Appl &amp; Gen Linguist, Kropyvnytskyi, Ukraine; [Parashchuk, Stepan] Volodymyr Vynnychenko Cent Ukrainian State Pedag, Dept Informat &amp; Informat Technol, Kropyvnytskyi, Ukraine</t>
  </si>
  <si>
    <t>Volodymyr Vynnychenko Central Ukrainian State Pedagogical University; Volodymyr Vynnychenko Central Ukrainian State Pedagogical University; Volodymyr Vynnychenko Central Ukrainian State Pedagogical University</t>
  </si>
  <si>
    <t>Parashchuk, V (corresponding author), Volodymyr Vynnychenko Cent Ukrainian State Pedag, Dept English Language &amp; ELT Methodol, Kropyvnytskyi, Ukraine.</t>
  </si>
  <si>
    <t>valparashchuk@gmail.com</t>
  </si>
  <si>
    <t>KUALA LUMPUR</t>
  </si>
  <si>
    <t>JALAN 34-24 WANGSA MAJU, KUALA LUMPUR, 53300, MALAYSIA</t>
  </si>
  <si>
    <t>2229-9327</t>
  </si>
  <si>
    <t>ARAB WORLD ENGL J</t>
  </si>
  <si>
    <t>Arab World Engl. J.</t>
  </si>
  <si>
    <t>10.24093/awej/call7.11</t>
  </si>
  <si>
    <t>TR1ZO</t>
  </si>
  <si>
    <t>WOS:000678770600011</t>
  </si>
  <si>
    <t>Nyarko, J</t>
  </si>
  <si>
    <t>Nyarko, Julian</t>
  </si>
  <si>
    <t>Stickiness and Incomplete Contracts</t>
  </si>
  <si>
    <t>UNIVERSITY OF CHICAGO LAW REVIEW</t>
  </si>
  <si>
    <t>ARBITRATION CLAUSES; DEFAULT RULES; ECONOMICS; BUSINESS; LITIGATION; GOVERNANCE; INNOVATION; SELECTION; CREATION; COURTS</t>
  </si>
  <si>
    <t>Both economic theory and legal theory assume that sophisticated parties routinely aim to write contracts that are optimal, in the sense of maximizing the parties' joint surplus. But more recent studies analyzing corporate and government bond agreements have suggested that some contract provisions are highly path, dependent, or sticky, with future agreements only rarely improving upon previous ones. Analyzing half a million contracts using automated text analysis, this Article demonstrates that the stickiness hypothesis explains the striking lack of dispute resolution clauses that can be found in agreements between even the most sophisticated commercial parties. When. drafting these contracts, external counsel rely heavily on templates, and whether a contract includes a dispute settlement provision is almost exclusively driven by the template that is used to supply the first draft. There is no evidence to suggest that counsel negotiate over the inclusion of dispute resalution clauses, nor that law firm templates are revised in response to changes in the costs and benefits of incomplete contracting. Together, the findings reveal a distinct apathy toward addressing dispute resolution through contracting. From an institutional perspective, this suggests that the role of default rules in contract law is more important than is often assumed. Whereas traditional accounts hold that commercial actors would simply contract around inefficient defaults, the evidence produced in this Article highlights that defaults are significantly important for transactions between even the most sophisticated commercial actors.</t>
  </si>
  <si>
    <t>[Nyarko, Julian] Stanford Law Sch, Law, Stanford, CA 94305 USA</t>
  </si>
  <si>
    <t>Nyarko, J (corresponding author), Stanford Law Sch, Law, Stanford, CA 94305 USA.</t>
  </si>
  <si>
    <t>UNIV CHICAGO LAW SCH</t>
  </si>
  <si>
    <t>1111 E 60TH ST, CHICAGO, IL 60637 USA</t>
  </si>
  <si>
    <t>0041-9494</t>
  </si>
  <si>
    <t>U CHICAGO LAW REV</t>
  </si>
  <si>
    <t>Univ. Chic. Law Rev.</t>
  </si>
  <si>
    <t>PR7YU</t>
  </si>
  <si>
    <t>WOS:000607450500001</t>
  </si>
  <si>
    <t>Losch, L; Brown, P; van Hunsel, F</t>
  </si>
  <si>
    <t>Losch, Lea; Brown, Patrick; van Hunsel, Florence</t>
  </si>
  <si>
    <t>Using structural topic modelling to reveal patterns in reports on opioid drugs in a pharmacovigilance database</t>
  </si>
  <si>
    <t>PHARMACOEPIDEMIOLOGY AND DRUG SAFETY</t>
  </si>
  <si>
    <t>adverse drug reaction; opioid drugs; pharmacovigilance; structural topic modelling</t>
  </si>
  <si>
    <t>Background Adverse drug reaction (ADR) reports in pharmacovigilance databases often contain coded information and large amounts of unstructured or semi-structured information in plain text format. The unstructured format and sheer volume of these data often render them neglected. Structural topic modelling (STM) represents a potentially insightful way of harnessing these valuable data and to detect grouping or themes in spontaneous reports to aid signal detection. Purpose This was an explorative study of the potential for structural topic modelling to identify useful patterns in ADR reports involving opioid drugs in a pharmacovigilance database. Methods A dataset of ADR reports on opioid drugs reported to the Netherlands Pharmacovigilance Centre Lareb from 1991 to December 2020 was used, comprising a total of 3069 unique reports. Qualitative text analysis was combined with STM, an automated text analysis method, to examine these data. Results In reports submitted directly by patients and healthcare professionals, 11 meaningful topics were identified, whereby patient experience reports, particularly in relation to pain (relief), and the timing of intake and ADRs of tramadol and paracetamol, were the most common. Of the 12 topics identified in reports received via marketing authorization holders, patch and skin-related side effects, addiction and constipation were the most prevalent. Conclusions The STM-based analysis identified information that cannot always be captured by coding with the Medical Dictionary for Regulatory Activities (MedDRA (R)). The identified topics reflect findings in the literature on opioids.</t>
  </si>
  <si>
    <t>[Losch, Lea] Vrije Univ Amsterdam, Athena Inst, Amsterdam, Netherlands; [Brown, Patrick] Univ Amsterdam, AISSR, Amsterdam, Netherlands; [van Hunsel, Florence] Netherlands Pharmacovigilance Ctr Lareb, sHertogenbosch, Netherlands</t>
  </si>
  <si>
    <t>van Hunsel, F (corresponding author), Netherlands Pharmacovigilance Ctr Lareb, sHertogenbosch, Netherlands.</t>
  </si>
  <si>
    <t>f.vanhunsel@lareb.nl</t>
  </si>
  <si>
    <t>1053-8569</t>
  </si>
  <si>
    <t>1099-1557</t>
  </si>
  <si>
    <t>PHARMACOEPIDEM DR S</t>
  </si>
  <si>
    <t>Pharmacoepidemiol. Drug Saf.</t>
  </si>
  <si>
    <t>10.1002/pds.5502</t>
  </si>
  <si>
    <t>Public, Environmental &amp; Occupational Health; Pharmacology &amp; Pharmacy</t>
  </si>
  <si>
    <t>3O4MT</t>
  </si>
  <si>
    <t>WOS:000825203300001</t>
  </si>
  <si>
    <t>Alantari, HJ; Currim, IS; Deng, YT; Singh, S</t>
  </si>
  <si>
    <t>Alantari, Huwail J.; Currim, Imran S.; Deng, Yiting; Singh, Sameer</t>
  </si>
  <si>
    <t>An empirical comparison of machine learning methods for text-based sentiment analysis of online consumer reviews</t>
  </si>
  <si>
    <t>INTERNATIONAL JOURNAL OF RESEARCH IN MARKETING</t>
  </si>
  <si>
    <t>Automated text analysis; Sentiment analysis; Online reviews; User generated content; Machine learning; Natural language processing</t>
  </si>
  <si>
    <t>USER-GENERATED CONTENT; WORD-OF-MOUTH; CONJOINT-ANALYSIS; SEARCH ENGINES; CHOICE MODELS; CHATTER; DESIGN</t>
  </si>
  <si>
    <t>The amount of digital text-based consumer review data has increased dramatically and there exist many machine learning approaches for automated text-based sentiment analysis. Marketing researchers have employed various methods for analyzing text reviews but lack a comprehensive comparison of their performance to guide method selection in future applications. We focus on the fundamental relationship between a consumer's overall empirical evaluation, and the text-based explanation of their evaluation. We study the empirical tradeoff between predictive and diagnostic abilities, in applying various methods to estimate this fundamental relationship. We incorporate methods previously employed in the marketing literature, and methods that are so far less common in the marketing literature. For generalizability, we analyze 25,241 products in nine product categories, and 260,489 reviews across five review platforms. We find that neural network-based machine learning methods, in particular pre-trained versions, offer the most accurate predictions, while topic models such as Latent Dirichlet Allocation offer deeper diagnostics. However, neural network models are not suited for diagnostic purposes and topic models are ill equipped for making predictions. Consequently, future selection of methods to process text reviews is likely to be based on analysts' goals of prediction versus diagnostics. Published by Elsevier B.V.</t>
  </si>
  <si>
    <t>[Alantari, Huwail J.; Currim, Imran S.] Univ Calif Irvine, Paul Merage Sch Business, Irvine, CA 92697 USA; [Deng, Yiting] UCL, UCL Sch Management, London, England; [Singh, Sameer] Univ Calif Irvine, Donald Bren Sch Informat &amp; Comp Sci, Irvine, CA USA</t>
  </si>
  <si>
    <t>University of California System; University of California Irvine; University of London; University College London; University of California System; University of California Irvine</t>
  </si>
  <si>
    <t>Alantari, HJ (corresponding author), Univ Calif Irvine, Paul Merage Sch Business, Irvine, CA 92697 USA.</t>
  </si>
  <si>
    <t>Deng, Yiting/CAH-2594-2022</t>
  </si>
  <si>
    <t>Deng, Yiting/0000-0003-2330-1554; Singh, Sameer/0000-0003-0621-6323</t>
  </si>
  <si>
    <t>0167-8116</t>
  </si>
  <si>
    <t>1873-8001</t>
  </si>
  <si>
    <t>INT J RES MARK</t>
  </si>
  <si>
    <t>Int. J. Res. Mark.</t>
  </si>
  <si>
    <t>10.1016/j.ijresmar.2021.10.011</t>
  </si>
  <si>
    <t>ZI2OZ</t>
  </si>
  <si>
    <t>WOS:000761467400001</t>
  </si>
  <si>
    <t>Moats, D</t>
  </si>
  <si>
    <t>Moats, David</t>
  </si>
  <si>
    <t>Rethinking the 'Great Divide': Approaching Interdisciplinary Collaborations Around Digital Data with Humour and Irony</t>
  </si>
  <si>
    <t>SCIENCE AND TECHNOLOGY STUDIES</t>
  </si>
  <si>
    <t>digital data; interdisciplinarity; mixed methods; quant/qual; data visualizations</t>
  </si>
  <si>
    <t>SCIENCE-AND-TECHNOLOGY; NUMBERS; ANALYTICS; OBJECTS</t>
  </si>
  <si>
    <t>It is often claimed that the rise of so called 'big data' and computationally advanced methods may exacerbate tensions between disciplines like data science and anthropology. This paper is an attempt to reflect on these possible tensions and their resolution, empirically. It contributes to a growing body of literature which observes interdisciplinary collabrations around new methods and digital infrastructures in practice but argues that many existing arrangements for interdisciplinary collaboration enforce a separation between disciplines in which identities are not really put at risk. In order to disrupt these standard roles and routines we put on a series of workshops in which mainly self-identified qualitative or non-technical researchers were encouraged to use digital tools (scrapers, automated text analysis and data visualisations). The paper focuses on three empirical examples from the workshops in which tensions, both between disciplines and between methods, flared up and how they were ultimately managed or settled. In order to characterise both these tensions and negotiating strategies I draw on Woolgar and Stengers' use of the concepts humour and irony to describe how disciplines relate to each others' truth claims. I conclude that while there is great potential in more open-ended collaborative settings, qualitative social scientists may need to confront some of their own disciplinary baggage in order for better dialogue and more radical mixings between disciplines to occur.</t>
  </si>
  <si>
    <t>[Moats, David] Linkoping Univ, Tema T, Linkoping, Sweden</t>
  </si>
  <si>
    <t>Linkoping University</t>
  </si>
  <si>
    <t>Moats, D (corresponding author), Linkoping Univ, Tema T, Linkoping, Sweden.</t>
  </si>
  <si>
    <t>david.moats@liu.se</t>
  </si>
  <si>
    <t>Swedish Riksbankens Jubileumsfond</t>
  </si>
  <si>
    <t>I would like to thank Brit Ross Withereik, Torben Jensen and Minna Ruckenstein for advice on an earlier version of this paper as well as Alexandra Supper and the anonymous reviewers for improving the final product considerably. I also wish to thank the Swedish Riksbankens Jubileumsfond for funding this work. Most importantly, I thank the participants of the workshops from whom I learned a great deal.</t>
  </si>
  <si>
    <t>FINNISH SOC SCIENCE &amp; TECHNOLOGY STUDIES</t>
  </si>
  <si>
    <t>TAMPERE</t>
  </si>
  <si>
    <t>C/O OTTO AURANEN, SEPANKATU 4-8, TAMPERE, 33230, FINLAND</t>
  </si>
  <si>
    <t>2243-4690</t>
  </si>
  <si>
    <t>SCI TECHNOL STUD</t>
  </si>
  <si>
    <t>Sci. Technol. Stud.</t>
  </si>
  <si>
    <t>QJ3DE</t>
  </si>
  <si>
    <t>WOS:000619571600002</t>
  </si>
  <si>
    <t>Hardy, C; Bhakoo, V; Maguire, S</t>
  </si>
  <si>
    <t>Hardy, Cynthia; Bhakoo, Vikram; Maguire, Steve</t>
  </si>
  <si>
    <t>A New Methodology for Supply Chain Management: Discourse Analysis and its Potential for Theoretical Advancement</t>
  </si>
  <si>
    <t>JOURNAL OF SUPPLY CHAIN MANAGEMENT</t>
  </si>
  <si>
    <t>environmental issues; ethics; human resources; social responsibility; discourse analysis; research methods</t>
  </si>
  <si>
    <t>CORPORATE SOCIAL-RESPONSIBILITY; AUTOMATED TEXT ANALYSIS; SPECIAL-TOPIC-FORUM; BIG DATA; MODERN SLAVERY; PREDICTIVE ANALYTICS; EDITORS INTRODUCTION; DATA SCIENCE; HEALTH-CARE; SUSTAINABILITY</t>
  </si>
  <si>
    <t>This paper responds to recent calls for methodological diversification and in-house theory development within the discipline of SCM, by introducing discourse analysis to readers of the Journal of Supply Chain Management. One of the merits of discourse analysis is the way in which it problematizes taken-for-granted aspects of organizational life, including supply chains, to show that what we assume to be natural, inevitable and beneficial is rarely quite so straightforward as it may seem. In addition, through the way in which it emphasizes the interrogation of meaning, discourse analysis can broaden conceptualizations of the supply chain to include actors that have previously been overlooked, such as employees, workers, not-for-profit organizations, regulators, consumers, and the media. Using examples that are familiar to SCM researchers-the discourses of lean, sustainability, modern slavery, and big data-we illustrate how discourse analysis can help to theorize SCM phenomena by problematizing established meanings and revealing how they reproduce power relations among actors. We then show how insights from discourse analysis can complement existing theories of the supply chain and, in so doing, potentially rejuvenate the field of SCM by inspiring novel theory development, opening up different empirical settings, and promoting new ways of analyzing qualitative data.</t>
  </si>
  <si>
    <t>[Hardy, Cynthia; Bhakoo, Vikram] Univ Melbourne, Melbourne, Vic, Australia; [Hardy, Cynthia] Cardiff Univ, Cardiff, Wales; [Maguire, Steve] Univ Sydney, Sydney, NSW, Australia</t>
  </si>
  <si>
    <t>University of Melbourne; Cardiff University; University of Sydney</t>
  </si>
  <si>
    <t>Hardy, C (corresponding author), Univ Melbourne, Melbourne, Vic, Australia.;Hardy, C (corresponding author), Cardiff Univ, Cardiff, Wales.</t>
  </si>
  <si>
    <t>Maguire, Steve/N-8151-2017</t>
  </si>
  <si>
    <t>Maguire, Steve/0000-0001-6830-6178</t>
  </si>
  <si>
    <t>1523-2409</t>
  </si>
  <si>
    <t>1745-493X</t>
  </si>
  <si>
    <t>J SUPPLY CHAIN MANAG</t>
  </si>
  <si>
    <t>J. Supply Chain Manag.</t>
  </si>
  <si>
    <t>10.1111/jscm.12222</t>
  </si>
  <si>
    <t>LI1FZ</t>
  </si>
  <si>
    <t>WOS:000529232000003</t>
  </si>
  <si>
    <t>Wetts, R</t>
  </si>
  <si>
    <t>Wetts, Rachel</t>
  </si>
  <si>
    <t>Models and Morals: Elite-Oriented and Value-Neutral Discourse Dominates American Organizations' Framings of Climate Change</t>
  </si>
  <si>
    <t>TOPIC MODELS; ENVIRONMENTALISM; COMMUNICATION; POLARIZATION; IDENTITY; CULTURE; IMPACT; LOGICS</t>
  </si>
  <si>
    <t>Is climate change discourse highly politicized and divisive, or has the debate instead become post-political, oriented around consensus, problem-solving and administrative management? Adjudicating this debate is important for pragmatic and theoretical reasons. Pragmatically, these divergent characterizations suggest different barriers climate discourse might pose for engaging public concern and citizen mobilization. Theoretically, these characterizations provide different understandings of how elites respond to structural crisis. Using automated text analysis to describe a large corpus of organizations' press releases about climate change from 1985 to 2013 (N = 1,768), I find that this discourse has been largely expert-oriented and technocratic, neglecting concerns of values and identity widely believed to be important for social movement mobilization. Organizations predominantly frame climate change as a problem that, while real and serious, is best handled through the careful and deliberate work of scientific, political, and economic elites. Surprisingly, these observations remain true even among advocacy organizations. These findings provide empirical support that a post-political framing of climate change, where the issue is discussed in a way that neutralizes social and political power dynamics, dominates American organizations' official pronouncements about climate change. To the extent that earlier scholars are correct that conflict-oriented discursive strategies-such as identification of a common antagonist-are effective at rousing public concern, this discourse is unlikely to mobilize strong public emotion and activism.</t>
  </si>
  <si>
    <t>[Wetts, Rachel] Univ Calif Berkeley, Sociol, Berkeley, CA 94720 USA</t>
  </si>
  <si>
    <t>University of California System; University of California Berkeley</t>
  </si>
  <si>
    <t>Wetts, R (corresponding author), Univ Calif Berkeley, Sociol, Berkeley, CA 94720 USA.</t>
  </si>
  <si>
    <t>Rachel.wetts@berkeley.edu</t>
  </si>
  <si>
    <t>10.1093/sf/soz027</t>
  </si>
  <si>
    <t>KS8CL</t>
  </si>
  <si>
    <t>WOS:000518533200015</t>
  </si>
  <si>
    <t>Cheng, YY; Li, BW</t>
  </si>
  <si>
    <t>Cheng, Yiyang; Li, Biwei</t>
  </si>
  <si>
    <t>On the style and linguistic defamiliarization of three Chinese translators of Garcia Lorca's poems</t>
  </si>
  <si>
    <t>CIRCULO DE LINGUISTICA APLICADA A LA COMUNICACION</t>
  </si>
  <si>
    <t>film titles; translation; Spanish/Chinese; descriptive analysis; quantitative analysis</t>
  </si>
  <si>
    <t>In this paper, the works of three most influential Chinese translators of Garcia Lorca's poems esteemed by the Chinese poetry criticism are examined. By describing and comparing the similarities and differences of linguistic style of their translations, this paper attempts to explain its causes on social and cultural perspectives. The linguistic style research carried out in this paper is based on the defamiliarization theory put forward by Russian formalist scholars, which was developed to the foregrounding theory by the Prague school, by combining the specific devices of linguistic defamiliarization and foregrounding of modern Chinese poetry and the methodology provided by Corpus Translation Studies (CTS), it aims for qualitative and quantitative text analysis on the corpus ad hoc of the Chinese versions of fourteen Garcia Lorca's poems. Firstly, the paper quantifies the overall style of the three translators, then conducts a more specific qualitative and quantitative analysis on their linguistic foregrounding features, and further reveals the specific characteristics of the defamiliarized poetic language of each of them, which are finally explained by taking in consideration the translator's personal experiences, literary and artistic concepts, and the different social and historical backgrounds in which they were located.</t>
  </si>
  <si>
    <t>[Cheng, Yiyang] Univ Fudan, Shanghai, Peoples R China; [Li, Biwei] Univ Oviedo, Oviedo, Spain</t>
  </si>
  <si>
    <t>Fudan University; University of Oviedo</t>
  </si>
  <si>
    <t>Cheng, YY (corresponding author), Univ Fudan, Shanghai, Peoples R China.</t>
  </si>
  <si>
    <t>chengyiyang@fudan.edu.cn; UO272352@uniovi.es</t>
  </si>
  <si>
    <t>UNIV COMPLUTENSE MADRID, SERVICIO PUBLICACIONES</t>
  </si>
  <si>
    <t>MADRID</t>
  </si>
  <si>
    <t>CIUDAD UNIV, OBISPO TREJO 3, MADRID, 28040, SPAIN</t>
  </si>
  <si>
    <t>1576-4737</t>
  </si>
  <si>
    <t>CIRC LINGUIST APL CO</t>
  </si>
  <si>
    <t>Circ. Linguist. Apl. Comun.</t>
  </si>
  <si>
    <t>10.5209/CLAC.63269</t>
  </si>
  <si>
    <t>HN9NZ</t>
  </si>
  <si>
    <t>WOS:000460527400003</t>
  </si>
  <si>
    <t>Chaisse, J; Elsig, M; Jusoh, S; Lugg, A</t>
  </si>
  <si>
    <t>Chaisse, Julien; Elsig, Manfred; Jusoh, Sufian; Lugg, Andrew</t>
  </si>
  <si>
    <t>Drafting Investment Law: Patterns of Influence in the Regional Comprehensive Economic Partnership (RCEP)</t>
  </si>
  <si>
    <t>JOURNAL OF INTERNATIONAL ECONOMIC LAW</t>
  </si>
  <si>
    <t>PREFERENTIAL TRADE; POLITICS; AGREEMENTS; TREATIES; DESIGN; TEXT; ASIA; LIBERALIZATION; ENVIRONMENT; PITFALLS</t>
  </si>
  <si>
    <t>The investment chapter in the recently signed Regional Comprehensive Economic Partnership (RCEP) has the potential to affect investment decisions in the Asia-Pacific region and beyond. Yet, we know relatively little about the pathways through which countries determine the content of investment law in preferential trade agreements (PTAs). In this article, we use quantitative text analysis to test theoretically informed conjectures about the negotiation process. We focus on which of the signatories' past agreements most influenced RCEP, and whether countries chose to draw more from treaty practice through their previous PTAs or bilateral investment treaties (BITs). Our analyses yield several noteworthy findings. First, we show that no single country dominated the negotiation process, instead RCEP represents an effort to reconcile overlapping agreements around a more common template. Second, contrary to the fears of some observers, we show that larger powers such as China and Japan did not overwhelmingly impact the agreement, instead portions were influenced by Association of Southeast Asian Nations agreements, the Comprehensive and Progressive Trans-Pacific Partnership, and others. Finally, we show that, on average, countries drew more from PTAs than BITs, but that they switch strategically between them to reuse language that they deem important for the development of investment law.</t>
  </si>
  <si>
    <t>[Chaisse, Julien] City Univ Hong Kong, Sch Law, Hong Kong, Peoples R China; [Elsig, Manfred; Lugg, Andrew] Univ Bern, World Trade Inst, Bern, Switzerland; [Jusoh, Sufian] Univ Kebangsaan, Inst Malaysian &amp; Int Studies, Bangi, Selangor, Malaysia; [Lugg, Andrew] Univ Maryland, College Pk, MD 20742 USA</t>
  </si>
  <si>
    <t>City University of Hong Kong; University of Bern; Universiti Kebangsaan Malaysia; University System of Maryland; University of Maryland College Park</t>
  </si>
  <si>
    <t>Elsig, M (corresponding author), Univ Bern, World Trade Inst, Bern, Switzerland.</t>
  </si>
  <si>
    <t>manfred.elsig@unibe.ch</t>
  </si>
  <si>
    <t>Chaisse, Julien/AAU-4113-2020</t>
  </si>
  <si>
    <t>Chaisse, Julien/0000-0001-8793-0590; Lugg, Andrew/0000-0003-2940-5661; Elsig, Manfred/0000-0001-6950-108X</t>
  </si>
  <si>
    <t>1369-3034</t>
  </si>
  <si>
    <t>1464-3758</t>
  </si>
  <si>
    <t>J INT ECON LAW</t>
  </si>
  <si>
    <t>J. Int. Econ. Law</t>
  </si>
  <si>
    <t>MAR 17</t>
  </si>
  <si>
    <t>10.1093/jiel/jgac006</t>
  </si>
  <si>
    <t>ZV2VC</t>
  </si>
  <si>
    <t>WOS:000758889000001</t>
  </si>
  <si>
    <t>Li, L; Yang, SL</t>
  </si>
  <si>
    <t>Li, Lei; Yang, Shuili</t>
  </si>
  <si>
    <t>The Internet-Based Business Model and Corporate Risk-Taking: An Empirical Study from the Information Empowerment Perspective</t>
  </si>
  <si>
    <t>DISCRETE DYNAMICS IN NATURE AND SOCIETY</t>
  </si>
  <si>
    <t>FINANCIAL CONSTRAINTS; LIFE-CYCLE; CHINA</t>
  </si>
  <si>
    <t>Reasonable risk-taking acts as a solid foreground for sustaining corporate growth. Having companies trading on Chinese stock exchanges between 2010 and 2019 sampled, this paper explored how an Internet-based business model would affect corporate risk-taking from the perspective of information empowerment. Through the mediation effect model and quantitative text analysis, the following findings were obtained here. First, a network-powered business model could significantly enhance the risk tolerance of companies. Second, mechanism testing showed that such a novel model would help reduce the asymmetry of corporate information and thus enhance corporate risk-taking capacity. Third, an analysis on heterogeneity revealed that businesses that enjoy a freer market and fewer financing constraints could better feel the positive impact of an Internet-based business model on corporate risk-taking. Fourth, an examination of economic consequences showed that risk-taking under Internet-based business models allowed enterprises to create sustainable value. Overall, the present work confirmed the positive impact of an Internet-based business model on corporate risk-taking from the information empowerment angle, and it is expected to provide a theoretical basis for enterprises to optimize their investment decision-making strategies and increase their risk-taking willingness and capacity.</t>
  </si>
  <si>
    <t>[Li, Lei; Yang, Shuili] Xian Univ Technol, Sch Econ &amp; Management, Xi'an 710054, Peoples R China; [Li, Lei] Gansu Univ Polit Sci &amp; Law, Business Sch, Lanzhou 730070, Peoples R China</t>
  </si>
  <si>
    <t>Xi'an University of Technology; Gansu University of Political Science &amp; Law</t>
  </si>
  <si>
    <t>Li, L (corresponding author), Xian Univ Technol, Sch Econ &amp; Management, Xi'an 710054, Peoples R China.;Li, L (corresponding author), Gansu Univ Polit Sci &amp; Law, Business Sch, Lanzhou 730070, Peoples R China.</t>
  </si>
  <si>
    <t>1190511007@stu.xaut.edu.cn; slyangxaut@126.com</t>
  </si>
  <si>
    <t>National Social Science Fund of China Project [21AJY020]</t>
  </si>
  <si>
    <t>National Social Science Fund of China Project</t>
  </si>
  <si>
    <t>AcknowledgmentsThe research was funded by the National Social Science Fund of China Project (21AJY020).</t>
  </si>
  <si>
    <t>1026-0226</t>
  </si>
  <si>
    <t>1607-887X</t>
  </si>
  <si>
    <t>DISCRETE DYN NAT SOC</t>
  </si>
  <si>
    <t>Discrete Dyn. Nat. Soc.</t>
  </si>
  <si>
    <t>JUN 15</t>
  </si>
  <si>
    <t>10.1155/2022/9755719</t>
  </si>
  <si>
    <t>Mathematics, Interdisciplinary Applications; Multidisciplinary Sciences</t>
  </si>
  <si>
    <t>Mathematics; Science &amp; Technology - Other Topics</t>
  </si>
  <si>
    <t>2M2ZY</t>
  </si>
  <si>
    <t>WOS:000817575300001</t>
  </si>
  <si>
    <t>Watanabe, K</t>
  </si>
  <si>
    <t>Watanabe, Kohei</t>
  </si>
  <si>
    <t>Latent Semantic Scaling: A Semisupervised Text Analysis Technique for New Domains and Languages</t>
  </si>
  <si>
    <t>SENTIMENT ANALYSIS; POLICY POSITIONS; RUSSIA; WORDS; MEDIA; NEWS</t>
  </si>
  <si>
    <t>Many social scientists recognize that quantitative text analysis is a useful research methodology, but its application is still concentrated in documents written in European languages, especially English, and few sub-fields of political science, such as comparative politics and legislative studies. This seems to be due to the absence of flexible and cost-efficient methods that can be used to analyze documents in different domains and languages. Aiming to solve this problem, this paper proposes a semisupervised document scaling technique, called Latent Semantic Scaling (LSS), which can locate documents on various pre-defined dimensions. LSS achieves this by combining user-provided seed words and latent semantic analysis (word embedding). The article demonstrates its flexibility and efficiency in large-scale sentiment analysis of New York Times articles on the economy and Asahi Shimbun articles on politics. These examples show that LSS can produce results comparable to that of the Lexicoder Sentiment Dictionary (LSD) in both English and Japanese with only small sets of sentiment seed words. A new heuristic method that assists LSS users to choose a near-optimal number of singular values to obtain word vectors that best capture differences between documents on target dimensions is also presented.</t>
  </si>
  <si>
    <t>[Watanabe, Kohei] Univ Innsbruck, Dept Polit Sci, Innsbruck, Austria</t>
  </si>
  <si>
    <t>University of Innsbruck</t>
  </si>
  <si>
    <t>Watanabe, K (corresponding author), Dept Polit Sci, Room 2-44,Univ Str 15,2nd Floor, A-6020 Innsbruck, Austria.</t>
  </si>
  <si>
    <t>JSPS KAKENHI [JP19H01450]; Japan Society for the Promotion of Science [JP19H01450]</t>
  </si>
  <si>
    <t>JSPS KAKENHI(Ministry of Education, Culture, Sports, Science and Technology, Japan (MEXT)Japan Society for the Promotion of ScienceGrants-in-Aid for Scientific Research (KAKENHI)); Japan Society for the Promotion of Science(Ministry of Education, Culture, Sports, Science and Technology, Japan (MEXT)Japan Society for the Promotion of Science)</t>
  </si>
  <si>
    <t>This study is conducted as part of a project supported by JSPS KAKENHI Grant Number JP19H01450;Japan Society for the Promotion of Science [JP19H01450];</t>
  </si>
  <si>
    <t>10.1080/19312458.2020.1832976</t>
  </si>
  <si>
    <t>WOS:000588113600001</t>
  </si>
  <si>
    <t>Gross, M; Krauss, S</t>
  </si>
  <si>
    <t>Gross, Martin; Krauss, Svenja</t>
  </si>
  <si>
    <t>Topic Coverage of Coalition Agreements in Multi-Level Settings: The Case of Germany</t>
  </si>
  <si>
    <t>GERMAN POLITICS</t>
  </si>
  <si>
    <t>POLITICAL-PARTIES; PREFERENCES; ACCOUNTABILITY; REPRESENTATION; PERFORMANCE; COMPETITION; CHALLENGES; ELECTIONS; CLARITY; RESPONSIBILITY</t>
  </si>
  <si>
    <t>Scholars mostly concentrate on those agreements that are written at the national level when analysing coalition agreements. However, there are also a considerable amount of coalition agreements that are written at sub-national levels. This paper analyses the commonalities and differences in coalition agreements in the German multi-level system at the national, regional and local level. From a legal jurisdiction perspective, one would expect that there are major differences across political levels in the topics covered in the agreements. From a multi-level governance perspective, however, one would additionally expect that government parties also devote their attention to policy domains that lie outside their realm of legislative decision-making. We take Germany as a prime example of a political system characterised by joint decision-making within cooperative federalism. Combining data from the Political Documents Archive () with newly gathered data from the Local Manifesto Project (LMP; ), we analyse nearly 200 coalition agreements at the national, regional and local level in Germany by applying quantitative text analysis techniques. The empirical results show that governing parties mostly discuss the policy areas they are legally responsible for. However, particularly local and regional governing parties also address issues that are primarily part of federal jurisdiction.</t>
  </si>
  <si>
    <t>[Gross, Martin] Ludwig Maximilians Univ Munchen, Geschwister Scholl Inst Polit Sci, Munich, Germany; [Krauss, Svenja] Univ Essex, Colchester, Essex, England</t>
  </si>
  <si>
    <t>University of Munich; University of Essex</t>
  </si>
  <si>
    <t>Gross, M (corresponding author), Ludwig Maximilians Univ Munchen, Geschwister Scholl Inst Polit Sci, Munich, Germany.</t>
  </si>
  <si>
    <t>Gross, Martin/I-5379-2019</t>
  </si>
  <si>
    <t>Gross, Martin/0000-0002-8836-3388</t>
  </si>
  <si>
    <t>0964-4008</t>
  </si>
  <si>
    <t>1743-8993</t>
  </si>
  <si>
    <t>GER POLIT</t>
  </si>
  <si>
    <t>Ger. Polit.</t>
  </si>
  <si>
    <t>10.1080/09644008.2019.1658077</t>
  </si>
  <si>
    <t>SE8TZ</t>
  </si>
  <si>
    <t>WOS:000482678100001</t>
  </si>
  <si>
    <t>Sprenger, S; Nienaber, B</t>
  </si>
  <si>
    <t>Sprenger, Sandra; Nienaber, Birte</t>
  </si>
  <si>
    <t>(Education for) Sustainable Development in Geography Education: review and outlook from a perspective of Germany</t>
  </si>
  <si>
    <t>JOURNAL OF GEOGRAPHY IN HIGHER EDUCATION</t>
  </si>
  <si>
    <t>Education for sustainable development (ESD); sustainability; Germany; implementation; university study programs</t>
  </si>
  <si>
    <t>US GEOGRAPHY; ENVIRONMENT; CURRICULUM</t>
  </si>
  <si>
    <t>Nearly 15 years after the Rio Conference and 10 years after the Lucerne Declaration on Geographical Education for Sustainable Development we are interested to what extent the goals of this declaration have been implemented? What role does Geography play in Education for Sustainable Development in higher education? We analyzed the modules of 107 degree programs with Geography as a degree major or as a teacher training subject at 55 German universities, technical colleges and universities of education. We conducted a quantitative text analysis in which we searched the key words Sustainability, Sustainable Development, Education for Sustainable Development and Nature-Society Studies in the Module Regulations. Our data indicate great heterogeneity between the degree programs. The key words were predominantly found in majors in Human Geography, Geography and teacher training programs for academic high schools. Aspects of the results considered in the paper include: (a) differences in the orientation of degree programs, (b) varying degree of implementation in the modules, (c) different conceptual understanding of the principles of sustainability, (d) the extent to which concepts of Environmental Education and Education for Sustainable Development are mixed, (e) heterogeneity between mandatory courses and electives.</t>
  </si>
  <si>
    <t>[Sprenger, Sandra] Univ Hamburg, Fac Educ, Hamburg, Germany; [Nienaber, Birte] Univ Luxembourg, Inst Geog &amp; Spatial Planning, Esch Belval, Luxembourg</t>
  </si>
  <si>
    <t>University of Hamburg; University of Luxembourg</t>
  </si>
  <si>
    <t>Sprenger, S (corresponding author), Univ Hamburg, Fac Educ, Hamburg, Germany.</t>
  </si>
  <si>
    <t>sandra.sprenger@uni-hamburg.de</t>
  </si>
  <si>
    <t>Sprenger, Sandra/AAT-1478-2021</t>
  </si>
  <si>
    <t>Sprenger, Sandra/0000-0002-9599-8103; Nienaber, Birte/0000-0002-9516-3915</t>
  </si>
  <si>
    <t>0309-8265</t>
  </si>
  <si>
    <t>1466-1845</t>
  </si>
  <si>
    <t>J GEOGR HIGHER EDUC</t>
  </si>
  <si>
    <t>J. Geogr. High. Educ.</t>
  </si>
  <si>
    <t>10.1080/03098265.2017.1379057</t>
  </si>
  <si>
    <t>Education &amp; Educational Research; Geography</t>
  </si>
  <si>
    <t>GJ4BT</t>
  </si>
  <si>
    <t>WOS:000435299700001</t>
  </si>
  <si>
    <t>Li, XQ; Yang, AY; Yan, H</t>
  </si>
  <si>
    <t>Li, Xiuqi; Yang, Aoyi; Yan, Han</t>
  </si>
  <si>
    <t>Priorities and Instruments of Local Elderly Care Policies in China: Text Mining and Comparative Analysis</t>
  </si>
  <si>
    <t>FRONTIERS IN PUBLIC HEALTH</t>
  </si>
  <si>
    <t>elderly care; public health policy; text mining; policy priority; policy instrument</t>
  </si>
  <si>
    <t>LONG-TERM-CARE; ENERGY POLICIES; EVOLUTION; CHOICE</t>
  </si>
  <si>
    <t>Health care for the elderly is one of the key issues in the field of public health. In the context of global aging, the government's policy framework for elderly care affects the development of local elderly care. The priorities and instruments of the elderly care policy are important windows for understanding the local development planning system. This paper uses a quantitative text analysis method based on text mining to analyze 3,618 provincial policies in China. Considering the pilot demonstration projects for elderly care selected by the Chinese government in recent years, this paper finds that local elderly care policies have a three-phase evolution, and the priorities in each phase are solving the legacy of transition, expanding private sector participation, and realizing the well-being of the elderly. Moreover, mature regions use more environmental policy instruments, and the most effective are financial services, regulatory systems, and strategic guidance. For immature regions, it is necessary to use more core instruments on the premise of using basic instruments so that public policies can serve local development and realize the well-being of the elderly.</t>
  </si>
  <si>
    <t>[Li, Xiuqi; Yan, Han] Univ Chinese Acad Sci, Sch Publ Policy &amp; Management, Beijing, Peoples R China; [Yang, Aoyi] Univ Melbourne, Sch Culture &amp; Commun, Melbourne, Vic, Australia</t>
  </si>
  <si>
    <t>Chinese Academy of Sciences; University of Chinese Academy of Sciences, CAS; University of Melbourne</t>
  </si>
  <si>
    <t>Li, XQ (corresponding author), Univ Chinese Acad Sci, Sch Publ Policy &amp; Management, Beijing, Peoples R China.</t>
  </si>
  <si>
    <t>lixiuqi17@mails.ucas.edu.cn</t>
  </si>
  <si>
    <t>2296-2565</t>
  </si>
  <si>
    <t>FRONT PUBLIC HEALTH</t>
  </si>
  <si>
    <t>Front. Public Health</t>
  </si>
  <si>
    <t>10.3389/fpubh.2021.647670</t>
  </si>
  <si>
    <t>WI5AC</t>
  </si>
  <si>
    <t>WOS:000708371800001</t>
  </si>
  <si>
    <t>Freden, A; Sikstrom, S</t>
  </si>
  <si>
    <t>Freden, Annika; Sikstrom, Sverker</t>
  </si>
  <si>
    <t>Voters' view of leaders during the Covid-19 crisis: Quantitative analysis of keyword descriptions provides strength and direction of evaluations</t>
  </si>
  <si>
    <t>approval ratings; Covid-19; Prime Ministers; quantitative text analysis; sympathy score</t>
  </si>
  <si>
    <t>Objectives Previous research suggests that governments usually gain support during crises such as the Covid-19. However, these findings are based on rating scales that only allow us to measure the strength of this support. This article proposes a new measure of how voters evaluate Prime Ministers (PM) by asking for descriptive keywords that are analyzed by natural language processing. Methods By collecting a representative sample of citizens' own key words describing their PM in 15 countries in Europe during the outbreak of Covid-19, and analyzing these by latent semantic analysis and a multiple OLS regression, we could quantify the strength and direction of voters' view. Results The strength analysis supported previous studies that describing the PM with positive words was strongly associated with vote intention. Furthermore, a change in the direction of the attitudes from good to honest was found. A new finding was that the pandemic was associated with an increase in polarization. Conclusions The keyword evaluation analysis provides opportunities of evaluating both strength and direction of voters' view of their PM, where we show new results related to increased polarization and shift in the direction of attitudes.</t>
  </si>
  <si>
    <t>[Freden, Annika] Karlstad Univ, Dept Polit Hist Religious &amp; Cultural Studies, S-65188 Karlstad, Sweden; [Sikstrom, Sverker] Lund Univ, Dept Psychol, Lund, Sweden</t>
  </si>
  <si>
    <t>Karlstad University; Lund University</t>
  </si>
  <si>
    <t>Freden, A (corresponding author), Karlstad Univ, Dept Polit Hist Religious &amp; Cultural Studies, S-65188 Karlstad, Sweden.</t>
  </si>
  <si>
    <t>annika.freden@kau.se</t>
  </si>
  <si>
    <t>Fredén, Annika/AAL-8473-2020</t>
  </si>
  <si>
    <t>Fredén, Annika/0000-0003-0820-8626; Sikstrom, Sverker/0000-0003-2644-9626</t>
  </si>
  <si>
    <t>King's College London; Universite de Montreal; University of Toronto; Universite Libre de Bruxelles; Karlstad University; University of Vienna, Sciences Po Paris; University of California, Riverside; University College Dublin; University of Helsinki; Pompeu Fabra University</t>
  </si>
  <si>
    <t>King's College London(General Electric); Universite de Montreal; University of Toronto(University of Toronto); Universite Libre de Bruxelles; Karlstad University; University of Vienna, Sciences Po Paris; University of California, Riverside(University of California System); University College Dublin; University of Helsinki; Pompeu Fabra University</t>
  </si>
  <si>
    <t>The authors are grateful for co-funding and collaboration with a group of scholars from King's College London, Universite de Montreal, University of Toronto, Universite Libre de Bruxelles, Karlstad University, University of Vienna, Sciences Po Paris, University of California, Riverside, University College Dublin, University of Helsinki and Pompeu Fabra University. The authors would like to thank research assistant Alexander Rangfalt, and Axel Cronert, Andrew Philips and the reviewers for helpful comments.</t>
  </si>
  <si>
    <t>10.1111/ssqu.13036</t>
  </si>
  <si>
    <t>XD8JE</t>
  </si>
  <si>
    <t>WOS:000681700800001</t>
  </si>
  <si>
    <t>Guillo, L</t>
  </si>
  <si>
    <t>Guillo, Laurent</t>
  </si>
  <si>
    <t>The application of the techniques of the history of the book to musicology. The contribution of the Journal of Musicology</t>
  </si>
  <si>
    <t>REVUE DE MUSICOLOGIE</t>
  </si>
  <si>
    <t>French</t>
  </si>
  <si>
    <t>EUROPE 1600-1900; MUSICAL EDITIONS; CIRCULATION; ELITE; 17TH-CENTURY; 18TH-CENTURY; MANUSCRIPT; PARIS; COLLECTION; LIBRARY</t>
  </si>
  <si>
    <t>This paper considers the ways in which, during the lifetime of the Revue de musicologie, the history of the book might have influenced the study of musicology. Its aim is to quantify and evaluate the way the traditional techniques of the discipline (the technical and material study of the document, the organizational and social study of the profession, the study of the intellectual and artistic environments) might have enriched musicological research, by means of material and historical bibliographies, of quantitative economics and quantitative text analysis (bibliometry), or of the history of techniques and professional circles. From an inventory of the articles published in the Revue, we have tried to discern the areas and periods in which these techniques were most used, who most prominently promoted them, and whether this trend found echoes in other Francophone musicological journals such as the Revue musicale and the Revue beige de musicologie. It appears that the scholars most interested in the history of the book held at one time or another positions in libraries or archives, and that some of them were crucially involved in decisions about the preservation and promotion of collections of music, especially in Paris.</t>
  </si>
  <si>
    <t>[Guillo, Laurent] IReMus, CNRS BnF MCC Sorbonne, Paris, France</t>
  </si>
  <si>
    <t>UDICE-French Research Universities; Sorbonne Universite</t>
  </si>
  <si>
    <t>Guillo, L (corresponding author), IReMus, CNRS BnF MCC Sorbonne, Paris, France.</t>
  </si>
  <si>
    <t>lguillo223@orange.fr</t>
  </si>
  <si>
    <t>EDITIONS TRANSATLANTIQUES</t>
  </si>
  <si>
    <t>50 RUE JOSEPH DE MAISTRE, 75018 PARIS, FRANCE</t>
  </si>
  <si>
    <t>0035-1601</t>
  </si>
  <si>
    <t>REV MUSICOL</t>
  </si>
  <si>
    <t>Rev. Music.</t>
  </si>
  <si>
    <t>Music</t>
  </si>
  <si>
    <t>HF7ZH</t>
  </si>
  <si>
    <t>WOS:000454460200005</t>
  </si>
  <si>
    <t>Yano, Y; Blandford, D; Maruyama, A; Nakamura, T</t>
  </si>
  <si>
    <t>Yano, Yuki; Blandford, David; Maruyama, Atsushi; Nakamura, Tetsuya</t>
  </si>
  <si>
    <t>Consumer perceptions of fresh leafy vegetables in Japan: An application of word co-occurrence network analysis</t>
  </si>
  <si>
    <t>BRITISH FOOD JOURNAL</t>
  </si>
  <si>
    <t>Consumer perceptions; Centrality; Text analysis; Community detection; Leafy vegetables; Word co-occurrence network</t>
  </si>
  <si>
    <t>CENTRALITY; CONSUMPTION; FRUIT</t>
  </si>
  <si>
    <t>Purpose The purpose of this paper is to investigate Japanese consumer perceptions of the benefits of consuming fresh leafy vegetables. Design/methodology/approach An online bulletin board survey was conducted in Japan to collect responses to an open-ended question about reasons for consuming fresh leafy vegetables. A total of 897 responses were analysed using word co-occurrence network analysis. A community detection method and centrality measures were used to interpret the resulting network map. Findings Using a community detection algorithm, the authors identify six major groups of words that represent respondents' core motives for consuming leafy vegetables. While Japanese consumers view health benefits to be most important, sensory factors, such as texture, colour, and palatability, and convenience factors also influence attitudes. The authors find that centrality measures can be useful in identifying keywords that appear in various contexts of consumer responses. Originality/value This is the first paper to use a quantitative text analysis to examine consumer perceptions for fresh leafy vegetables. The analysis also provides pointers for creating visually interpretable co-occurrence network maps from textual data and discusses the role of community structure and centrality in interpreting such maps.</t>
  </si>
  <si>
    <t>[Yano, Yuki; Maruyama, Atsushi] Chiba Univ, Dept Food &amp; Resource Econ, Matsudo, Chiba, Japan; [Blandford, David] Penn State Univ, Dept Agr Econ Sociol &amp; Educ, University Pk, PA 16802 USA; [Nakamura, Tetsuya] Kyoei Univ, Dept Int Business Management, Kasukabe, Japan</t>
  </si>
  <si>
    <t>Chiba University; Pennsylvania Commonwealth System of Higher Education (PCSHE); Pennsylvania State University; Pennsylvania State University - University Park</t>
  </si>
  <si>
    <t>Yano, Y (corresponding author), Chiba Univ, Dept Food &amp; Resource Econ, Matsudo, Chiba, Japan.</t>
  </si>
  <si>
    <t>y.yano@chiba-u.jp; blandford.david@yahoo.com; a.maruyama@faculty.chiba-u.jp; t-nakamura@kyoei.ac.jp</t>
  </si>
  <si>
    <t>JSPS KAKENHI [JP17K15327]</t>
  </si>
  <si>
    <t>JSPS KAKENHI(Ministry of Education, Culture, Sports, Science and Technology, Japan (MEXT)Japan Society for the Promotion of ScienceGrants-in-Aid for Scientific Research (KAKENHI))</t>
  </si>
  <si>
    <t>This work was supported by JSPS KAKENHI Grant No. JP17K15327.</t>
  </si>
  <si>
    <t>0007-070X</t>
  </si>
  <si>
    <t>1758-4108</t>
  </si>
  <si>
    <t>BRIT FOOD J</t>
  </si>
  <si>
    <t>Br. Food J.</t>
  </si>
  <si>
    <t>10.1108/BFJ-09-2017-0500</t>
  </si>
  <si>
    <t>Agricultural Economics &amp; Policy; Food Science &amp; Technology</t>
  </si>
  <si>
    <t>GW7SC</t>
  </si>
  <si>
    <t>WOS:000447168700005</t>
  </si>
  <si>
    <t>Kostovicova, D; Paskhalis, T</t>
  </si>
  <si>
    <t>Kostovicova, Denisa; Paskhalis, Tom</t>
  </si>
  <si>
    <t>Gender, Justice and Deliberation: Why Women Don't Influence Peacemaking</t>
  </si>
  <si>
    <t>SEXUAL VIOLENCE; PEACE PROCESSES; DEMOCRACY; REPRESENTATION; CHALLENGES; TEXT; PARTICIPATION; INEQUALITY; COUNTRIES; LOOKING</t>
  </si>
  <si>
    <t>Scholars have pinpointed that women's underrepresentation in peacemaking results in gendered outcomes that do not address women's needs and interests. Despite recent increased representation at the negotiating table, women still have a limited influence on peacemaking outcomes. We propose that differences in female and male speeches reflected in the gendered patterns in discourse during peacemaking explain how women's influence is curtailed. We examine women's speaking behavior in transitional justice debates in the post-conflict Balkans. Applying multimethod quantitative text analysis to over half a million words in multiple languages, we analyze structural and thematic speech patterns. We find that men's domination of turn-taking and the absence of topics reflecting women's needs and interests lead to a gendered outcome. The sequences of men talking after men are longer than those of women talking after women, which restricts women's deliberative space and opportunities to develop and sustain arguments that reflect their concerns. We find no evidence that women's limited influence is driven by lower deliberative quality of their speeches. This study of gendered dynamics at the microlevel of discourse identifies a novel dimension of male domination during peacemaking.</t>
  </si>
  <si>
    <t>[Kostovicova, Denisa] London Sch Econ &amp; Polit Sci, Global Polit European Inst, London, England; [Paskhalis, Tom] NYU, Ctr Social Media &amp; Polit, New York, NY 10003 USA</t>
  </si>
  <si>
    <t>University of London; London School Economics &amp; Political Science; New York University</t>
  </si>
  <si>
    <t>Kostovicova, D (corresponding author), London Sch Econ &amp; Polit Sci, Global Polit European Inst, London, England.</t>
  </si>
  <si>
    <t>Paskhalis, Tom/ABC-9976-2021</t>
  </si>
  <si>
    <t>Paskhalis, Tom/0000-0001-9298-8850; Kostovicova, Denisa/0000-0002-6243-4379</t>
  </si>
  <si>
    <t>Leverhulme Trust [RF-2015-262]; Arts and Humanities Research Council (AHRC) grant under the Conflict Theme of the Partnership for Conflict, Crime and Security Research (PaCCS) [AH/P005365/1]; Global Challenges Research Fund (GCRF); LSE's Department of Government</t>
  </si>
  <si>
    <t>Leverhulme Trust(Leverhulme Trust); Arts and Humanities Research Council (AHRC) grant under the Conflict Theme of the Partnership for Conflict, Crime and Security Research (PaCCS); Global Challenges Research Fund (GCRF); LSE's Department of Government</t>
  </si>
  <si>
    <t>The authors thank Christine Chinkin, MarshaHenry, James Gow, Henry Redwood, Rachel Kerr, Tiffany Fairey, Ivor Sokolic, Amit Singhal, Vesna Popovski, Vjollca Krasniqi, Reed Wood, Anna Oltman, and Mareike Schomerus for their helpful comments and questions, and the LSE's Centre for Women, Peace and Security for hosting the first presentation of this work. Denisa Kostovicova gratefully acknowledges input from Andre Bachtiger, Dominik Hangart-ner, and Kenneth Benoit into the process of creating the data, and research support from the late Svetlana Djurdjevic-Lukic and from Ivona Ladjevac. We benefited from useful feedback and comments from anonymous reviewers and journal editors. Denisa Kostovicova's work on this article was funded by the Leverhulme Trust (Research Fellowship RF-2015-262) and the Arts and Humanities Research Council (AHRC) grant, Art and Reconciliation: Culture, Community and Conflict (AH/P005365/1), awarded under the Conflict Theme of the Partnership for Conflict, Crime and Security Research (PaCCS) and with support from the Global Challenges Research Fund (GCRF). The authors thank the LSE's Department of Government for the funding that supported Tom Paskhalis' work on this article. All data underlying this article were created and are owned by Denisa Kostovicova. These data are available on the Harvard Dataverse</t>
  </si>
  <si>
    <t>10.1093/isq/sqab003</t>
  </si>
  <si>
    <t>TF8LP</t>
  </si>
  <si>
    <t>WOS:000670967200001</t>
  </si>
  <si>
    <t>Liu, X</t>
  </si>
  <si>
    <t>Liu, Xia</t>
  </si>
  <si>
    <t>Analyzing the impact of user-generated content on B2B Firms' stock performance: Big data analysis with machine learning methods</t>
  </si>
  <si>
    <t>Big data; User-generated content; LDA; Sentiment analysis; Machine learning</t>
  </si>
  <si>
    <t>AUTOMATED CONTENT-ANALYSIS; WORD-OF-MOUTH; SENTIMENT ANALYSIS; DATA ANALYTICS; TEXT ANALYSIS; REVIEWS; MODEL; PANEL; MANAGEMENT; COMMUNITY</t>
  </si>
  <si>
    <t>Marketing scholars are interested in the big data of user-generated content (UGC) from social media platforms. However, the majority of current UGC studies have been conducted in the business-to-consumer (B2C) context. To fill the knowledge gap in business-to-business (B2B) research, we investigate whether UGC has differential impacts on stock performance for B2B and B2C firms by using big data. We collect a large dataset of 84 million tweets from 20.3 million Twitter accounts and 8 years of stock data for 407 companies from the S&amp;P500 index. The results from machine learning methods are transformed into a monthly panel data. We conduct fixed effects model on the panel data. We find that UGC has a significant impact on firms' stock performance and that its impact on stock performance is much stronger among B2C firms than among B2B firms. While consumers' positive sentiment does not play a significant role in stock performance, consumers' negative sentiment and WOM significantly impact stock prices.</t>
  </si>
  <si>
    <t>[Liu, Xia] Rowan Univ, William G Rohrer Coll Business, Dept Mkt, 201 Mull Hill Rd, Glassboro, NJ 08028 USA; [Liu, Xia] Rowan Univ, William G Rohrer Coll Business, BIS, 201 Mull Hill Rd, Glassboro, NJ 08028 USA</t>
  </si>
  <si>
    <t>Rowan University; Rowan University</t>
  </si>
  <si>
    <t>Liu, X (corresponding author), Rowan Univ, William G Rohrer Coll Business, Dept Mkt, 201 Mull Hill Rd, Glassboro, NJ 08028 USA.;Liu, X (corresponding author), Rowan Univ, William G Rohrer Coll Business, BIS, 201 Mull Hill Rd, Glassboro, NJ 08028 USA.</t>
  </si>
  <si>
    <t>liul@rowan.edu</t>
  </si>
  <si>
    <t>10.1016/j.indmarman.2019.02.021</t>
  </si>
  <si>
    <t>LG2LA</t>
  </si>
  <si>
    <t>WOS:000527937700004</t>
  </si>
  <si>
    <t>Schatto-Eckrodt, T; Janzik, R; Reer, F; Boberg, S; Quandt, T</t>
  </si>
  <si>
    <t>Schatto-Eckrodt, Tim; Janzik, Robin; Reer, Felix; Boberg, Svenja; Quandt, Thorsten</t>
  </si>
  <si>
    <t>A Computational Approach to Analyzing the Twitter Debate on Gaming Disorder</t>
  </si>
  <si>
    <t>MEDIA AND COMMUNICATION</t>
  </si>
  <si>
    <t>addiction; content analysis; entertainment research; games; gaming disorder; social media</t>
  </si>
  <si>
    <t>SOCIAL MEDIA; ADDICTION; COMMUNICATION; JOURNALISM; DISCOURSE; PITFALLS; FACEBOOK; MATTERS; YOUTUBE; TEXT</t>
  </si>
  <si>
    <t>The recognition of excessive forms of media entertainment use (such as uncontrolled video gaming or the use of social networking sites) as a disorder is a topic widely discussed among scientists and therapists, but also among politicians, journalists, users, and the industry. In 2018, when the World Health Organization (WHO) decided to include the addictive use of digital games (gaming disorder) as a diagnosis in the International Classification of Diseases, the debate reached a new peak. In the current article, we aim to provide insights into the public debate on gaming disorder by examining data from Twitter for 11 months prior to and 8 months after the WHO decision, analyzing the (change in) topics, actors, and sentiment over time. Automated content analysis revealed that the debate is organic and not driven by spam accounts or other overly active 'power users.' The WHO announcement had a major impact on the debate, moving it away from the topics of parenting and child welfare, largely by activating actors from gaming culture. The WHO decision also resulted in a major backlash, increasing negative sentiments within the debate.</t>
  </si>
  <si>
    <t>[Schatto-Eckrodt, Tim; Janzik, Robin; Reer, Felix; Boberg, Svenja; Quandt, Thorsten] Univ Munster, Dept Commun, D-48143 Munster, Germany</t>
  </si>
  <si>
    <t>Schatto-Eckrodt, T (corresponding author), Univ Munster, Dept Commun, D-48143 Munster, Germany.</t>
  </si>
  <si>
    <t>tim.schatto-eckrodt@uni-muenster.de; robin.janzik@uni-muenster.de; felix.reer@uni-muenster.de; svenja.boberg@uni-muenster.de; thorsten.quandt@uni-muenster.de</t>
  </si>
  <si>
    <t>Quandt, Thorsten/ABE-4668-2021; Schatto-Eckrodt, Tim/AAD-5004-2022</t>
  </si>
  <si>
    <t>Quandt, Thorsten/0000-0003-1937-0282; Schatto-Eckrodt, Tim/0000-0003-1658-4373; Janzik, Robin/0000-0001-8100-5791</t>
  </si>
  <si>
    <t>German Federal Ministry of Education and Research; University of Munster</t>
  </si>
  <si>
    <t>German Federal Ministry of Education and Research(Federal Ministry of Education &amp; Research (BMBF)); University of Munster</t>
  </si>
  <si>
    <t>The research was funded in part by the German Federal Ministry of Education and Research. We acknowledge support by the open access publication fund at the University of Munster. We would also like to thank the reviewers and the Academic Editors for their constructive feedback.</t>
  </si>
  <si>
    <t>2183-2439</t>
  </si>
  <si>
    <t>MEDIA COMMUN-LISBON</t>
  </si>
  <si>
    <t>Media Commun.</t>
  </si>
  <si>
    <t>10.17645/mac.v8i3.3128</t>
  </si>
  <si>
    <t>NE6KQ</t>
  </si>
  <si>
    <t>WOS:000562709200006</t>
  </si>
  <si>
    <t>Jetschke, A; Munch, S; Cardozo-Silva, AR; Theiner, P</t>
  </si>
  <si>
    <t>Jetschke, Anja; Muench, Soeren; Cardozo-Silva, Adriana Rocio; Theiner, Patrick</t>
  </si>
  <si>
    <t>Patterns of (Dis)similarity in the Design of Regional Organizations: The Regional Organizations Similarity Index (ROSI)</t>
  </si>
  <si>
    <t>regional organizations; institutional design; regionalism; large-n; quantitative text analysis</t>
  </si>
  <si>
    <t>INTERNATIONAL-ORGANIZATIONS; DIFFUSION; TRADE; POLICY</t>
  </si>
  <si>
    <t>How similar are the institutional designs of regional organizations (ROs)? Is there a trend toward particular designs such as the European Union's, or is there greater institutional variety as more regions have created an increasing number of ROs? Which designs have spread through the system, and which remain idiosyncratic? To answer these questions, the Comparative Regional Organizations Project has assembled the most detailed dataset on ROs to date, with more than 80 organizations and their 276 founding and amending treaties being coded on more than 300 institutional design features. From these data, the project has generated the Regional Organizations Similarity Index (ROSI), a dyadic measure of the similarity between any two ROs at various points during their existence. We outline the rationale for ROSI and detail its construction, and show that it captures previously unstudied patterns of variation in the RO universe across time and space. In addition to generalizations about the case universe, ROSI allows us to estimate which institutional designs constitute deviations and which tend to follow established models. We demonstrate the validity of ROSI with the help of brief case studies exploring which institutional design features led to the identified scores.</t>
  </si>
  <si>
    <t>[Jetschke, Anja; Muench, Soeren; Cardozo-Silva, Adriana Rocio] Univ Goettingen, Gottingen, Germany; [Theiner, Patrick] Univ Edinburgh, Edinburgh, Midlothian, Scotland</t>
  </si>
  <si>
    <t>University of Gottingen; University of Edinburgh</t>
  </si>
  <si>
    <t>Jetschke, A (corresponding author), Univ Goettingen, Gottingen, Germany.</t>
  </si>
  <si>
    <t>Jetschke, Anja/0000-0003-4896-9497; Cardozo-Silva, Adriana R./0000-0003-4635-0287; Theiner, Patrick/0000-0003-3561-0717</t>
  </si>
  <si>
    <t>German Research Foundation (DFG) [JE289/5-2]</t>
  </si>
  <si>
    <t>An earlier version of this article was presented at the 2019 Annual Convention of the International Studies Association in Toronto, Canada. We thank all participants as well as the two anonymous reviewers, Wolfgang Alschner, Philippe De Lombaerde, Glenn Rayp, and Soren Stapel for their precise and constructive comments and suggestions. We would like to thank our coders for their work, and their input during the codebook design and implementation process: Jana Iken, Yunfei Li, Claudia Marggraf, Samira Meier, Marco Rachow, Finn Sauermann, Luca Schmidt, Nicolas Schunn, Dina Sielbeck, Jannika Siemen, and Jonathan Sippel. The authors gratefully acknowledge the support provided for this project by the German Research Foundation (DFG) to Anja Jetschke as Principal Investigator (grant agreement number JE289/5-2).</t>
  </si>
  <si>
    <t>10.1093/isp/ekaa006</t>
  </si>
  <si>
    <t>SE1LH</t>
  </si>
  <si>
    <t>WOS:000651836100003</t>
  </si>
  <si>
    <t>Ng, W; Sherman, EL</t>
  </si>
  <si>
    <t>Ng, Weiyi; Sherman, Eliot L.</t>
  </si>
  <si>
    <t>In Search of Inspiration: External Mobility and the Emergence of Technology Intrapreneurs</t>
  </si>
  <si>
    <t>ORGANIZATION SCIENCE</t>
  </si>
  <si>
    <t>labor markets; human resource management; organizational learning; quantitative text analysis; turnover; intrapreneurship</t>
  </si>
  <si>
    <t>CORPORATE ENTREPRENEURSHIP; DYNAMIC CAPABILITIES; LOCAL SEARCH; PRODUCT DEVELOPMENT; KNOWLEDGE WORKERS; PROCESS MODEL; PERFORMANCE; INNOVATION; FIRMS; EXPLORATION</t>
  </si>
  <si>
    <t>Recent scholarship has established several ways in which external hiring-versus filling a role with a comparable internal candidate-is detrimental to firms. Yet, organizational learning theory suggests that external hires benefit firms: by importing knowledge that is unavailable or obscured to insiders and applying it toward experimentation and risky recombination. Accordingly and consistent with studies of learning by hiring and innovation, we predict that external hires are at greater risk of intrapreneurship than internal hires. We test this prediction via a study of product managers in large technology companies. We use machine learning to operationalize intrapreneurship by comparing product manager job descriptions with the founding statements of venture-backed technology entrepreneurs. Our research design employs coarsened exact matching to balance pretreatment covariates between product managers who arrived at their roles internally versus externally. The results of our analysis indicate that externally hired product managers are substantially more intrapreneurial than observably equivalent internal hires. However, we also find that intrapreneurial product managers have a higher turnover rate, an effect that is primarily driven by external hires. This suggests that hiring for intrapreneurship may be a difficult strategy to sustain.</t>
  </si>
  <si>
    <t>[Ng, Weiyi] Natl Univ Singapore, Strategy &amp; Policy, Singapore 119245, Singapore; [Sherman, Eliot L.] London Business Sch, Org Behav, London NWA 4S1, England</t>
  </si>
  <si>
    <t>National University of Singapore</t>
  </si>
  <si>
    <t>Sherman, EL (corresponding author), London Business Sch, Org Behav, London NWA 4S1, England.</t>
  </si>
  <si>
    <t>weiyi_ng@nus.edu.sg; esherman@london.edu</t>
  </si>
  <si>
    <t>Ng, Weiyi/0000-0003-4094-0139; Sherman, Eliot/0000-0002-5475-2019</t>
  </si>
  <si>
    <t>London Business School; National University of Singapore [WBS R-313-000-128-133]; Ewing Kauffman Foundation, Kansas City, Missouri</t>
  </si>
  <si>
    <t>London Business School; National University of Singapore(National University of Singapore); Ewing Kauffman Foundation, Kansas City, Missouri</t>
  </si>
  <si>
    <t>The authors acknowledge financial support from London Business School, the National University of Singapore [Grant WBS R-313-000-128-133] , and a dissertation grant from the Ewing Kauffman Foundation, Kansas City, Missouri.</t>
  </si>
  <si>
    <t>1047-7039</t>
  </si>
  <si>
    <t>ORGAN SCI</t>
  </si>
  <si>
    <t>Organ Sci.</t>
  </si>
  <si>
    <t>10.1287/orsc.2021.1530</t>
  </si>
  <si>
    <t>XW4NH</t>
  </si>
  <si>
    <t>WOS:000735597600001</t>
  </si>
  <si>
    <t>Ecker-Ehrhardt, M</t>
  </si>
  <si>
    <t>Ecker-Ehrhardt, Matthias</t>
  </si>
  <si>
    <t>IO public communication and discursive inclusion: how the UN reported the Arms Trade Treaty process to a global audience</t>
  </si>
  <si>
    <t>JOURNAL OF INTERNATIONAL RELATIONS AND DEVELOPMENT</t>
  </si>
  <si>
    <t>Arms Trade Treaty; International organisation; Legitimation; Orchestration; Public communication; Public information; United Nations</t>
  </si>
  <si>
    <t>INTERNATIONAL-ORGANIZATIONS; LEGITIMACY; AUTHORITY; STATES; WORLD; INSTITUTIONS; DIPLOMACY; DEMOCRACY; POLITICS; SPHERE</t>
  </si>
  <si>
    <t>International organisations (IOs) are increasingly going public by pursuing proactive public communication. How is this trend changing the terms under which global public debates on international issues take place? The article argues that IO public communication may have highly problematic repercussions for public discourse, because it tends to prioritise some voices, while marginalising others. I discuss a problematic prioritisation/marginalisation of voices in relation to three logics of public communication. First, as public information, public communication privileges organisational leaders by heralding their official narrative of goals, internal processes and outside action. Second, as governance, it strategically sides with norm entrepreneurs and orchestrates advocacy campaigns. Third, as self-legitimation, it seeks to construct symbolically procedural fairness and inclusiveness. Based on these logics, public communication may play a questionable role in marginalising critics of IO policies and procedures while facilitating public (mis)perceptions of its democratic credentials and the depoliticisation of institutional inequalities. My argument is illustrated by the results obtained from a combined reconstructive and quantitative text analysis of the United Nations' communications in the Arms Trade Treaty process.</t>
  </si>
  <si>
    <t>[Ecker-Ehrhardt, Matthias] Univ Leipzig, Beethovenstr 15, D-04107 Leipzig, Germany</t>
  </si>
  <si>
    <t>Ecker-Ehrhardt, M (corresponding author), Univ Leipzig, Beethovenstr 15, D-04107 Leipzig, Germany.</t>
  </si>
  <si>
    <t>matthias.ecker-ehrhardt@web.de</t>
  </si>
  <si>
    <t>Ecker-Ehrhardt, Matthias/0000-0001-8396-1234</t>
  </si>
  <si>
    <t>German Research Foundation [EC 323/1-2]</t>
  </si>
  <si>
    <t>German Research Foundation(German Research Foundation (DFG))</t>
  </si>
  <si>
    <t>Research for this paper was funded by the German Research Foundation ('The Communicated IO', EC 323/1-2). Essential research assistance by Sarah Klosterkamp, Stefan Wiechmann, Flora Wild, Manuel Hofmann, Mary Kelley-Bibra and Roisin Cronin is gratefully acknowledged. Earlier versions of this article were presented at the Deutsche Vereinigung fur Politikwissenschaft Kongress 2015, Duisburg-Essen; the International Studies Association Annual Convention 2016, Atlanta; the European Consortium for Political Research Joint Session of Workshops 2016, Pisa; and the European Consortium for Political Research General Conference 2016, Prague. I wish to give special thanks to Alejandro Esguerra, Magda Muller, Bernd Schlipphak, Ada Bote, Lisa Delmuth, Maja Granitz, Thomas Risse, Simon Koschut, Ingo Peters, Sabrina Zajak, Antonia Witt, Brian Rathbun and both reviewers for very helpful comments.</t>
  </si>
  <si>
    <t>1408-6980</t>
  </si>
  <si>
    <t>1581-1980</t>
  </si>
  <si>
    <t>J INT RELAT DEV</t>
  </si>
  <si>
    <t>J. Int. Relat. Dev.</t>
  </si>
  <si>
    <t>10.1057/s41268-018-0143-3</t>
  </si>
  <si>
    <t>LK8YF</t>
  </si>
  <si>
    <t>WOS:000531144400007</t>
  </si>
  <si>
    <t>Levingston, O</t>
  </si>
  <si>
    <t>Levingston, Oliver</t>
  </si>
  <si>
    <t>Minsky's moment? The rise of depoliticised Keynesianism and ideational change at the Federal Reserve after the financial crisis of 2007/08</t>
  </si>
  <si>
    <t>Federal Reserve; central banking; United States; Minsky; Keynesianism; rational expectations; depoliticized Keynesianism; macroprudential regulation; ideational shift; economic ideas</t>
  </si>
  <si>
    <t>MONETARY-POLICY; NATURAL RATE; EXPECTATIONS; CONTRACTS; STABILITY; POLITICS; POWER</t>
  </si>
  <si>
    <t>How did potentially transformative ideas about the way economies should function become enlisted in policy frameworks that produced few major changes to policy orthodoxy at the Federal Reserve after the financial crisis of 2007/08? IPE scholarship has tended to answer this question by identifying the limited purchase of Keynesian ideas in policy circles. In so doing, however, the existing literature has left unexplained the central role of Keynesianism in the Federal Reserve's ideational framework. To fill a gap in this literature, this article argues that ideas fill different functions (cognitive and normative) in the policy process and proposes a new explanatory model, 'depoliticised Keynesianism', for understanding the role that Keynesian ideas played in ideational change at the Federal Reserve after the financial crisis of 2007/08. Using in-depth interviews with current and former Federal Reserve officials, and a quantitative text analysis of Federal Open Market Committee meeting transcripts between 1981 and 2014, it traces the rise of depoliticised Keynesianism to policymakers' normative commitment to depoliticisation and a cognitive interpretation of Keynesian ideas.</t>
  </si>
  <si>
    <t>[Levingston, Oliver] Sci Po, Paris, France</t>
  </si>
  <si>
    <t>Institut d'Etudes Politiques Paris (Sciences Po)</t>
  </si>
  <si>
    <t>Levingston, O (corresponding author), Sci Po, Paris, France.</t>
  </si>
  <si>
    <t>Oliver.Levingston@sciencespo.fr</t>
  </si>
  <si>
    <t>OCT 18</t>
  </si>
  <si>
    <t>10.1080/09692290.2020.1772848</t>
  </si>
  <si>
    <t>WO7JQ</t>
  </si>
  <si>
    <t>WOS:000547973800001</t>
  </si>
  <si>
    <t>Siegel, L; Liu, JY; Gibson, L; Hornik, R</t>
  </si>
  <si>
    <t>Siegel, Leeann; Liu, Jiaying; Gibson, Laura; Hornik, Robert</t>
  </si>
  <si>
    <t>Not All Norm Information is the Same: Effects of Normative Content in the Media on Young People's Perceptions of E-Cigarette and Tobacco Use Norms</t>
  </si>
  <si>
    <t>social norms; media effects; content analysis; tobacco; e-cigarettes</t>
  </si>
  <si>
    <t>SOCIAL NORMS; DESCRIPTIVE NORMS; INJUNCTIVE NORMS; MASS-MEDIA; EXPOSURE; COMMUNICATION; BEHAVIOR; SMOKING; EXPLICATION</t>
  </si>
  <si>
    <t>Norm information in media can predict individuals' norm perceptions and, ultimately, their behavior. Little research has examined how descriptive norm information manifests in media and impacts beliefs in the real world. Previously, using automated content analysis, we measured and examined longitudinal trends in two types of descriptive norm information, individual use depictions and population norms, pertaining to tobacco and e-cigarette use across six media sources from 2014 to 2017. Here, we assess how this norm information affected norm perceptions over time by pairing these data with a rolling cross-sectional survey of young people's beliefs and intentions related to these behaviors. We found that individual use depictions predicted some norm perceptions, although the direction of effects varied depending on the source, behavior, and type of perceptions considered. Population norm content did not affect perceptions. These findings highlight that real-world media norm information has real-world effects, and moderators of these effects should be studied.</t>
  </si>
  <si>
    <t>[Siegel, Leeann] Univ Penn, Philadelphia, PA 19104 USA; [Gibson, Laura] Univ Penn, Perelman Sch Med, Med Eth &amp; Hlth Policy, Philadelphia, PA 19104 USA; [Gibson, Laura] Univ Penn, Perelman Sch Med, PEACH Lab, Philadelphia, PA 19104 USA; [Hornik, Robert] Univ Penn, Annenberg Sch Commun, Commun &amp; Hlth Policy, Philadelphia, PA 19104 USA; [Liu, Jiaying] Univ Georgia, Dept Commun Studies, Athens, GA 30602 USA</t>
  </si>
  <si>
    <t>University of Pennsylvania; University of Pennsylvania; Pennsylvania Medicine; University of Pennsylvania; Pennsylvania Medicine; University of Pennsylvania; University System of Georgia; University of Georgia</t>
  </si>
  <si>
    <t>Siegel, L (corresponding author), NCI, NIH, 9609 Med Ctr Dr, Rockville, MD 20850 USA.</t>
  </si>
  <si>
    <t>leeann.siegel@nih.gov</t>
  </si>
  <si>
    <t>Siegel, Leeann/GQI-4254-2022</t>
  </si>
  <si>
    <t>Siegel, Leeann/0000-0002-3033-2474; Liu, Jiaying/0000-0001-8461-0954</t>
  </si>
  <si>
    <t>National Cancer Institute (NCI) of the National Institutes of Health (NIH); FDA Center for Tobacco Products (CTP) [P50CA179546]</t>
  </si>
  <si>
    <t>National Cancer Institute (NCI) of the National Institutes of Health (NIH)(United States Department of Health &amp; Human ServicesNational Institutes of Health (NIH) - USANIH National Cancer Institute (NCI)); FDA Center for Tobacco Products (CTP)(United States Department of Health &amp; Human Services)</t>
  </si>
  <si>
    <t>The authors disclosed receipt of the following financial support for the research, authorship, and/or publication of this article: Research reported in this publication was supported by the National Cancer Institute (NCI) of the National Institutes of Health (NIH) and FDA Center for Tobacco Products (CTP) under Award Number P50CA179546. The views expressed and the content in this paper are soYYYYlely the responsibility of the authors and do not necessarily represent the views, official policy, or position of the NIH or the Food and Drug Administration (FDA).</t>
  </si>
  <si>
    <t>10.1177/00936502211073290</t>
  </si>
  <si>
    <t>0D4EI</t>
  </si>
  <si>
    <t>WOS:000775949900001</t>
  </si>
  <si>
    <t>Jakob, J; Dobbrick, T; Freudenthaler, R; Haffner, P; Wessler, H</t>
  </si>
  <si>
    <t>Jakob, Julia; Dobbrick, Timo; Freudenthaler, Rainer; Haffner, Patrik; Wessler, Hartmut</t>
  </si>
  <si>
    <t>Is Constructive Engagement Online a Lost Cause? Toxic Outrage in Online User Comments Across Democratic Political Systems and Discussion Arenas</t>
  </si>
  <si>
    <t>toxic outrage; incivility; online discussion; political system; socio-technical affordances</t>
  </si>
  <si>
    <t>DELIBERATIVE DEMOCRACY; SOCIAL MEDIA; INCIVILITY; CIVILITY; NETWORK; NEWS; DETERMINANTS; POLARIZATION; PATTERNS; FACEBOOK</t>
  </si>
  <si>
    <t>This study is the first to simultaneously investigate country-level and platform-related context factors of toxic outrage, that is, destructive incivility, in online discussions. It compares user comments on the public role of religion and secularism from 2015/16 in four democracies (Australia, United States, Germany, Switzerland) and four discussion arenas on three platforms (News websites, Facebook, Twitter). A novel automated content analysis (N = 1,236,551) combines LIWC dictionaries with machine learning. The level of toxic outrage is higher in majoritarian than in consensus-oriented democracies and in arenas that afford plural, issue-driven rather than like-minded, preference-driven debates. Yet, toxic outrage is lower in forums that tend to separate public and private conversations than in those that collapse varying contexts. This suggests that user-generated discussions flourish in environments that incentivize actors to strive for compromise, put relevant issues center stage and make room for public debate at a relative distance from purely social conversation.</t>
  </si>
  <si>
    <t>[Jakob, Julia; Dobbrick, Timo; Freudenthaler, Rainer; Wessler, Hartmut] Univ Mannheim, Baden Wurttemberg, Germany; [Haffner, Patrik] Forum Inst Management GmbH, Heidelberg, Germany</t>
  </si>
  <si>
    <t>Jakob, J (corresponding author), Univ Mannheim, Mannheim Ctr European Social Res, A5,6 Bldg A, D-68159 Mannheim, Baden Wurttembe, Germany.</t>
  </si>
  <si>
    <t>julia.jakob@mzes.uni-mannheim.de</t>
  </si>
  <si>
    <t>Jakob, Julia/0000-0003-2340-5193; Wessler, Hartmut/0000-0003-4216-5471</t>
  </si>
  <si>
    <t>Deutsche Forschungsgemeinschaft (DFG, German Research Foundation) [260291564]</t>
  </si>
  <si>
    <t>Deutsche Forschungsgemeinschaft (DFG, German Research Foundation)(German Research Foundation (DFG))</t>
  </si>
  <si>
    <t>The authors disclosed receipt of the following financial support for the research, authorship, and/or publication of this article: This work was funded by the Deutsche Forschungsgemeinschaft (DFG, German Research Foundation) under grant number 260291564.</t>
  </si>
  <si>
    <t>10.1177/00936502211062773</t>
  </si>
  <si>
    <t>YV8LS</t>
  </si>
  <si>
    <t>WOS:000752976700001</t>
  </si>
  <si>
    <t>de Leon, E; Trilling, D</t>
  </si>
  <si>
    <t>de Leon, Ernesto; Trilling, Damian</t>
  </si>
  <si>
    <t>A Sadness Bias in Political News Sharing? The Role of Discrete Emotions in the Engagement and Dissemination of Political News on Facebook</t>
  </si>
  <si>
    <t>emotions; Facebook; elections; automated content analysis; news sharing; political news</t>
  </si>
  <si>
    <t>CORE AFFECT; EMOTICONS; COMMUNICATION; SENTIMENT; ANXIETY; PUBLICS; ONLINE</t>
  </si>
  <si>
    <t>In this study, we address the role of emotions in political news sharing on Facebook to better understand the complex relationship between journalism, emotions, and politics. Categorizing Facebook Reactions (particularly, the Sad, Angry, Love, and Wow Reactions) according to the discrete emotions model, we evaluate how positive versus negative political content relates to emotional responses, and how this consequentially influences the degree to which articles are shared across social media in the context of an election. We focus on the landmark 2018 Mexican elections to enable a nuanced conversation on how cues of user emotion predict the far-reaching dissemination of news articles on Facebook during a moment of heightened political attention. Our findings demonstrate a negativity bias in news sharing and engagement, showing an outsized prevalence of anger in response to political news. In addition, we provide evidence of a novel sadness bias in the sharing of political coverage, suggesting that emotions considered as deactivating should be reevaluated in the context of social media.</t>
  </si>
  <si>
    <t>[de Leon, Ernesto] Univ Bern, Inst Commun &amp; Media Sci, Bern, Switzerland; [Trilling, Damian] Univ Amsterdam, Dept Commun Sci, Polit Commun &amp; Journalism, Amsterdam, Netherlands</t>
  </si>
  <si>
    <t>University of Bern; University of Amsterdam</t>
  </si>
  <si>
    <t>de Leon, E (corresponding author), Univ Bern, Fabrikstr 8, CH-3012 Bern, Switzerland.</t>
  </si>
  <si>
    <t>ernesto.deleon@unibe.ch</t>
  </si>
  <si>
    <t>de Leon, Ernesto/0000-0003-3152-0722</t>
  </si>
  <si>
    <t>10.1177/20563051211059710</t>
  </si>
  <si>
    <t>XF2CA</t>
  </si>
  <si>
    <t>WOS:000723882600001</t>
  </si>
  <si>
    <t>Al-Smadi, M; Jaradat, Z; Al-Ayyoub, M; Jararweh, Y</t>
  </si>
  <si>
    <t>Al-Smadi, Mohammad; Jaradat, Zain; Al-Ayyoub, Mahmoud; Jararweh, Yaser</t>
  </si>
  <si>
    <t>Paraphrase identification and semantic text similarity analysis in Arabic news tweets using lexical, syntactic, and semantic features</t>
  </si>
  <si>
    <t>INFORMATION PROCESSING &amp; MANAGEMENT</t>
  </si>
  <si>
    <t>Paraphrase identification; Semantic text similarity; Semantic analysis; Arabic language; Natural language processing</t>
  </si>
  <si>
    <t>The rapid growth in digital information has raised considerable challenges in particular when it comes to automated content analysis. Social media such as twitter share a lot of its users' information about their events, opinions, personalities, etc. Paraphrase Identification (PI) is concerned with recognizing whether two texts have the same/similar meaning, whereas the Semantic Text Similarity (STS) is concerned with the degree of that similarity. This research proposes a state-of-the-art approach for paraphrase identification and semantic text similarity analysis in Arabic news tweets. The approach adopts several phases of text processing, features extraction and text classification. Lexical, syntactic, and semantic features are extracted to overcome the weakness and limitations of the current technologies in solving these tasks for the Arabic language. Maximum Entropy (MaxEnt) and Support Vector Regression (SVR) classifiers are trained using these features and are evaluated using a dataset prepared for this research. The experimentation results show that the approach achieves good results in comparison to the baseline results. (c) 2017 Elsevier Ltd. All rights reserved.</t>
  </si>
  <si>
    <t>[Al-Smadi, Mohammad; Jaradat, Zain; Al-Ayyoub, Mahmoud; Jararweh, Yaser] Jordan Univ Sci &amp; Technol, Dept Comp Sci, POB 3030, Irbid 22110, Jordan</t>
  </si>
  <si>
    <t>Al-Smadi, M (corresponding author), Jordan Univ Sci &amp; Technol, Dept Comp Sci, POB 3030, Irbid 22110, Jordan.</t>
  </si>
  <si>
    <t>maalsmadi9@just.edu.jo</t>
  </si>
  <si>
    <t>0306-4573</t>
  </si>
  <si>
    <t>1873-5371</t>
  </si>
  <si>
    <t>INFORM PROCESS MANAG</t>
  </si>
  <si>
    <t>Inf. Process. Manage.</t>
  </si>
  <si>
    <t>10.1016/j.ipm.2017.01.002</t>
  </si>
  <si>
    <t>EO8WX</t>
  </si>
  <si>
    <t>WOS:000396972300006</t>
  </si>
  <si>
    <t>Dukalskis, A; Gerschewski, J</t>
  </si>
  <si>
    <t>Dukalskis, Alexander; Gerschewski, Johannes</t>
  </si>
  <si>
    <t>Adapting or Freezing? Ideological Reactions of Communist Regimes to a Post-Communist World</t>
  </si>
  <si>
    <t>GOVERNMENT AND OPPOSITION</t>
  </si>
  <si>
    <t>authoritarianism; communism; legitimation; ideology; China; North Korea; Cuba; Vietnam</t>
  </si>
  <si>
    <t>CHINA; LEGITIMACY; VIETNAM; CUBA; END</t>
  </si>
  <si>
    <t>This article studies the ideological reactions of communist regimes to the advent of a post-communist world. It examines two cases of reformed communist regimes (China and Vietnam) with two relatively unreformed cases (North Korea and Cuba) to understand different legitimation strategies employed during and after the downfall of the Soviet Union. Theoretically, the article compares two ideal-type approaches to ideology in autocratic regimes. The first approach emphasizes semantic 'freezing' over time. The consistency and coherence of ideology is underlined. The second approach argues that the success of an ideology lies in its ability to be a dynamic, adaptive force that can react with changing circumstances. Four parameters help to distinguish the freeze-frame end from the adaptation pole: (1) the autonomy over semantic changes, (2) the timing, (3) the velocity and (4) the distance that an ideology moves. Using qualitative case-based analysis that is enriched with quantitative text analysis of communist party documents, this article compares these contending conceptions of ideology with each other in the four cases. Sharing similar starting conditions in the 1970s, the article shows how China and Vietnam harnessed a flexible legitimation strategy while North Korea and Cuba adopted a comparatively rigid legitimation approach.</t>
  </si>
  <si>
    <t>[Dukalskis, Alexander] Univ Coll Dublin, Sch Polit &amp; Int Relat, Dublin, Ireland; [Gerschewski, Johannes] Humboldt Univ, Fac Human &amp; Social Sci, Berlin, Germany</t>
  </si>
  <si>
    <t>University College Dublin; Humboldt University of Berlin</t>
  </si>
  <si>
    <t>Dukalskis, A (corresponding author), Univ Coll Dublin, Sch Polit &amp; Int Relat, Dublin, Ireland.</t>
  </si>
  <si>
    <t>alexander.dukalskis@ucd.ie</t>
  </si>
  <si>
    <t>UCD College of Human Sciences Research Fund; School of Politics &amp; International Relations Research Committee; German Research Network 'External Democracy Promotion' of the Leibniz Association; WZB</t>
  </si>
  <si>
    <t>The authors would like to thank Orla Ni Cheallachain (UCD), Jirka Lewandowski (Berlin Social Science Centre, WZB) and Francois-Xavier Lefebure (UCD) for excellent research assistance. We acknowledge with gratitude financial support for research and/or dissemination from the UCD College of Human Sciences Research Fund, the School of Politics &amp; International Relations Research Committee, the German Research Network 'External Democracy Promotion' of the Leibniz Association, and the WZB.</t>
  </si>
  <si>
    <t>0017-257X</t>
  </si>
  <si>
    <t>1477-7053</t>
  </si>
  <si>
    <t>GOV OPPOS</t>
  </si>
  <si>
    <t>Gov. Oppos.</t>
  </si>
  <si>
    <t>PII S0017257X18000404</t>
  </si>
  <si>
    <t>10.1017/gov.2018.40</t>
  </si>
  <si>
    <t>LY8BS</t>
  </si>
  <si>
    <t>WOS:000540753600009</t>
  </si>
  <si>
    <t>Kasperiuniene, J; Briediene, M; Zydziunaite, V</t>
  </si>
  <si>
    <t>Costa, AP; Reis, LP; Moreira, A</t>
  </si>
  <si>
    <t>Kasperiuniene, Judita; Briediene, Monika; Zydziunaite, Vilma</t>
  </si>
  <si>
    <t>Automatic Content Analysis of Social Media Short Texts: Scoping Review of Methods and Tools</t>
  </si>
  <si>
    <t>COMPUTER SUPPORTED QUALITATIVE RESEARCH: NEW TRENDS ON QUALITATIVE RESEARCH (WCQR2019)</t>
  </si>
  <si>
    <t>Advances in Intelligent Systems and Computing</t>
  </si>
  <si>
    <t>4th World Conference on Qualitative Research (WCQR)</t>
  </si>
  <si>
    <t>OCT 16-18, 2019</t>
  </si>
  <si>
    <t>Lusofona Univ Porto, Porto, PORTUGAL</t>
  </si>
  <si>
    <t>Ludomedia,Aveiro Univ CIDTFF,Natl Ctr Res Methods,Asian Qualitat Res Assoc,Interdisciplinary Res Ctr Educ &amp; Dev,Ibero Amer Congress Qualitat Res,Microio,WebQDA,ATLAS ti,Optimal Workshop</t>
  </si>
  <si>
    <t>Lusofona Univ Porto</t>
  </si>
  <si>
    <t>Automatic content analysis; Machine learning; Natural language processing; Social media; Online texts; Software tools; Text classification; Text segmentation</t>
  </si>
  <si>
    <t>SENTIMENT ANALYSIS; CONSTRUCTION; PROMISES; PITFALLS; MACHINE</t>
  </si>
  <si>
    <t>Content analysis is a widely applied method, applicable to qualitative and quantitative data. In content analysis, computer programs could be used not only for manual typing of codes and categories but for automatic screening of texts, software-assisted identifying and coding of words, phrases, paragraphs or events. Methods for analyzing social media textual data are usually associated with computer science, social media and communication scholar articles. These empirical sources focus on optimizing the goals of computer sciences and mostly evaluate the percentage of documents, phrases or words correctly categorized into a set of themes. Our study aimed to scope the nature and extent of empirical research articles and online materials around automatic content analysis not limited to computer science, media, and communication. This article analyzed and systematized the empirical articles of the last five years examining the categories of automatic content analysis and the related research questions focusing on social sciences and provided practical examples of methods, tools and empirical applications. Research gaps were identified and recommendations for the application of automated content analysis are provided.</t>
  </si>
  <si>
    <t>[Kasperiuniene, Judita; Briediene, Monika; Zydziunaite, Vilma] Vytautas Magnus Univ, Kaunas, Lithuania; [Briediene, Monika] Baltic Inst Adv Technol, Vilnius, Lithuania</t>
  </si>
  <si>
    <t>Vytautas Magnus University</t>
  </si>
  <si>
    <t>Kasperiuniene, J (corresponding author), Vytautas Magnus Univ, Kaunas, Lithuania.</t>
  </si>
  <si>
    <t>judita.kasperiuniene@vdu.lt; monika.briediene@vdu.lt; vilma.zydziunaite@vdu.lt</t>
  </si>
  <si>
    <t>Briedienė, Monika/GSI-4130-2022; Kasperiuniene, Judita/Z-2384-2019</t>
  </si>
  <si>
    <t>Kasperiuniene, Judita/0000-0001-6851-7637; Briediene, Monika/0000-0001-6165-1702</t>
  </si>
  <si>
    <t>European Social Fund [09.3.3-LMT-K-712, 09.3.3-LMT-K-712-02-0079]</t>
  </si>
  <si>
    <t>European Social Fund(European Social Fund (ESF))</t>
  </si>
  <si>
    <t>This research was supported by the European Social Fund according to the activity Development of Competencies of Scientists, other Researchers, and Students through Practical Research Activities of Measure No. 09.3.3-LMT-K-712 (Project No. 09.3.3-LMT-K-712-02-0079).</t>
  </si>
  <si>
    <t>2194-5357</t>
  </si>
  <si>
    <t>2194-5365</t>
  </si>
  <si>
    <t>978-3-030-31787-4; 978-3-030-31786-7</t>
  </si>
  <si>
    <t>ADV INTELL SYST COMP</t>
  </si>
  <si>
    <t>10.1007/978-3-030-31787-4_7</t>
  </si>
  <si>
    <t>Computer Science, Artificial Intelligence; Computer Science, Information Systems; Computer Science, Interdisciplinary Applications</t>
  </si>
  <si>
    <t>BR3OO</t>
  </si>
  <si>
    <t>WOS:000648625900007</t>
  </si>
  <si>
    <t>Anson, IG; Anson, CM</t>
  </si>
  <si>
    <t>Anson, Ian G.; Anson, Chris M.</t>
  </si>
  <si>
    <t>Assessing peer and instructor response to writing: A corpus analysis from an expert survey</t>
  </si>
  <si>
    <t>ASSESSING WRITING</t>
  </si>
  <si>
    <t>Peer response; Peer review; Teacher response; Corpus analysis</t>
  </si>
  <si>
    <t>FEEDBACK; STUDENT; WRITTEN; PERCEPTIONS; FREQUENCY; REVIEWERS</t>
  </si>
  <si>
    <t>Over the past 30 years, considerable scholarship has critically examined the nature of instructor response on written assignments in the context of higher education (see Straub, 2006). However, as Haswell (2008) has noted, less is currently known about the nature of peer response, especially as it compares with instructor response. In this study, we critically examine some of the properties of instructor and peer response to student writing. Using the results of an expert survey that provided a lexically-based index of high-quality response, we evaluate a corpus of nearly 50,000 peer responses produced at a four-year public university. Combined with the results of this survey, a large-scale automated content analysis shows first that instructors have adopted some of the field's lexical estimation of high-quality response, and second that student peer response reflects the early acquisition of this lexical estimation, although at further remove from their instructors. The results suggest promising directions for the parallel improvement of both instructor and peer response. (C) 2017 Elsevier Inc. All rights reserved.</t>
  </si>
  <si>
    <t>[Anson, Ian G.] Univ Maryland Baltimore Cty, Dept Polit Sci, 1000 Hilltop Cir,305 PUP, Baltimore, MD 21250 USA; [Anson, Chris M.] North Carolina State Univ, Box 8105, Raleigh, NC 27695 USA</t>
  </si>
  <si>
    <t>University System of Maryland; University of Maryland Baltimore County; University of North Carolina; North Carolina State University</t>
  </si>
  <si>
    <t>Anson, IG (corresponding author), Univ Maryland Baltimore Cty, Dept Polit Sci, 1000 Hilltop Cir,305 PUP, Baltimore, MD 21250 USA.</t>
  </si>
  <si>
    <t>iganson@umbc.edu; chris_anson@ncsu.edu</t>
  </si>
  <si>
    <t>Anson, Ian G./J-5272-2019</t>
  </si>
  <si>
    <t>Anson, Ian G./0000-0002-1545-4270</t>
  </si>
  <si>
    <t>1075-2935</t>
  </si>
  <si>
    <t>ASSESS WRIT</t>
  </si>
  <si>
    <t>Assess. Writ.</t>
  </si>
  <si>
    <t>10.1016/j.asw.2017.03.001</t>
  </si>
  <si>
    <t>FJ0CX</t>
  </si>
  <si>
    <t>WOS:000412377200003</t>
  </si>
  <si>
    <t>Tang, YH; Ma, YL; Wong, CWY; Miao, X</t>
  </si>
  <si>
    <t>Tang, Yanhong; Ma, Yanling; Wong, Christina W. Y.; Miao, Xin</t>
  </si>
  <si>
    <t>Evolution of Government Policies on Guiding Corporate Social Responsibility in China</t>
  </si>
  <si>
    <t>corporate social responsibility; government; metagovernance; policy document; evolution analysis</t>
  </si>
  <si>
    <t>CSR; TRANSITION; DYNAMICS; FIRM; POLITICIANS; PERFORMANCE; GOVERNANCE; ECONOMY; IMPACT; GROWTH</t>
  </si>
  <si>
    <t>This paper aims to unearth the ways in which the Chinese government uses policies to guide corporate social responsibility (CSR) development in China. Co-word analysis, cluster analysis, and network analysis were conducted on the relevant policy documents from 2005 to 2013 from the Chinese government. This paper illustrates the evolution of industry involvement in metagovernance of CSR, the evolution of intergovernmental relations in CSR policy formulation, and the evolution of policy relations on guiding CSR. The quantitative text analysis on policy documents reveals policy intentions and maps policy process, advancing understanding of policy orientation and evolution. The CSR reports of the same period of the State Grid in China are used as empirical evidence to validate the policy evolution. This work presents the overall evolution of the ways in which the Chinese government deployed its guiding strategy on CSR, and empirically demonstrates the organization of metagovernance maneuvered by China's government to promote CSR development in China. It provides perspective and methods to analyze China's networked government policies, and empirically answers the central question of metagovernance about the ways in which the organization of metagovernance is carried out.</t>
  </si>
  <si>
    <t>[Tang, Yanhong] Northeast Agr Univ, Coll Resources &amp; Environm, Harbin 150030, Heilongjiang, Peoples R China; [Ma, Yanling] Zunyi Normal Coll, Sch Management, Business Sch, Zunyi 563006, Peoples R China; [Wong, Christina W. Y.] Hong Kong Polytech Univ, Inst Text &amp; Clothing, Business Div, Kowloon, Hong Kong, Peoples R China; [Miao, Xin] Harbin Inst Technol, Sch Management, Harbin 150001, Heilongjiang, Peoples R China</t>
  </si>
  <si>
    <t>Northeast Agricultural University - China; Zunyi Normal University; Hong Kong Polytechnic University; Harbin Institute of Technology</t>
  </si>
  <si>
    <t>Miao, X (corresponding author), Harbin Inst Technol, Sch Management, Harbin 150001, Heilongjiang, Peoples R China.</t>
  </si>
  <si>
    <t>tangyanhong@aliyun.com; mayanling1129@sina.com; christina.wy.wong@polyu.edu.hk; xin.miao@aliyun.com</t>
  </si>
  <si>
    <t>WONG, Christina W.Y./0000-0002-6130-9613</t>
  </si>
  <si>
    <t>National Natural Science Foundation of China [71471047]; Ministry of Education [15YJC630116]; Research Grants Council of the Hong Kong Special Administration Region, China [GRF PolyU 152031/17B]; Hong Kong Polytechnic University [1-ZVLF]; Qian Ke He LH Zi [[2016]7025]</t>
  </si>
  <si>
    <t>National Natural Science Foundation of China(National Natural Science Foundation of China (NSFC)); Ministry of Education; Research Grants Council of the Hong Kong Special Administration Region, China(Hong Kong Research Grants Council); Hong Kong Polytechnic University(Hong Kong Polytechnic University); Qian Ke He LH Zi</t>
  </si>
  <si>
    <t>This work is partially supported by the National Natural Science Foundation of China (Grant No. 71471047), the Humanities and Social Sciences Fund of Ministry of Education (Grant No. 15YJC630116), the Research Grants Council of the Hong Kong Special Administration Region, China (Grant No. GRF PolyU 152031/17B), the Hong Kong Polytechnic University (Grant No. 1-ZVLF), and Qian Ke He LH Zi (Grant No. [2016]7025)</t>
  </si>
  <si>
    <t>10.3390/su10030741</t>
  </si>
  <si>
    <t>GA8DA</t>
  </si>
  <si>
    <t>WOS:000428567100168</t>
  </si>
  <si>
    <t>Holdich, CE; Holdich, RG; Chung, PWH</t>
  </si>
  <si>
    <t>Assessing aspects of children's written grammar: automating the process</t>
  </si>
  <si>
    <t>COMPUTERS &amp; EDUCATION</t>
  </si>
  <si>
    <t>elementary education; evaluation methodologies; improving classroom teaching</t>
  </si>
  <si>
    <t>Teachers are expected to make regular assessments of pupils' writing, providing feedback about their strengths and weaknesses. If the computer could assist teachers in this task by effectively analysing the grammar element in children's writing, then the teacher's work load would be significantly reduced. A computer generated 'text analysis' of grammatical features would have the benefit of providing diagnostic information systematically and efficiently. Although text analysis is not new, it is generally restricted to applications aimed at adults. The development of a quantitative text analysis program, specifically geared to analysing children's writing was therefore considered profitable. This required an understanding of both the development of children's writing abilities and the criteria of the National Curriculum levels of attainment for the Standard Assessment Tasks (SATs). Ten grammar features were selected for analysis. Stories reflecting the spread of attainment associated with the end of Key Stage 2 were analysed. The computer successfully distinguished positive and negative grammar features within these texts. Nevertheless, an assessment of qualitative genre details made by teachers will still be required, in order to provide a balanced assessment which includes all elements that contribute to effective writing. (C) 2002 Elsevier Science Ltd. All rights reserved.</t>
  </si>
  <si>
    <t>Loughborough Univ Technol, Dept Comp Sci, Loughborough LE11 3TU, Leics, England</t>
  </si>
  <si>
    <t>Loughborough University</t>
  </si>
  <si>
    <t>Holdich, CE (corresponding author), Loughborough Univ Technol, Dept Comp Sci, Loughborough LE11 3TU, Leics, England.</t>
  </si>
  <si>
    <t>Holdich, Richard/A-7799-2013; Chung, Paul/E-5516-2010</t>
  </si>
  <si>
    <t>Chung, Paul/0000-0002-3140-3289</t>
  </si>
  <si>
    <t>0360-1315</t>
  </si>
  <si>
    <t>COMPUT EDUC</t>
  </si>
  <si>
    <t>Comput. Educ.</t>
  </si>
  <si>
    <t>PII S0360-1315(02)00021-0</t>
  </si>
  <si>
    <t>10.1016/S0360-1315(02)00021-0</t>
  </si>
  <si>
    <t>Computer Science, Interdisciplinary Applications; Education &amp; Educational Research</t>
  </si>
  <si>
    <t>585XK</t>
  </si>
  <si>
    <t>WOS:000177550100003</t>
  </si>
  <si>
    <t>Hellmueller, L; Hase, V; Lindner, P</t>
  </si>
  <si>
    <t>Hellmueller, L.; Hase, V.; Lindner, P.</t>
  </si>
  <si>
    <t>Terrorist Organizations in the News: A Computational Approach to Measure Media Attention Toward Terrorism</t>
  </si>
  <si>
    <t>COVERAGE; CONFLICTS; IDEOLOGY; US</t>
  </si>
  <si>
    <t>Media play a vital role in shaping public perceptions of political violence, including terrorism. By covering extremists, media grant terrorists organizations access to a global audience. While they delegitimize their actions they also empower extremists' standing as influential actors in international conflicts. Extending research on terrorist attacks as events of political violence, this study analyzes media attention toward terrorist organizations as actors of political violence. Specifically, we focus on how news values connected to groups and their actions explain media attention. We use computational methods, specifically an automated content analysis of media coverage of 30 terrorist organizations in the US and the UK (N = 18,536). Results illustrate that terrorists can prompt media attention through newsworthy events, specifically by perpetrating lethal attacks on civil targets. The news value of continuity leads to follow-up coverage once a group has secured media attention, while other characteristics such as group ideology or governmental designations are not consistently associated with coverage. By highlighting the role of news values and the capitalization of such by terrorist organizations, the study critically reflects on journalism's role in covering extremists.</t>
  </si>
  <si>
    <t>[Hellmueller, L.; Lindner, P.] Univ Houston, Jack J Valenti Sch Commun, Houston, TX USA; [Hase, V.] Univ Zurich, Dept Commun &amp; Media Res, Zurich, Switzerland</t>
  </si>
  <si>
    <t>University of Houston System; University of Houston; University of Zurich</t>
  </si>
  <si>
    <t>Hellmueller, L (corresponding author), Jack J Valenti Sch Commun, 3347 Cullen Blvd, Houston, TX 77204 USA.</t>
  </si>
  <si>
    <t>leahellmueller@uh.edu</t>
  </si>
  <si>
    <t>Hase, Valerie/AAF-3430-2019; Lindner, Peggy/GNW-5262-2022</t>
  </si>
  <si>
    <t>Hase, Valerie/0000-0001-6656-4894; Hellmueller, Lea/0000-0002-6609-9395; Lindner, Peggy/0000-0002-0447-5690</t>
  </si>
  <si>
    <t>Swiss National Science Foundation [IZSEZ0_181703]</t>
  </si>
  <si>
    <t>This work was supported by the Swiss National Science Foundation under Grant Number IZSEZ0_181703.</t>
  </si>
  <si>
    <t>10.1080/15205436.2021.1936068</t>
  </si>
  <si>
    <t>XT5HP</t>
  </si>
  <si>
    <t>WOS:000664943200001</t>
  </si>
  <si>
    <t>Hohmann, D</t>
  </si>
  <si>
    <t>Hoehmann, Daniel</t>
  </si>
  <si>
    <t>When Do Men Represent Women's Interests in Parliament? How the Presence of Women in Parliament Affects the Legislative Behavior of Male Politicians</t>
  </si>
  <si>
    <t>Representation; gender; women's interests; male MPs; parliamentary questions</t>
  </si>
  <si>
    <t>SUBSTANTIVE REPRESENTATION; CRITICAL MASS; GENDER EQUALITY; PARTY UNITY; PROPORTIONS; NUMBERS; REGRESSION; QUESTIONS; AUTHORITY; ATTITUDES</t>
  </si>
  <si>
    <t>This paper analyzes the conditions affecting male Members of Parliaments' (MPs) proclivity for representing women's interests. It particularly explores whether the presence of female MPs has an effect on men's parliamentary behavior. Three contrasting effects are discussed in the literature: (1) A spillover effect which postulates that men will become more likely to act on behalf of women if the number of female MPs increases, (2) a group-threat effect which creates a hostile backlash among male MPs, or (3) a specialization effect which makes male MPs less likely to represent women because this is typically seen as a function that should be fulfilled by female MPs. Empirically, this paper analyzes the representation of women's issues in parliamentary questions tabled in the German Bundestag (1998-2013) by using automated content analysis. The results support the specialization hypothesis and show that male MPs reduce their intensity of women's representation if the proportion of female MPs is high.</t>
  </si>
  <si>
    <t>[Hoehmann, Daniel] Univ Bamberg, Bamberg, Germany</t>
  </si>
  <si>
    <t>Otto Friedrich University Bamberg</t>
  </si>
  <si>
    <t>Hohmann, D (corresponding author), Univ Bamberg, Bamberg, Germany.</t>
  </si>
  <si>
    <t>daniel.hoehmann@uni-bamberg.de</t>
  </si>
  <si>
    <t>Hohmann, Daniel/0000-0003-1740-5234</t>
  </si>
  <si>
    <t>10.1111/spsr.12392</t>
  </si>
  <si>
    <t>KT3XK</t>
  </si>
  <si>
    <t>WOS:000513561200001</t>
  </si>
  <si>
    <t>Bateman, T; Baumann, S; Johnston, J</t>
  </si>
  <si>
    <t>Bateman, Tyler; Baumann, Shyon; Johnston, Josee</t>
  </si>
  <si>
    <t>Meat as benign, meat as risk: Mapping news discourse of an ambiguous issue</t>
  </si>
  <si>
    <t>Topic modeling; Meat; Risk; Social problems; Blogs; Newspapers</t>
  </si>
  <si>
    <t>TOPIC MODELS; MEDIA; FOOD; PERSPECTIVE; BLOGOSPHERE; STRATEGIES; HEALTH</t>
  </si>
  <si>
    <t>This article analyzes the content of news coverage of the meat industry. As knowledge develops about the social problems connected to the meat industry, we are presented with an empirical question. When an everyday consumer item and major commodity with a rich cultural tradition is also linked to potential risks, how do we talk about it? We investigate how risks of the North American meat industry are discussed in newspaper and news blog articles by conducting an automated content analysis of 2461 articles published from May 2015 to August 2016 and qualitatively coding 100 of these articles. We identify which topics predominate in the discussion of meat and also find variation in the extent to which topics are oriented to discussion of social problem risks. Moreover, while newspapers and blogs are each diverse in the way they treat news about the meat industry, we find that social problem risks are relatively de-emphasized in newspapers relative to news blogs. We conclude by discussing the broader implications of our findings and methods for other taken for granted phenomena.</t>
  </si>
  <si>
    <t>[Bateman, Tyler; Baumann, Shyon; Johnston, Josee] Univ Toronto, Dept Sociol, 725 Spadina Ave, Toronto, ON M5S 2J4, Canada</t>
  </si>
  <si>
    <t>University of Toronto</t>
  </si>
  <si>
    <t>Bateman, T (corresponding author), Univ Toronto, Dept Sociol, 725 Spadina Ave, Toronto, ON M5S 2J4, Canada.</t>
  </si>
  <si>
    <t>tyler.bateman@mail.utoronto.ca; shyon.baumann@utoronto.ca; josee.johnston@utoronto.ca</t>
  </si>
  <si>
    <t>Social Sciences and Humanities Research Council of Canada [435-2015-0197]</t>
  </si>
  <si>
    <t>We gratefully acknowledge the financial support of the Social Sciences and Humanities Research Council of Canada (Grant No. 435-2015-0197). We also acknowledge the helpful comments of members of the Doctoral Research Practicum in the Department of Sociology of the University of Toronto, and especially the comments of Fedor Dokshin, Yoonkyung Lee, and Melissa Milkie.</t>
  </si>
  <si>
    <t>10.1016/j.poetic.2019.03.001</t>
  </si>
  <si>
    <t>JQ2AP</t>
  </si>
  <si>
    <t>WOS:000498754200007</t>
  </si>
  <si>
    <t>Vogler, D; Schwaiger, L</t>
  </si>
  <si>
    <t>Vogler, Daniel; Schwaiger, Lisa</t>
  </si>
  <si>
    <t>Situational effects of journalistic resources on gender imbalances in the coverage of Swiss news media: A longitudinal analysis from 2011 to 2019</t>
  </si>
  <si>
    <t>Content analysis; diversity; gender equality; gender imbalance; journalistic resources; news media</t>
  </si>
  <si>
    <t>WOMEN CANDIDATES; PUBLIC-RELATIONS; TELEVISED NEWS; PRESS COVERAGE; REPRESENTATION; AGENCY; UNDERREPRESENTATION; EQUALITY; INSIGHTS; GIDDENS</t>
  </si>
  <si>
    <t>Gender imbalances in news coverage have been traced back to overarching societal structures and the characteristics of media companies, newsrooms and journalists. However, studies have rarely considered if and how journalistic resources can act situationally as drivers of gender imbalances. We investigated how often and in which contexts women are represented in Swiss news media articles between 2011 and 2019 (n = 77,427) by combining manual and automated content analysis on a large scale. We looked at representation in general and the dependence of topic and media type, in addition to the influence of two resource-related features of news content: the source and the format. The study showed clear gender imbalances, which were heavily dependent on the topics in the news coverage. We found that when journalists relied on original reporting instead of news agencies and used contextualizing formats women were more frequently mentioned in the news. Our results, therefore, suggest that resources can situationally determine the representation of women in the news.</t>
  </si>
  <si>
    <t>[Vogler, Daniel; Schwaiger, Lisa] Univ Zurich, Res Ctr Publ Sphere &amp; Soc Fog, Zurich, Switzerland; [Schwaiger, Lisa] Univ Zurich, Dept Commun &amp; Media Res IKMZ, Zurich, Switzerland</t>
  </si>
  <si>
    <t>Vogler, D (corresponding author), Univ Zurich, Res Ctr Publ Sphere &amp; Soc, Andreasstr 15, CH-8050 Zurich, Switzerland.</t>
  </si>
  <si>
    <t>daniel.vogler@foeg.uzh.ch</t>
  </si>
  <si>
    <t>Vogler, Daniel/0000-0002-0211-7574; Schwaiger, Lisa/0000-0003-4920-7881</t>
  </si>
  <si>
    <t>Kurt Imhof Stiftung fur Medienqualitat, Zurich, Switzerland</t>
  </si>
  <si>
    <t>The author(s) disclosed receipt of the following financial support for the research, authorship, and/or publication of this article: The project was supported by the Kurt Imhof Stiftung fur Medienqualitat, Zurich, Switzerland.</t>
  </si>
  <si>
    <t>10.1177/14648849211036309</t>
  </si>
  <si>
    <t>TT1XY</t>
  </si>
  <si>
    <t>WOS:000680145500001</t>
  </si>
  <si>
    <t>Aukia, J; Heimonen, J; Pahikkala, T; Salakoski, T</t>
  </si>
  <si>
    <t>Aukia, Jukka; Heimonen, Juho; Pahikkala, Tapio; Salakoski, Tapio</t>
  </si>
  <si>
    <t>Automated quantification of Reuters news using a receiver operating characteristic curve analysis: The Western media image of China</t>
  </si>
  <si>
    <t>GLOBAL MEDIA AND CHINA</t>
  </si>
  <si>
    <t>Automated content analysis; China; journalism; political communication</t>
  </si>
  <si>
    <t>Country images are increasingly popular but controversial policy concepts. The Western news media image of China is consequently a well-explored academic subject. This study contributes to the discussion by considering the news stream of an international news agency to contrast prior studies that analyze small-scale data sets. An automated dictionary method is proposed to analyze two Reuters data corpora RCV1 (1996-1998) and TRC2 (2008-2009) (N = 1,386,000). The area under the receiver operating characteristic curve is employed and its development over time is statistically analyzed. China's media image was found to be relatively positive in comparison with Japan, South Korea, and Taiwan. The results also suggest that economy provides a greater positive impact on the China's image in Western media than culture, while politics has a negative impact. The results of the automated method are similar to those of a previous study in which a moderately sized data set was manually examined. This suggests that automated sentiment analysis can provide equally reliable observations as manual analysis but with smaller labor costs.</t>
  </si>
  <si>
    <t>[Aukia, Jukka] Univ Turku, Ctr East Asian Studies, Turku 20014, Finland; [Heimonen, Juho; Pahikkala, Tapio; Salakoski, Tapio] Univ Turku, Comp Sci, Turku, Finland</t>
  </si>
  <si>
    <t>University of Turku; University of Turku</t>
  </si>
  <si>
    <t>Aukia, J (corresponding author), Univ Turku, Ctr East Asian Studies, Turku 20014, Finland.</t>
  </si>
  <si>
    <t>jukka.aukia@utu.fi</t>
  </si>
  <si>
    <t>Pahikkala, Tapio/H-9659-2012</t>
  </si>
  <si>
    <t>Pahikkala, Tapio/0000-0003-4183-2455</t>
  </si>
  <si>
    <t>2059-4364</t>
  </si>
  <si>
    <t>2059-4372</t>
  </si>
  <si>
    <t>GLOB MEDIA CHINA</t>
  </si>
  <si>
    <t>Glob. Media China</t>
  </si>
  <si>
    <t>SEP-DEC</t>
  </si>
  <si>
    <t>10.1177/2059436418754890</t>
  </si>
  <si>
    <t>VJ2RU</t>
  </si>
  <si>
    <t>WOS:000564250700003</t>
  </si>
  <si>
    <t>Langer, AI; Sagarzazu, I</t>
  </si>
  <si>
    <t>Langer, Ana Ines; Sagarzazu, Inaki</t>
  </si>
  <si>
    <t>Are All Policy Decisions Equal? Explaining the Variation in Media Coverage of the UK Budget</t>
  </si>
  <si>
    <t>media coverage; UK; budget; policy decisions; newsworthiness</t>
  </si>
  <si>
    <t>INTERNATIONAL NEWS COVERAGE; LOCAL NEWSPAPER COVERAGE; AGENDA-SETTING POWER; PUBLIC-OPINION; ECONOMIC-NEWS; DETERMINANTS; ATTENTION; EVENTS; IMPACT; RETRENCHMENT</t>
  </si>
  <si>
    <t>A country's budget is one of the most important public policy instruments, as it establishes the government's policy priorities and has the potential to determine winners and losers. The budget, however, is a mixture of different components and these get varying degrees of attention in the media. Drawing on sociology of news research, this paper seeks to explain this heterogeneous coverage of a budget's policy decisions. To do so, it uses a unique data set of over 5,000 articles of press coverage of six UK budgets (2008-2012). These articles are coded for the presence/absence of each of the budget's policy decision, via automated content analysis. On the basis of a multivariate negative binomial model, we find that the salience of a policy decision in the coverage is determined by its cost, whether it is negative (i.e., tax hikes and spending cuts) or positive, the income group that is the most affected by it, and the level of attention given to it by the government.</t>
  </si>
  <si>
    <t>[Langer, Ana Ines] Univ Glasgow, Polit, Glasgow, Lanark, Scotland; [Sagarzazu, Inaki] Univ Glasgow, Comparat Polit, Glasgow, Lanark, Scotland</t>
  </si>
  <si>
    <t>University of Glasgow; University of Glasgow</t>
  </si>
  <si>
    <t>Langer, AI (corresponding author), Univ Glasgow, Polit, Glasgow, Lanark, Scotland.</t>
  </si>
  <si>
    <t>Langer, Ana Ines/0000-0002-5331-544X</t>
  </si>
  <si>
    <t>10.1111/psj.12119</t>
  </si>
  <si>
    <t>EV2AD</t>
  </si>
  <si>
    <t>WOS:000401553700006</t>
  </si>
  <si>
    <t>Reimer, J; Haring, M; Loosen, W; Maalej, W; Merten, L</t>
  </si>
  <si>
    <t>Reimer, Julius; Haering, Marlo; Loosen, Wiebke; Maalej, Walid; Merten, Lisa</t>
  </si>
  <si>
    <t>Content Analyses of User Comments in Journalism: A Systematic Literature Review Spanning Communication Studies and Computer Science</t>
  </si>
  <si>
    <t>User comments; journalism; qualitative content analysis; quantitative content analysis; automated content analysis; systematic literature review; computer science; interdisciplinary research</t>
  </si>
  <si>
    <t>NEWS; PARTICIPATION; MODERATION; ATTITUDES; TARGETS; HATE</t>
  </si>
  <si>
    <t>Different disciplines have studied the content of online user comments in various contexts, using manual qualitative/quantitative or (semi-)automated approaches. The broad spectrum and disciplinary divides make it difficult to grasp an overview of those aspects which have already been examined, e.g. to identify findings related to one's own research, recommendable methodological approaches, and under-researched topics. We introduce a systematic literature review concerning content analyses of user comments in a journalistic context. Our review covers 192 papers identified through a systematic search focussing on communication studies and computer science. We find that research predominantly concentrates on the comment sections of Anglo-American newspaper brands and on aspects like hate speech, general incivility, or users' opinions on specific issues, while disregarding media from other parts of the world, comments in social media, propaganda, and constructive comments. From our results we derive a research agenda that addresses research gaps and also highlights potentials for automating analyses as well as for cooperation across disciplines.</t>
  </si>
  <si>
    <t>[Reimer, Julius; Loosen, Wiebke; Merten, Lisa] Hans Bredow Inst HBI, Leibniz Inst Media Res, Hamburg, Germany; [Haering, Marlo; Maalej, Walid] Univ Hamburg, Dept Informat, Hamburg, Germany</t>
  </si>
  <si>
    <t>Reimer, J (corresponding author), Hans Bredow Inst HBI, Leibniz Inst Media Res, Hamburg, Germany.</t>
  </si>
  <si>
    <t>j.reimer@leibniz-hbi.de</t>
  </si>
  <si>
    <t>Merten, Lisa/AAY-1552-2020</t>
  </si>
  <si>
    <t>Maalej, Walid/0000-0002-6899-4393; Loosen, Wiebke/0000-0002-2211-2260; Merten, Lisa/0000-0002-7624-2490; Haering, Marlo/0000-0002-2551-5065</t>
  </si>
  <si>
    <t>German Federal Ministry of Education and Research [01UG1722AX]; Hamburg programme Ahoi Digital (project Forum 4.0)</t>
  </si>
  <si>
    <t>German Federal Ministry of Education and Research(Federal Ministry of Education &amp; Research (BMBF)); Hamburg programme Ahoi Digital (project Forum 4.0)</t>
  </si>
  <si>
    <t>The authors disclosed receipt of the following financial support for the research, authorship, and/or publication of this article: this work is partly funded by the Hamburg programme Ahoi Digital (project Forum 4.0) as well as the German Federal Ministry of Education and Research under grant 01UG1722AX.</t>
  </si>
  <si>
    <t>10.1080/21670811.2021.1882868</t>
  </si>
  <si>
    <t>RH8RP</t>
  </si>
  <si>
    <t>WOS:000636478900001</t>
  </si>
  <si>
    <t>Costello, R</t>
  </si>
  <si>
    <t>Costello, Rory</t>
  </si>
  <si>
    <t>Rally around the EU flag: Irish party positions on the EU in the wake of Brexit</t>
  </si>
  <si>
    <t>Brexit; Ireland; Euroscepticism; rally around the flag</t>
  </si>
  <si>
    <t>POLITICAL-PARTIES; PUBLIC SUPPORT; OPINION; POLICY; PITFALLS; MEDIA; WAR</t>
  </si>
  <si>
    <t>When national interests are threatened by an international political crisis, there is often a 'rally around the flag' effect among both the public and the political elite, interpreted as a patriotic response to an external threat. Brexit represented a significant threat both to the Irish economy and to the constitutional settlement on the island of Ireland. In contrast to other international crises that have been studied in relation to the rally effect, a supranational body (the EU) was acting on behalf of the threatened state (Ireland) in the negotiations. This paper examines how Brexit affected Irish party positions on EU affairs in the Republic of Ireland and asks if there was a 'rally around the EU flag' at the elite level. Using automated content analysis of parliamentary debates in Ireland between 2014-2019, the results show that there was indeed a significant and sustained pro-EU rally among most Irish parties. The findings also show that the rally effect differs depending on whether the party has a nationalist or internationalist orientation.</t>
  </si>
  <si>
    <t>[Costello, Rory] Univ Limerick, Dept Polit &amp; Publ Adm, Limerick, Ireland</t>
  </si>
  <si>
    <t>University of Limerick</t>
  </si>
  <si>
    <t>Costello, R (corresponding author), Univ Limerick, Limerick, Ireland.</t>
  </si>
  <si>
    <t>rory.costello@ul.ie</t>
  </si>
  <si>
    <t>Costello, Rory/I-4551-2013</t>
  </si>
  <si>
    <t>Costello, Rory/0000-0003-4045-6005</t>
  </si>
  <si>
    <t>10.1080/14782804.2020.1825352</t>
  </si>
  <si>
    <t>XA6NX</t>
  </si>
  <si>
    <t>WOS:000574237400001</t>
  </si>
  <si>
    <t>Keller, TR; Hase, V; Thaker, J; Mahl, D; Schafer, MS</t>
  </si>
  <si>
    <t>Keller, Tobias R.; Hase, Valerie; Thaker, Jagadish; Mahl, Daniela; Schafer, Mike S.</t>
  </si>
  <si>
    <t>News Media Coverage of Climate Change in India 1997-2016: Using Automated Content Analysis to Assess Themes and Topics</t>
  </si>
  <si>
    <t>Climate change; media coverage; India; topic modeling; longitudinal analysis</t>
  </si>
  <si>
    <t>FRAMES; TEXT; DISCOURSES; ATTENTION; BALANCE; GERMAN; MODELS</t>
  </si>
  <si>
    <t>News media play an important role for public awareness and perception of climate change - and thus citizens' behavior. Few studies focus on media coverage in poor and developing countries such as India - the third-largest polluter and an important player in global climate change policies. Further, even these few studies on Indian media coverage span short time periods, focus on specific events, and evaluate pre-defined themes. Applying LDA topic modeling on 18,224 climate change articles published between 1997 and 2016 in two Indian newspapers, we find that climate change coverage in India has increased substantially in the last 20 years. We categorized the coverage into 28 different topics related to four overarching themes: Climate Change Impacts, Climate Science, Climate Politics, and Climate Change and Society. Climate change has gained more media attention since 2007 in general with a particular increase in focus on the theme Climate Change Impacts. Implications about shifting media discourses and its potential to educate people and change policies are discussed.</t>
  </si>
  <si>
    <t>[Keller, Tobias R.; Hase, Valerie; Schafer, Mike S.] Univ Zurich, IKMZ Dept Commun &amp; Media Res, Andreasstr 15, CH-8050 Zurich, Switzerland; [Thaker, Jagadish] Massey Univ, Sch Commun Journalism &amp; Mkt Te Pou Aro Korero, Wellington, New Zealand; [Mahl, Daniela] Univ Hamburg, Inst Journalism &amp; Commun Studies, Hamburg, Germany</t>
  </si>
  <si>
    <t>University of Zurich; Massey University; University of Hamburg</t>
  </si>
  <si>
    <t>Keller, TR (corresponding author), Univ Zurich, IKMZ Dept Commun &amp; Media Res, Andreasstr 15, CH-8050 Zurich, Switzerland.</t>
  </si>
  <si>
    <t>t.keller@ikmz.uzh.ch</t>
  </si>
  <si>
    <t>Schafer, Mike S./F-7238-2010; Mahl, Daniela/AAA-9311-2022; Hase, Valerie/AAF-3430-2019; Thaker, Jagadish/AAU-4301-2020</t>
  </si>
  <si>
    <t>Schafer, Mike S./0000-0002-0847-7503; Mahl, Daniela/0000-0002-5330-6885; Hase, Valerie/0000-0001-6656-4894; Thaker, Jagadish/0000-0003-4589-7512; Keller, Tobias R./0000-0001-5263-4812</t>
  </si>
  <si>
    <t>10.1080/17524032.2019.1643383</t>
  </si>
  <si>
    <t>KJ6UB</t>
  </si>
  <si>
    <t>WOS:000481586600001</t>
  </si>
  <si>
    <t>Wozniak, A; Wessler, H; Chan, CH; Lueck, J</t>
  </si>
  <si>
    <t>Wozniak, Antal; Wessler, Hartmut; Chan, Chung-Hong; Lueck, Julia</t>
  </si>
  <si>
    <t>The Event-Centered Nature of Global Public Spheres: The UN Climate Change Conferences, Fridays for Future, and the (Limited) Transnationalization of Media Debates</t>
  </si>
  <si>
    <t>climate change coverage; transnational public sphere; media events; media content analysis; time series analysis; comparative research</t>
  </si>
  <si>
    <t>NEWS; COVERAGE; JOURNALISTS; NETWORKS; CRISES; US</t>
  </si>
  <si>
    <t>Research has shown how unpremeditated events can influence media attention and media framing. But how do staged political events influence patterns of news coverage across countries, and are such changes sustainable beyond the immediate event context? We examined whether the UN climate change conferences are conducive to an emergence of a transnational public sphere by triggering issue convergence and increased transnational interconnectedness across national media debates. An automated content analysis of climate change coverage in newspapers from Germany, India, South Africa, and the United States between 2012 and 2019 revealed largely event-focused reporting. Media coverage quickly returned to preconference patterns after each conference. References to foreign countries showed almost no relationship to the climate change conferences' coverage. We found similar results for the effects of the Fridays for Future movement. The significance of these events lies less in long-term changes in media reporting but more in short-term attention generation and coordinated message production.</t>
  </si>
  <si>
    <t>[Wozniak, Antal] Univ Liverpool, Liverpool, Merseyside, England; [Wessler, Hartmut; Chan, Chung-Hong] Univ Mannheim, Mannheim, Germany; [Lueck, Julia] Johannes Gutenberg Univ Mainz, Mainz, Germany</t>
  </si>
  <si>
    <t>University of Liverpool; University of Mannheim; Johannes Gutenberg University of Mainz</t>
  </si>
  <si>
    <t>Wozniak, A (corresponding author), Univ Liverpool, Liverpool, Merseyside, England.</t>
  </si>
  <si>
    <t>a.wozniak@liverpool.ac.uk; wessler@uni-mannheim.de; chung-hong.chan@mzes.uni-mannheim.de; lueck@uni-mainz.de</t>
  </si>
  <si>
    <t>RV6GK</t>
  </si>
  <si>
    <t>WOS:000645928600039</t>
  </si>
  <si>
    <t>Garcia, JR; Stout, CT</t>
  </si>
  <si>
    <t>Garcia, Jennifer R.; Stout, Christopher T.</t>
  </si>
  <si>
    <t>Responding to Racial Resentment: How Racial Resentment Influences Legislative Behavior</t>
  </si>
  <si>
    <t>American politics; racial resentment; legislative behavior</t>
  </si>
  <si>
    <t>CONSTITUENCY; ATTITUDES; OPINION; OBAMA; RACE; REPRESENTATION; POLITICS; TEXT</t>
  </si>
  <si>
    <t>Despite the growing body of scholarship urging congressional scholars to consider the racialization of Congress, little attention has been given to understanding how racial resentment impacts legislative behavior. To fill this gap, we ask if and how racial resentment within a member's home district influences the positions she takes on racially tinged issues in her press releases. Due to constituent influence, we expect legislators from districts with high levels of racial resentment to issue racially tinged press releases. Through an automated content analysis of more than fifty four thousand press releases from almost four hundred U.S. House members in the 114th Congress (2015-2017), we show that Republicans from districts with high levels of racial resentment are more likely to issue press releases that attack President Barack Obama. In contrast, we find no evidence of racial resentment being positively associated with another prominent Democratic white elected official, Hillary Clinton. Our results suggest that one reason Congress may remain racially conservative even as representatives' cycle out of office may be attributed to the electoral process.</t>
  </si>
  <si>
    <t>[Garcia, Jennifer R.] Oberlin Coll, Oberlin, OH 44074 USA; [Stout, Christopher T.] Oregon State Univ, Corvallis, OR 97331 USA</t>
  </si>
  <si>
    <t>Oberlin College; Oregon State University</t>
  </si>
  <si>
    <t>Garcia, JR (corresponding author), Oberlin Coll, Dept Polit, Room 216,Rice Hall,10 N Prof St, Oberlin, OH 44074 USA.</t>
  </si>
  <si>
    <t>Jennifer.Garcia@oberlin.edu</t>
  </si>
  <si>
    <t>Garcia, Jennifer/HDN-4569-2022</t>
  </si>
  <si>
    <t>10.1177/1065912919857826</t>
  </si>
  <si>
    <t>OX2JA</t>
  </si>
  <si>
    <t>WOS:000478188400001</t>
  </si>
  <si>
    <t>Chandrasegaran, S; Kisselburgh, L; Ramani, K</t>
  </si>
  <si>
    <t>ASME</t>
  </si>
  <si>
    <t>Chandrasegaran, Senthil; Kisselburgh, Lorraine; Ramani, Karthik</t>
  </si>
  <si>
    <t>UNDERSTANDING BRAINSTORMING THROUGH TEXT VISUALIZATION</t>
  </si>
  <si>
    <t>PROCEEDINGS OF THE ASME INTERNATIONAL DESIGN ENGINEERING TECHNICAL CONFERENCES AND COMPUTERS AND INFORMATION IN ENGINEERING CONFERENCE, 2013, VOL 1</t>
  </si>
  <si>
    <t>ASME International Design Engineering Technical Conferences and Computers and Information in Engineering Conference (IDETC/CIE)</t>
  </si>
  <si>
    <t>AUG 04-07, 2013</t>
  </si>
  <si>
    <t>Portland, OR</t>
  </si>
  <si>
    <t>LANGUAGE</t>
  </si>
  <si>
    <t>Automated content analysis software tools have significantly aided in the study of design processes in the recent past. However, they suffer from the lack of domain knowledge and insight that a human expert can provide. In this paper, we adopt the use of text visualization techniques that help in gaining insights and identifying relevant patterns from the results obtained through a content analysis software. We motivate our approach with the observation that examining overall patterns in data aids us significantly in identifying interesting and relevant details concerning specific contexts in the data. We use the proposed approach to study the effect of adopting Laseau's design funnel of alternating divergent and convergent design processes among student teams in a toy design course, and compare it to student teams that follow a free brainstorming process. We demonstrate the application of lexical dispersion plots and text concordances as a means to further examine the output of a conventional content analysis tool, and use these techniques to separate patterns from anomalies. We identify cases of concept consistency across teams using the dispersion plots, and identify cases of multiple word senses through text concordances. Finally, we present insights that were obtained through these visualizations and propose contexts for further studies of the data.</t>
  </si>
  <si>
    <t>[Chandrasegaran, Senthil; Ramani, Karthik] Purdue Univ, Sch Mech Engn, C Design Lab, W Lafayette, IN 47907 USA; [Kisselburgh, Lorraine] Purdue Univ, Sch Commun, W Lafayette, IN 47907 USA</t>
  </si>
  <si>
    <t>Chandrasegaran, S (corresponding author), Purdue Univ, Sch Mech Engn, C Design Lab, W Lafayette, IN 47907 USA.</t>
  </si>
  <si>
    <t>senthil@purdue.edu; lorraine@purdue.edu; ramani@purdue.edu</t>
  </si>
  <si>
    <t>AMER SOC MECHANICAL ENGINEERS</t>
  </si>
  <si>
    <t>THREE PARK AVENUE, NEW YORK, NY 10016-5990 USA</t>
  </si>
  <si>
    <t>978-0-7918-5584-3</t>
  </si>
  <si>
    <t>V001T04A020</t>
  </si>
  <si>
    <t>Education, Scientific Disciplines; Engineering, Mechanical; Nanoscience &amp; Nanotechnology; Transportation Science &amp; Technology</t>
  </si>
  <si>
    <t>Education &amp; Educational Research; Engineering; Science &amp; Technology - Other Topics; Transportation</t>
  </si>
  <si>
    <t>BD6IM</t>
  </si>
  <si>
    <t>WOS:000362240300051</t>
  </si>
  <si>
    <t>Ernoul, L; Wardell-Johnson, A</t>
  </si>
  <si>
    <t>Ernoul, Lisa; Wardell-Johnson, Angela</t>
  </si>
  <si>
    <t>Representing the. Greater Flamingo in Southern France: A semantic analysis of newspaper articles showing change over time</t>
  </si>
  <si>
    <t>OCEAN &amp; COASTAL MANAGEMENT</t>
  </si>
  <si>
    <t>Camargue; Content analysis; Iconic species; Newspaper coverage; Semantic mapping</t>
  </si>
  <si>
    <t>NEWS</t>
  </si>
  <si>
    <t>Conservation planning is increasingly dependent on communications strategies to promote and support changes in practice and land-use. Identifying the way the news media represent issues results in better focus and more effective communications for conservation science. News media reporting plays a dual role in public debates providing a forum for public discourse and integrating discussion occurring in other forums. Semantic mapping of the textual content of 108 newspaper articles shows change in representation of the Greater Flamingos in Southern France over a seven year period. This form of automated content analysis results in replicable and valid inferences that link media representation to social and environmental context. The changes in the way events were reported over time provided knowledge and insights into the representation of flamingos shifting from locally important values to emphasize regional and national values over time. This type of analysis is valuable to focus conservation planning and management providing a means to anticipate journalist representation of local issues at different socio-geographic scales. Clear identification of representation contributes to more effective communication promoting coastal conservation management. (C) 2016 Elsevier Ltd. All rights reserved.</t>
  </si>
  <si>
    <t>[Ernoul, Lisa] Tour du Valat Res Ctr, F-13200 Arles, France; [Ernoul, Lisa] Aix Marseille Univ, UMR ESPACE, Aix En Provence, France; [Wardell-Johnson, Angela] Curtin Univ, Ctr Human Rights Educ, Perth, WA, Australia</t>
  </si>
  <si>
    <t>UDICE-French Research Universities; Aix-Marseille Universite; Curtin University</t>
  </si>
  <si>
    <t>Ernoul, L (corresponding author), Tour du Valat Res Ctr, F-13200 Arles, France.</t>
  </si>
  <si>
    <t>ernoul@tourduvalat.org</t>
  </si>
  <si>
    <t>France-Australia Science Innovation Collaboration Grant (PHC-FASIC); French Ministry of Foreign Affairs (MAEDI); French Ministry of Higher Education and Research (MENESR); Fondation de France; Foundation Tour du Valat; Foundation Pro-Valat</t>
  </si>
  <si>
    <t>France-Australia Science Innovation Collaboration Grant (PHC-FASIC); French Ministry of Foreign Affairs (MAEDI); French Ministry of Higher Education and Research (MENESR); Fondation de France(Fondation de France); Foundation Tour du Valat; Foundation Pro-Valat</t>
  </si>
  <si>
    <t>This study was funded with a France-Australia Science Innovation Collaboration Grant (PHC-FASIC), the French Ministry of Foreign Affairs (MAEDI), the French Ministry of Higher Education and Research (MENESR), the Fondation de France, Foundation Tour du Valat, Foundation Pro-Valat. We thank Celine Hanzen for her indispensible help collecting the articles used in this study. We would like to acknowledge Curtin University for considerable in kind support necessary for the analysis of these documents.</t>
  </si>
  <si>
    <t>0964-5691</t>
  </si>
  <si>
    <t>1873-524X</t>
  </si>
  <si>
    <t>OCEAN COAST MANAGE</t>
  </si>
  <si>
    <t>Ocean Coastal Manage.</t>
  </si>
  <si>
    <t>10.1016/j.ocecoaman.2016.09.015</t>
  </si>
  <si>
    <t>Oceanography; Water Resources</t>
  </si>
  <si>
    <t>EA9UJ</t>
  </si>
  <si>
    <t>WOS:000386989900012</t>
  </si>
  <si>
    <t>Malik, M; Hopp, FR; Chen, YB; Weber, R</t>
  </si>
  <si>
    <t>Malik, Musa; Hopp, Frederic R.; Chen, Yibei; Weber, Rene</t>
  </si>
  <si>
    <t>Does Regional Variation in Pathogen Prevalence Predict the Moralization of Language in COVID-19 News?</t>
  </si>
  <si>
    <t>COVID-19; historical pathogen prevalence; moral language; global news media; computational methods</t>
  </si>
  <si>
    <t>MORAL FOUNDATIONS THEORY; AVOIDANCE MECHANISMS; INFECTIOUS-DISEASES; CULTURAL-CHANGE; DISGUST; VARIABILITY; PERSONALITY; VALUES; WORDS</t>
  </si>
  <si>
    <t>While there is substantial research on COVID-19's general framing in the news, little is known about the antecedents and moderators of using moral language in communicating the disease to audiences. In this study, we rely on the Model of Intuitive Morality and Exemplars to explore how news media's attention on COVID-19 and moralizing language in COVID-19 news vary with respect to ultimate (historical pathogen prevalence) and proximate (spread of COVID-19) socio-psychological factors. Specifically, we analyzed 1,024,800 news headlines from 28 countries published throughout 2020 and applied automated content analysis for moral language extraction. Our results provide support for increased media attention and higher levels of moralizing language in COVID-19 news for regions with high historical pathogen prevalence and COVID-19 spread. We discuss the theoretical impact of these findings in view of the socio-psychological relevance of moralizing language for disease-related news and point towards future research directions.</t>
  </si>
  <si>
    <t>[Malik, Musa; Chen, Yibei; Weber, Rene] Univ Calif Santa Barbara, Dept Commun, Santa Barbara, CA 93106 USA; [Hopp, Frederic R.] Univ Calif Santa Barbara, Santa Barbara, CA 93106 USA</t>
  </si>
  <si>
    <t>University of California System; University of California Santa Barbara; University of California System; University of California Santa Barbara</t>
  </si>
  <si>
    <t>Weber, R (corresponding author), Univ Calif Santa Barbara, Dept Commun, Media Neurosci Lab, 4323 Social Sci &amp; Media Studies, Santa Barbara, CA 93106 USA.</t>
  </si>
  <si>
    <t>renew@comm.ucsb.edu</t>
  </si>
  <si>
    <t>Chen, Yibei/0000-0003-2882-0900; Weber, Rene/0000-0002-8247-7341</t>
  </si>
  <si>
    <t>U.S. Army Research Laboratory [W911NF-15-2-0115]; John Templeton Foundation [61292]</t>
  </si>
  <si>
    <t>U.S. Army Research Laboratory(United States Department of DefenseUS Army Research Laboratory (ARL)); John Templeton Foundation</t>
  </si>
  <si>
    <t>The authors disclosed receipt of the following financial support for the research, authorship, and/or publication of this article: The authors received financial support from the U.S. Army Research Laboratory (to R.W.), contract grant number: W911NF-15-2-0115; and from the John Templeton Foundation (to R.W.), contract grant number: 61292.</t>
  </si>
  <si>
    <t>0261927X211044194</t>
  </si>
  <si>
    <t>10.1177/0261927X211044194</t>
  </si>
  <si>
    <t>XG8GM</t>
  </si>
  <si>
    <t>WOS:000712514500001</t>
  </si>
  <si>
    <t>van der Meer, TGLA; Verhoeven, P; Beentjes, H; Vliegenthart, R</t>
  </si>
  <si>
    <t>van der Meer, Toni G. L. A.; Verhoeven, Piet; Beentjes, Hans; Vliegenthart, Rens</t>
  </si>
  <si>
    <t>When frames align: The interplay between PR, news media, and the public in times of crisis</t>
  </si>
  <si>
    <t>Crisis communication; Frame alignment; Collective sensemaking; Implicit framing; Semantic-network analysis; Automated-content analysis</t>
  </si>
  <si>
    <t>AUTOMATED-ANALYSIS; SOCIAL MEDIA; MANAGEMENT</t>
  </si>
  <si>
    <t>This study focuses on the frame-building process of organizational-crisis situations in the interplay between the domains public relations (PR), news media, and the public. The purpose of the study is to investigate whether the crisis frames of the domains align over time. To empirically analyze frame alignment, an automated semantic-network analysis is introduced to compare implicit framing among the domains. By examining press releases, news articles, and social-media manifestations of four Dutch crisis cases, the dynamic character of crisis framing became apparent. The study documents the rise of crisis-frame alignment among PR, news media, and the public over time. After frame alignment the domains' discourses move away from one another resulting in more variation between frames. This pattern of alignment is considered to be crisis specific as a necessity to collectively make sense of a complex crisis situation. The collective sensemaking might be crucial to solve organizational crises and to avoid uncontrollable crisis magnification. (C) 2014 Elsevier Inc. All rights reserved.</t>
  </si>
  <si>
    <t>[van der Meer, Toni G. L. A.; Verhoeven, Piet; Beentjes, Hans; Vliegenthart, Rens] Univ Amsterdam, Amsterdam Sch Commun Res, NL-1012 CX Amsterdam, Netherlands</t>
  </si>
  <si>
    <t>10.1016/j.pubrev.2014.07.008</t>
  </si>
  <si>
    <t>AX8BG</t>
  </si>
  <si>
    <t>WOS:000347135000003</t>
  </si>
  <si>
    <t>Seabrook, EM; Kern, ML; Fulcher, BD; Rickard, NS</t>
  </si>
  <si>
    <t>Seabrook, Elizabeth M.; Kern, Margaret L.; Fulcher, Ben D.; Rickard, Nikki S.</t>
  </si>
  <si>
    <t>Predicting Depression From Language-Based Emotion Dynamics: Longitudinal Analysis of Facebook and Twitter Status Updates</t>
  </si>
  <si>
    <t>JOURNAL OF MEDICAL INTERNET RESEARCH</t>
  </si>
  <si>
    <t>automated text analysis; depression; Facebook; Twitter; emotions; variability; instability</t>
  </si>
  <si>
    <t>COLLEGE-STUDENTS; SOCIAL MEDIA; AFFECTIVE INSTABILITY; SYMPTOMS; DISORDER; PATTERNS; INERTIA</t>
  </si>
  <si>
    <t>Background: Frequent expression of negative emotion words on social media has been linked to depression. However, metrics have relied on average values, not dynamic measures of emotional volatility. Objective: The aim of this study was to report on the associations between depression severity and the variability (time-unstructured) and instability (time-structured) in emotion word expression on Facebook and Twitter across status updates. Methods: Status updates and depression severity ratings of 29 Facebook users and 49 Twitter users were collected through the app MoodPrism. The average proportion of positive and negative emotion words used, within-person variability, and instability were computed. Results: Negative emotion word instability was a significant predictor of greater depression severity on Facebook (r(s)(29)=.44, P=.02, 95% CI 0.09-0.69), even after controlling for the average proportion of negative emotion words used (partial rs(26)=.51, P=.006) and within-person variability (partial r(s)(26)=.49, P=.009). A different pattern emerged on Twitter where greater negative emotion word variability indicated lower depression severity (r(s)(49)=-.34, P=.01, 95% CI -0.58 to 0.09). Differences between Facebook and Twitter users in their emotion word patterns and psychological characteristics were also explored. Conclusions: The findings suggest that negative emotion word instability may be a simple yet sensitive measure of time-structured variability, useful when screening for depression through social media, though its usefulness may depend on the social media platform.</t>
  </si>
  <si>
    <t>[Seabrook, Elizabeth M.; Fulcher, Ben D.; Rickard, Nikki S.] Monash Univ, Sch Psychol Sci, Monash Inst Cognit &amp; Clin Neurosci, 18 Innovat Walk,Clayton Campus, Melbourne, Vic 3800, Australia; [Kern, Margaret L.; Rickard, Nikki S.] Univ Melbourne, Melbourne Grad Sch Educ, Ctr Posit Psychol, Melbourne, Vic, Australia</t>
  </si>
  <si>
    <t>Monash University; University of Melbourne</t>
  </si>
  <si>
    <t>Seabrook, EM (corresponding author), Monash Univ, Sch Psychol Sci, Monash Inst Cognit &amp; Clin Neurosci, 18 Innovat Walk,Clayton Campus, Melbourne, Vic 3800, Australia.</t>
  </si>
  <si>
    <t>elizabeth.seabrook@monash.edu</t>
  </si>
  <si>
    <t>Kern, Margaret L./T-3661-2018; Fulcher, Ben/H-8733-2019; Rickard, Nikki/I-2562-2014</t>
  </si>
  <si>
    <t>Kern, Margaret L./0000-0003-4300-598X; Fulcher, Ben/0000-0002-3003-4055; Seabrook, Elizabeth/0000-0003-1844-127X; Rickard, Nikki/0000-0002-4236-8538</t>
  </si>
  <si>
    <t>Australian Government Research Training Program Scholarship</t>
  </si>
  <si>
    <t>Australian Government Research Training Program Scholarship(Australian GovernmentDepartment of Industry, Innovation and Science)</t>
  </si>
  <si>
    <t>The authors would like to thank Mehmet Ozmen for his statistical advice in this study. EMS is a recipient of an Australian Government Research Training Program Scholarship.</t>
  </si>
  <si>
    <t>130 QUEENS QUAY East, Unit 1100, TORONTO, ON M5A 0P6, CANADA</t>
  </si>
  <si>
    <t>1438-8871</t>
  </si>
  <si>
    <t>J MED INTERNET RES</t>
  </si>
  <si>
    <t>J. Med. Internet Res.</t>
  </si>
  <si>
    <t>e168</t>
  </si>
  <si>
    <t>10.2196/jmir.9267</t>
  </si>
  <si>
    <t>GF1TX</t>
  </si>
  <si>
    <t>gold, Green Published, Green Submitted</t>
  </si>
  <si>
    <t>WOS:000431719600001</t>
  </si>
  <si>
    <t>Areni, CS; Momeni, M; Reynolds, N</t>
  </si>
  <si>
    <t>Areni, Charles S.; Momeni, Mohammad; Reynolds, Nina</t>
  </si>
  <si>
    <t>Ontological Insecurity, Nostalgia, and Social Media: Viewing YouTube Videos of Old TV Commercials Reestablishes Continuity of the Self Over Time</t>
  </si>
  <si>
    <t>PSYCHOLOGY OF POPULAR MEDIA</t>
  </si>
  <si>
    <t>ontological security; existential threat; YouTube; nostalgia; automated text analysis</t>
  </si>
  <si>
    <t>NARRATIVE IDENTITY; GROUP-LEVEL; GRATIFICATIONS; EMOTIONS; MEMORIES</t>
  </si>
  <si>
    <t>Public Policy Relevance Statement As technological innovation and changes in behavioral norms continue to accelerate, memories of childhood can become psychologically distant, and individuals often feel disconnected from younger generations. As a remedy to this existential dilemma, YouTube users watch and comment on TV advertising from their youth, bonding with others who remember the same experiences, and conveying these experiences to those who were too young to remember. Leximancer identified word frequencies and co-occurrences in thousands of comments on YouTube videos of TV commercials from the 60s and 70s (Study 1) and the 50s-80s (Study 2). Multiple clusters of co-occurring words suggested ontological insecurity (e.g., old, remember, love, miss) and nostalgia (e.g., childhood, memories, happy, best) as motives for viewing these videos. Leximancer generated samples of comments containing multiple key words from each cluster, and interpretive analyses of the comments in these samples revealed themes of (a) verifying and sharing autobiographical memories with others, (b) denigrating the present and embellishing the lived past, and (c) trying to connect with younger generations. Watching and discussing TV ads from childhood and early adulthood seems to help viewers reestablish continuity of the self over time and the inherent value of their autobiographical past. Exchanging comments with others on social media may restore a sense of ontological security by allowing viewers to verify their lived pasts via exchanges with others who also remember the good old days.</t>
  </si>
  <si>
    <t>[Areni, Charles S.; Momeni, Mohammad; Reynolds, Nina] Univ Wollongong, Fac Business, Wollongong, NSW, Australia</t>
  </si>
  <si>
    <t>Areni, CS (corresponding author), Uncommon Sense Res Pty Ltd, 16 Short St, Oyster Bay, NSW 2225, Australia.</t>
  </si>
  <si>
    <t>2689-6567</t>
  </si>
  <si>
    <t>2689-6575</t>
  </si>
  <si>
    <t>PSYCHOL POP MEDIA</t>
  </si>
  <si>
    <t>Psychol. Pop. Media</t>
  </si>
  <si>
    <t>10.1037/ppm0000352</t>
  </si>
  <si>
    <t>Communication; Psychology, Multidisciplinary</t>
  </si>
  <si>
    <t>Communication; Psychology</t>
  </si>
  <si>
    <t>0O4BN</t>
  </si>
  <si>
    <t>WOS:000733039400001</t>
  </si>
  <si>
    <t>Jaeger, SR; Rasmussen, MA</t>
  </si>
  <si>
    <t>Jaeger, Sara R.; Rasmussen, Morten A.</t>
  </si>
  <si>
    <t>Importance of data preparation when analysing written responses to open-ended questions: An empirical assessment and comparison with manual coding</t>
  </si>
  <si>
    <t>FOOD QUALITY AND PREFERENCE</t>
  </si>
  <si>
    <t>Text mining; Pre-processing; N-grams; Stemming; Low frequency threshold; Sample size; Manual content analysis; Open-ended questions</t>
  </si>
  <si>
    <t>DIMENSIONALITY REDUCTION; FOOD; INFORMATION; CONSUMERS; FRUIT; REVIEWS</t>
  </si>
  <si>
    <t>In a world where consumer texts grow more numerous each day, automated text analysis can deliver valuable insights about consumer attitudes and behaviours. The present research was methodological in nature and focused on pre-processing of text data, which generally is the most time-consuming stage of analysis. Using responses to an open-ended question from 4341 consumers, document-term matrices (DTM) were created from varying combinations of n-grams (unigrams, bigrams, trigrams and combinations hereof), stemming (yes or no) and low-frequency term thresholding (retaining all terms or excluding those used &lt; 0.1%, &lt;1% or &lt; 5%). By comparison to a fixed standard - manually derived content coded of respondents' answers - the relative impact of the three pre-processing steps were assessed. PLS-DA was used to do so, and classifier performance was evaluated using AUC-ROC scores. Inclusion of bigrams and trigrams in DTMs did not influence classification performance and stemming had only a minor impact. Inclusion of all and very rare features (&lt;0.1%) improved classification performance. The results were invariant of sample size and replicated in subsets of 2000, 1000 and 500 participants. The results may be specific to the short length of the answers (median words = 4), although they held in a sub-sample of the 500 longest answers (median words = 41). Future research should directly test the influence of these pre-processing steps, for example, through topic modelling.</t>
  </si>
  <si>
    <t>[Jaeger, Sara R.] Mt Albert Res Ctr, New Zealand Inst Plant &amp; Food Res Ltd, Private Bag 92169,Victoria St West, Auckland 1142, New Zealand; [Rasmussen, Morten A.] Univ Copenhagen, Dept Food Sci, Rolighedsvej 26,1958 Frb C, DK-2820 Gentofte, Denmark; [Rasmussen, Morten A.] Univ Copenhagen, Herlev Gentofte Hosp, Copenhagen Studies Asthma Childhood, Ledreborg Alle 34, DK-2820 Gentofte, Denmark</t>
  </si>
  <si>
    <t>New Zealand Institute for Plant &amp; Food Research Ltd; University of Copenhagen; University of Copenhagen</t>
  </si>
  <si>
    <t>Jaeger, SR (corresponding author), Mt Albert Res Ctr, New Zealand Inst Plant &amp; Food Res Ltd, Private Bag 92169,Victoria St West, Auckland 1142, New Zealand.</t>
  </si>
  <si>
    <t>sara.jaeger@plantandfood.co.nz</t>
  </si>
  <si>
    <t>; Rasmussen, Morten Arendt/S-8843-2017</t>
  </si>
  <si>
    <t>Jaeger, Sara R./0000-0002-4960-5233; Rasmussen, Morten Arendt/0000-0001-7431-5206</t>
  </si>
  <si>
    <t>New Zealand Ministry for Business, Innovation Employment; New Zealand Institute for Plant and Food Research Limited</t>
  </si>
  <si>
    <t>New Zealand Ministry for Business, Innovation Employment(New Zealand Ministry of Business, Innovation and Employment (MBIE)); New Zealand Institute for Plant and Food Research Limited</t>
  </si>
  <si>
    <t>Financial support was received from two sources: 1) The New Zealand Ministry for Business, Innovation &amp; Employment, and 2) The New Zealand Institute for Plant and Food Research Limited.</t>
  </si>
  <si>
    <t>0950-3293</t>
  </si>
  <si>
    <t>1873-6343</t>
  </si>
  <si>
    <t>FOOD QUAL PREFER</t>
  </si>
  <si>
    <t>Food. Qual. Prefer.</t>
  </si>
  <si>
    <t>10.1016/j.foodqual.2021.104270</t>
  </si>
  <si>
    <t>Food Science &amp; Technology</t>
  </si>
  <si>
    <t>SU6AN</t>
  </si>
  <si>
    <t>WOS:000663217900010</t>
  </si>
  <si>
    <t>Troia, GA; Shen, M; Brandon, DL</t>
  </si>
  <si>
    <t>Troia, Gary A.; Shen, Mei; Brandon, Diana L.</t>
  </si>
  <si>
    <t>Multidimensional Levels of Language Writing Measures in Grades Four to Six</t>
  </si>
  <si>
    <t>writing measurement; narrative; language levels; performance dimensions; automated text analysis</t>
  </si>
  <si>
    <t>WRITTEN LANGUAGE; LEXICAL DIVERSITY; PROCESS PRODUCTS; COH-METRIX; CHILDREN; PERFORMANCE; TEXT; STUDENTS; ADOLESCENTS; DISCOURSE</t>
  </si>
  <si>
    <t>This study examined multiple measures of written expression as predictors of narrative writing performance for 362 students in grades 4 through 6. Each student wrote a fictional narrative in response to a title prompt that was evaluated using a levels of language framework targeting productivity, accuracy, and complexity at the word, sentence, and discourse levels. Grade-related differences were found for all of the word-level and most of the discourse-level variables examined, but for only one sentence-level variable (punctuation accuracy). The discourse-level variables of text productivity, narrativity, and process use, the sentence-level variables of grammatical correctness and punctuation accuracy, and the word-level variables of spelling/capitalization accuracy, lexical productivity, and handwriting style were significant predictors of narrative quality. Most of the same variables that predicted story quality differentiated good and poor narrative writers, except punctuation accuracy and narrativity, and variables associated with word and sentence complexity also helped distinguish narrative writing ability. The findings imply that a combination of indices from across all levels of language production are most useful for differentiating writers and their writing. The authors suggest researchers and educators consider levels of language measures such as those used in this study in their evaluations of writing performance, as a number of them are fairly easy to calculate and are not plagued by subjective judgments endemic to most writing quality rubrics.</t>
  </si>
  <si>
    <t>[Troia, Gary A.] Michigan State Univ, Dept Counseling Educ Psychol &amp; Special Educ, Special Educ, E Lansing, MI 48824 USA; [Shen, Mei] Michigan State Univ, E Lansing, MI 48824 USA; [Brandon, Diana L.] Charleston Southern Univ, Charleston, SC USA</t>
  </si>
  <si>
    <t>Troia, GA (corresponding author), Michigan State Univ, Dept Counseling Educ Psychol &amp; Special Educ, 620 Farm Lane, E Lansing, MI 48824 USA.</t>
  </si>
  <si>
    <t>gtroia@msu.edu</t>
  </si>
  <si>
    <t>Brandon, Diana/0000-0003-0442-2203; Troia, Gary/0000-0002-4827-5674</t>
  </si>
  <si>
    <t>10.1177/0741088318819473</t>
  </si>
  <si>
    <t>HP6KA</t>
  </si>
  <si>
    <t>WOS:000461791600002</t>
  </si>
  <si>
    <t>Axelsen, M; Green, P; Ridley, G</t>
  </si>
  <si>
    <t>Axelsen, Micheal; Green, Peter; Ridley, Gail</t>
  </si>
  <si>
    <t>Explaining the information systems auditor role in the public sector financial audit</t>
  </si>
  <si>
    <t>Financial audit; Financial IS audit; IS audit; IS audit emphasis; Leximancer; Public sector</t>
  </si>
  <si>
    <t>BIG 4; TECHNOLOGY; QUALITY; ACCOUNTABILITY; OPPORTUNITIES; MANAGEMENT; SOFTWARE; STAFF</t>
  </si>
  <si>
    <t>This paper addresses the research questions, What is the role of the IS auditor in supporting the financial audit? and ''What key determinants affect that role? through the development of an explanation theory for the role of the IS auditor in the public sector financial audit. Results are based on semi-structured interviews with 55 senior auditors and IS auditors. These auditors worked in ten practice offices in the Australian, Canadian, New Zealand and United Kingdom public sectors. We manually coded 23 interview transcripts and used the Leximancer tool to extend this coding to the remaining transcripts through automated text analysis. The analysis allowed the identification of relevant common statements representing the prominent and shared perceptions of the IS auditor role amongst these auditors. These common statements provided a basis for the development of an initial explanation theory. One new construct presented in this theory is the practice office's IS audit emphasis, which represents the practice office's emphasis upon the relationship between the IS auditor role and the audit team. The explanation theory provides a richer description of current audit practice regarding the IS auditor's role in public sector financial audit than currently exists. Consequently, this research provides insights for those involved in the education and training of auditors by developing a foundation for a more complete understanding of the IS auditor role. (C) 2016 Published by Elsevier Inc.</t>
  </si>
  <si>
    <t>[Axelsen, Micheal] Univ Queensland, UQ Business Sch, Brisbane, Qld, Australia; [Green, Peter] Queensland Univ Technol, Sch Accountancy, Brisbane, Qld, Australia; [Ridley, Gail] Univ Tasmania, Tasmanian Sch Business &amp; Econ, Hobart, Tas, Australia</t>
  </si>
  <si>
    <t>University of Queensland; Queensland University of Technology (QUT); University of Tasmania</t>
  </si>
  <si>
    <t>Axelsen, M (corresponding author), Univ Queensland, UQ Business Sch, St Lucia, Qld 4072, Australia.</t>
  </si>
  <si>
    <t>m.axelsen@business.uq.edu.au; p.green@qut.edu.au; gail.ridley@utas.edu.au</t>
  </si>
  <si>
    <t>Axelsen, Micheal/H-6647-2015</t>
  </si>
  <si>
    <t>Axelsen, Micheal/0000-0002-1191-9392; Green, Peter F/0000-0002-5701-0168</t>
  </si>
  <si>
    <t>Australian Research Council's Linkage Projects funding scheme [LP0882068]</t>
  </si>
  <si>
    <t>Australian Research Council's Linkage Projects funding scheme(Australian Research Council)</t>
  </si>
  <si>
    <t>The material presented in this research was supported under Australian Research Council's Linkage Projects funding scheme (project number LP0882068).</t>
  </si>
  <si>
    <t>10.1016/j.accinf.2016.12.003</t>
  </si>
  <si>
    <t>EO8WS</t>
  </si>
  <si>
    <t>WOS:000396971800002</t>
  </si>
  <si>
    <t>Aerts, W; Yan, B</t>
  </si>
  <si>
    <t>Aerts, Walter; Yan, Beibei</t>
  </si>
  <si>
    <t>Rhetorical impression management in the letter to shareholders and institutional setting A metadiscourse perspective</t>
  </si>
  <si>
    <t>ACCOUNTING AUDITING &amp; ACCOUNTABILITY JOURNAL</t>
  </si>
  <si>
    <t>Institutional environment; Litigation risk; Letter to shareholders; Linguistic style; Metadiscourse; Rhetorical impression management</t>
  </si>
  <si>
    <t>CORPORATE ANNUAL-REPORTS; EARNINGS MANAGEMENT; DISCLOSURE; PERFORMANCE; US; UK; JUSTIFICATION; EXPLANATIONS; ATTRIBUTIONS; LITIGATION</t>
  </si>
  <si>
    <t>Purpose - Using composite style measures of the letter to shareholders, the purpose of this paper is to elaborate dominant rhetorical profiles and qualify them from an impression management (IM) perspective. In addition, the paper examines how institutional differences affect rhetorical profiles by comparing intensity and contingencies of rhetorical profiles of UK and US companies. Design/methodology/approach - The authors use automated text analysis to capture linguistic style characteristics of a panel of UK and US companies and employ factor analysis to determine rhetorical profiles. Next, the authors investigate company-level and country-level determinants of a company's rhetorical stance. Findings - The authors document three prominent rhetorical profiles: an emphatic acclaiming stance, a cautious plausibility-based framing position, and a logic-based rationalizing orientation. The profiles represent distinct selfpresentational logics and have different readability effects. Rhetorical IM is stronger in US companies, but higher expected scrutiny in the US institutional environment affects sensitivity of rhetorical postures to message credibility and litigation risk, while marginally increasing the less litigation-sensitive defensive framing style in US letters. Originality/value - The authors develop replicable archival-based measures of prominent rhetorical IM traits of the shareholder letter, based on composite style features. The authors argue that they are qualitatively different from content-based IM proxies. The authors investigate their institutional and organizational relevance by examining how company features and country-level differences affect incentives and constraints for style-based rhetorical IM.</t>
  </si>
  <si>
    <t>[Aerts, Walter] Univ Antwerp, Accountancy &amp; Finance, Antwerp, Belgium; [Aerts, Walter] Tilburg Univ, Tilburg, Netherlands; [Yan, Beibei] Shanghai Univ, SHU UTS SILC Business Sch, Shanghai, Peoples R China</t>
  </si>
  <si>
    <t>University of Antwerp; Tilburg University; Shanghai University</t>
  </si>
  <si>
    <t>Aerts, W (corresponding author), Univ Antwerp, Accountancy &amp; Finance, Antwerp, Belgium.;Aerts, W (corresponding author), Tilburg Univ, Tilburg, Netherlands.</t>
  </si>
  <si>
    <t>walter.aerts@uantwerpen.be</t>
  </si>
  <si>
    <t>Bui, Binh/AAX-2439-2020</t>
  </si>
  <si>
    <t>Bui, Binh/0000-0001-5215-8879</t>
  </si>
  <si>
    <t>0951-3574</t>
  </si>
  <si>
    <t>1758-4205</t>
  </si>
  <si>
    <t>ACCOUNT AUDIT ACCOUN</t>
  </si>
  <si>
    <t>Account . Audit Account.</t>
  </si>
  <si>
    <t>10.1108/AAAJ-01-2015-1916</t>
  </si>
  <si>
    <t>EQ5HN</t>
  </si>
  <si>
    <t>WOS:000398113700008</t>
  </si>
  <si>
    <t>Pilati, F; Piccoli, F</t>
  </si>
  <si>
    <t>Pilati, Federico; Piccoli, Flavio</t>
  </si>
  <si>
    <t>The construction of MSS imaginary through social media: what has the role of the Directorate been?</t>
  </si>
  <si>
    <t>H-ERMES-JOURNAL OF COMMUNICATION</t>
  </si>
  <si>
    <t>M5S; Populism; Political Communication; Twitter; Automated Text Analysis</t>
  </si>
  <si>
    <t>POLITICAL COMMUNICATION; POPULISM; CULTURE</t>
  </si>
  <si>
    <t>Over the last decade, the term populism has become increasingly popular. However, due to the mutability of populist movements and the diversity of the contexts in which they have developed, it has been difficult to place the different manifestations of the populist phenomenon within a single ideology. In fact, a populist narrative seems to resort to the cultural toolkit at its disposal, drawing from time to time on different components of the social and cultural environment in which it is immersed, without being crystallized in a coherent and static ideology. From this perspective, populism can therefore be traced back to the type of discourse used to frame a political event, in which the narrative component of the discourse is used strategically or adaptively - to constitute a multifaceted and contradictory political identity to which everyone can refer even if not all the instances are shared. To investigate the hypotheses regarding the role of online communication in the construction of such populist narratives, we will analyse all the tweets produced by the three best known representatives of the Five Star Movement (Alessandro Di Battista, Luigi Di Maio and Raffaele Fico) from 2013 to 2019 by means of computational techniques. Starting from the works that have already defined the communicative style of the founder Beppe Grillo, our goal is to shift the attention to the Directorate, the plural leadership of the Five Star Movement innovative organizational structure and understand its role in the construction of the social imaginary connected to the party.</t>
  </si>
  <si>
    <t>UNIV STUDI SALENTO</t>
  </si>
  <si>
    <t>LECCE</t>
  </si>
  <si>
    <t>EDIFICIO STUDIUM 2000, VIA DI VALESIO, LECCE, 73100, ITALY</t>
  </si>
  <si>
    <t>2284-0753</t>
  </si>
  <si>
    <t>H-ERMES</t>
  </si>
  <si>
    <t>H-ermes</t>
  </si>
  <si>
    <t>10.1285/i22840753n19p207</t>
  </si>
  <si>
    <t>TE5VV</t>
  </si>
  <si>
    <t>WOS:000670081500010</t>
  </si>
  <si>
    <t>Baburajan, V; Silva, JAE; Pereira, FC</t>
  </si>
  <si>
    <t>Baburajan, Vishnu; de Abreu e Silva, Joao; Pereira, Francisco Camara</t>
  </si>
  <si>
    <t>Opening Up the Conversation: Topic Modeling for Automated Text Analysis in Travel Surveys</t>
  </si>
  <si>
    <t>2018 21ST INTERNATIONAL CONFERENCE ON INTELLIGENT TRANSPORTATION SYSTEMS (ITSC)</t>
  </si>
  <si>
    <t>IEEE International Conference on Intelligent Transportation Systems-ITSC</t>
  </si>
  <si>
    <t>21st IEEE International Conference on Intelligent Transportation Systems (ITSC)</t>
  </si>
  <si>
    <t>NOV 04-07, 2018</t>
  </si>
  <si>
    <t>Maui, HI</t>
  </si>
  <si>
    <t>IEEE,IEEE Intelligent Transportat Syst Soc</t>
  </si>
  <si>
    <t>Autonomous Mobility; Theory of Dimmed Behavior; Likert Scales; Open-ended Responses; Topic Modelling; Latent Dirichlet Allocation</t>
  </si>
  <si>
    <t>RELIABILITY; INTENTIONS; NUMBER</t>
  </si>
  <si>
    <t>The difficulties associated with the collection and analysis of open-ended questions in surveys (e.g. Tell us your opinion about...), have encouraged the widespread use of closed-ended responses (e.g. Your opinion according to a scale of 1-5...). These, in some circumstances, are very restrictive, curbing the recognition of nuances in the survey population, hence limiting our models. Latent Dirichlet Allocation (LDA), now opens avenues for extraction of open-ended responses. In this paper, we analyze the potential of LDA in open-ended responses, by comparing with closed-ended counterpart options. A questionnaire designed based on Theory of Planned Behavior (TPB), is used to collect information on the intentions to use shared autonomous mobility. Two versions of the questionnaire were used, that alternately allow for open- and closed-ended versions of the same questions. Factor analysis was used to construct factors from the Likert scale questions and LDA was used to extract information from open-ended questions. Ordered Probit models were estimated to predict the intention to use shared autonomous mobility services. Attitudes, socio-demographics and current travel behavior of individuals were used in the model. The questionnaire instrument played an important decision in an individual's decision to use the proposed service. Comparable results were obtained for the two versions of the questionnaire, which emphasizes the need for further research on use of open-ended questions in measuring attitudes.</t>
  </si>
  <si>
    <t>[Baburajan, Vishnu] Univ Lisbon, Inst Super Tecn, CERIS, MIT Portugal Program, P-1049001 Lisbon, Portugal; [de Abreu e Silva, Joao; Pereira, Francisco Camara] Univ Lisbon, Inst Super Tecn, CERIS, P-1049001 Lisbon, Portugal</t>
  </si>
  <si>
    <t>Universidade de Lisboa; Instituto Superior Tecnico; Universidade de Lisboa; Instituto Superior Tecnico</t>
  </si>
  <si>
    <t>Baburajan, V (corresponding author), Univ Lisbon, Inst Super Tecn, CERIS, MIT Portugal Program, P-1049001 Lisbon, Portugal.</t>
  </si>
  <si>
    <t>vishnu.baburajan@tecnico.ulisboa.pt; jabreu@tecnico.ulisboa.pt; camara@dtu.dk</t>
  </si>
  <si>
    <t>BABURAJAN, VISHNU/F-4384-2019; Pereira, Francisco Camara/B-2111-2010; de Abreu e Silva, Joao/I-8102-2012</t>
  </si>
  <si>
    <t>BABURAJAN, VISHNU/0000-0002-4512-9209; Pereira, Francisco Camara/0000-0001-5457-9909; de Abreu e Silva, Joao/0000-0002-7893-2671</t>
  </si>
  <si>
    <t>European Cooperation for Science &amp; Technology, COST [TU1305]</t>
  </si>
  <si>
    <t>European Cooperation for Science &amp; Technology, COST</t>
  </si>
  <si>
    <t>This work was supported by European Cooperation for Science &amp; Technology, COST TU1305.</t>
  </si>
  <si>
    <t>2153-0009</t>
  </si>
  <si>
    <t>978-1-7281-0323-5</t>
  </si>
  <si>
    <t>IEEE INT C INTELL TR</t>
  </si>
  <si>
    <t>Automation &amp; Control Systems; Computer Science, Artificial Intelligence; Engineering, Electrical &amp; Electronic; Transportation Science &amp; Technology</t>
  </si>
  <si>
    <t>BL9OB</t>
  </si>
  <si>
    <t>WOS:000457881303099</t>
  </si>
  <si>
    <t>Kave, G; Dassa, A</t>
  </si>
  <si>
    <t>Kave, Gitit; Dassa, Ayelet</t>
  </si>
  <si>
    <t>Severity of Alzheimer's disease and language features in picture descriptions</t>
  </si>
  <si>
    <t>Dementia; connected speech; discourse; lexical impairment; Hebrew</t>
  </si>
  <si>
    <t>MINI-MENTAL-STATE; SPONTANEOUS SPEECH; NARRATIVE DISCOURSE; DEMENTIA; DEFICITS; DECLINE; IMPAIRMENT; COMPLEXITY; RETRIEVAL; FREQUENCY</t>
  </si>
  <si>
    <t>Background: Studies of connected speech of individuals with Alzheimer's disease (AD) report significant impairments relative to the language of cognitively intact participants. Considerably less research has focused on the association between dementia severity and language features. Aims: The current study examines how scores on a dementia screening test (the Mini-Mental Status Examination, MMSE) correlate with features of connected speech. Methods &amp; Procedures: Thirty-five individuals with AD (range of MMSE scores = 3-25) and 35 cognitively intact participants provided picture descriptions. Ten language features were derived from their descriptions using an automated text analysis tool: total word number, percentage of content words, pronoun ratio, type-token ratio, mean word frequency, percentage of verbs, percentage of verbs in the most common morphological form in Hebrew, percentage of verbs in present tense, percentage of prepositions, and percentage of subordination markers. Information content was also analysed. Outcomes &amp; Results: Group differences emerged in five language features as well as in information content, attesting for substantial lexical impairment in AD. Within the AD group, MMSE scores were correlated with type-token ratio, with mean word frequency, and with the number of information units. No equivalent correlations were found within the control group. Conclusions: Dementia severity associates with decreasing lexical diversity, increasing word frequency, and a reduction in relevant information content, but not with changes in grammatical features of language. A simple automated analysis of connected speech could be used clinically to define and track the decline in language abilities in AD.</t>
  </si>
  <si>
    <t>[Kave, Gitit] Open Univ, Dept Educ &amp; Psychol, Raanana, Israel; [Kave, Gitit] Tel Aviv Sourasky Med Ctr, Neurol Div, Ctr Memory &amp; Attent Disorders, Tel Aviv, Israel; [Dassa, Ayelet] Bar Ilan Univ, Dept Mus, Ramat Gan, Israel; [Dassa, Ayelet] Stuchinski Alzheimer Res &amp; Treatment Ctr, Art Therapies &amp; Res, Ramat Gan, Israel</t>
  </si>
  <si>
    <t>Open University Israel; Tel Aviv University; Sackler Faculty of Medicine; Tel Aviv Sourasky Medical Center; Bar Ilan University</t>
  </si>
  <si>
    <t>Kave, G (corresponding author), Open Univ, Dept Educ &amp; Psychol, Raanana, Israel.;Kave, G (corresponding author), Tel Aviv Sourasky Med Ctr, Neurol Div, Ctr Memory &amp; Attent Disorders, Tel Aviv, Israel.</t>
  </si>
  <si>
    <t>gkave@012.net.il</t>
  </si>
  <si>
    <t>Dassa, Ayelet/0000-0001-7641-3918; Kave, Gitit/0000-0002-4950-5507</t>
  </si>
  <si>
    <t>Myers-JDC-Brookdale Institute of Gerontology; Human Development and ESHEL-The Association for the Planning and Development of Services; Paulina and Hans Graubard foundation</t>
  </si>
  <si>
    <t>This work was supported by grants from the Myers-JDC-Brookdale Institute of Gerontology and Human Development and ESHEL-The Association for the Planning and Development of Services for the Aged in Israel; as well as by the Paulina and Hans Graubard foundation.</t>
  </si>
  <si>
    <t>10.1080/02687038.2017.1303441</t>
  </si>
  <si>
    <t>FY9PN</t>
  </si>
  <si>
    <t>WOS:000427198800003</t>
  </si>
  <si>
    <t>Won, M; Fernandes, JM</t>
  </si>
  <si>
    <t>Won, Miguel; Fernandes, Jorge M.</t>
  </si>
  <si>
    <t>Analyzing Twitter networks using graph embeddings: an application to the British case</t>
  </si>
  <si>
    <t>Graph embeddings; Social networks; Social media; Twitter; Political map; UK</t>
  </si>
  <si>
    <t>Embeddings have gained traction in the social sciences in recent years. Existing work focuses on text-as-data to estimate word embeddings. In this paper, we turn to graph embeddings as a tool whose use has been overlooked in the analysis of social networks. Graph embeddings have two primary uses. First, to encode users and their interactions onto a single vector. Second, graph embeddings can be used as inputs for machine-learning classifiers. In this paper, we use the British political Twitter to illustrate both uses of graph embeddings. We encode users' partisanship. Furthermore, we use an SVM and a NN to estimate the partisan proximity of Twitter users. Results suggest that graph embeddings yield high precision predictions.</t>
  </si>
  <si>
    <t>[Won, Miguel] INESC RD, Av Alves Redol 9, Lisbon, Portugal; [Fernandes, Jorge M.] Univ Lisbon, Inst Social Sci, Av Prof Anibal Bettencourt 9, Lisbon, Portugal</t>
  </si>
  <si>
    <t>Fernandes, JM (corresponding author), Univ Lisbon, Inst Social Sci, Av Prof Anibal Bettencourt 9, Lisbon, Portugal.</t>
  </si>
  <si>
    <t>miguelwon@tecnico.ulisboa.pt; jorge.fernandes@ics.ulisboa.pt</t>
  </si>
  <si>
    <t>Won, Miguel/R-1458-2017</t>
  </si>
  <si>
    <t>Won, Miguel/0000-0003-0745-7452; Fernandes, Jorge/0000-0002-0731-7073</t>
  </si>
  <si>
    <t>10.1007/s42001-021-00128-6</t>
  </si>
  <si>
    <t>1I2EZ</t>
  </si>
  <si>
    <t>WOS:000660560300001</t>
  </si>
  <si>
    <t>Garlick, A; Cluverius, J</t>
  </si>
  <si>
    <t>Garlick, Alex; Cluverius, John</t>
  </si>
  <si>
    <t>Automated estimates of state interest group lobbying populations</t>
  </si>
  <si>
    <t>Interest groups; Data science; State politics; Legislative studies; Text as data; Automated methods</t>
  </si>
  <si>
    <t>TEXT; TRANSPARENCY</t>
  </si>
  <si>
    <t>A number of strides have been taken in recent years to measure interest group populations in the American states, but sorting these groups by economic sector requires substantial investment in time and personnel. This paper introduces an automated process to estimate the industry of interest groups, using only their names. We discuss the advantages and hurdles of using automated methods and then employ a supervised learning method that produces a reliable set of estimations of the sector of more than six hundred thousand interest groups in the states. We validate these estimates in a number of ways, showing that they closely correlate to datasets employed in the literature, can replicate published results and reflect real-world events.</t>
  </si>
  <si>
    <t>[Garlick, Alex] Coll New Jersey, Ewing, NJ 08618 USA; [Cluverius, John] Univ Massachusetts Lowell, Lowell, MA USA</t>
  </si>
  <si>
    <t>College of New Jersey; University of Massachusetts System; University of Massachusetts Lowell</t>
  </si>
  <si>
    <t>Garlick, A (corresponding author), Coll New Jersey, Ewing, NJ 08618 USA.</t>
  </si>
  <si>
    <t>garlicka@tcnj.edu; John_Cluverius@uml.edu</t>
  </si>
  <si>
    <t>Garlick, Alex/AAX-6687-2020</t>
  </si>
  <si>
    <t>Garlick, Alex/0000-0002-2255-8617</t>
  </si>
  <si>
    <t>2047-7414</t>
  </si>
  <si>
    <t>10.1057/s41309-020-00091-z</t>
  </si>
  <si>
    <t>NN8HY</t>
  </si>
  <si>
    <t>WOS:000539895600001</t>
  </si>
  <si>
    <t>Arceo-Gomez, EO; Campos-Vazquez, RM</t>
  </si>
  <si>
    <t>Arceo-Gomez, Eva O.; Campos-Vazquez, Raymundo M.</t>
  </si>
  <si>
    <t>Gender stereotypes: The case of MisProfesores.com in Mexico</t>
  </si>
  <si>
    <t>ECONOMICS OF EDUCATION REVIEW</t>
  </si>
  <si>
    <t>Gender; Stereotypes; Big data; Teaching evaluations; Mexico</t>
  </si>
  <si>
    <t>STUDENT-EVALUATIONS; MATRILINEAL; VALIDITY; WOMEN; BIAS; RACE</t>
  </si>
  <si>
    <t>In this study we analyze the extent of gender stereotypes in student evaluations of college professors on the internet site MisProfesores.com in Mexico. We downloaded more than 600,000 evaluations for the period 2008-18. The evaluations include three scores on a scale of 0 to 10: how easy it is to obtain a good grade, how much the professor helps his or her students obtain good grades, and how clearly the professor presents the concepts of the course. The site also allows students to comment on the professor and the class, and we performed a quantitative text analysis of these comments. We found that women receive lower scores than their male counterparts, although the difference is relatively small: 1-2% of a standard deviation. Students refer more to the appearance and personality of female professors, and describe them more often as bad or strict. They also refer to women in less respectful terms, calling them maestra (teacher), but calling men profesor or licenciado (the title corresponding to their academic degree), and they use less positive language for women (good vs. great or excellent for men). Finally, words associated with qualities of service (traditionally stereotyped as feminine) favor women more than men; whereas, words with traditionally masculine associations have a negative impact on women's evaluations.</t>
  </si>
  <si>
    <t>[Arceo-Gomez, Eva O.] Ctr Invest &amp; Docencia Econ, Carretera Mexico Toluca 3655, Mexico City 01210, DF, Mexico; [Campos-Vazquez, Raymundo M.] Colegio Mexico, Ctr Estudios Econ, Camino Ajusco 20, Mexico City 10740, DF, Mexico</t>
  </si>
  <si>
    <t>Centro de Investigacion y Docencia Economicas A.C. (CIDE); Colegio de Mexico</t>
  </si>
  <si>
    <t>Campos-Vazquez, RM (corresponding author), Colegio Mexico, Ctr Estudios Econ, Camino Ajusco 20, Mexico City 10740, DF, Mexico.</t>
  </si>
  <si>
    <t>eva.arceo@cide.edu; rmcampos@colmex.mx</t>
  </si>
  <si>
    <t>Arceo-Gomez, Eva Olimpia/0000-0002-1451-0146</t>
  </si>
  <si>
    <t>0272-7757</t>
  </si>
  <si>
    <t>1873-7382</t>
  </si>
  <si>
    <t>ECON EDUC REV</t>
  </si>
  <si>
    <t>Econ. Educ. Rev.</t>
  </si>
  <si>
    <t>10.1016/j.econedurev.2019.05.007</t>
  </si>
  <si>
    <t>Economics; Education &amp; Educational Research</t>
  </si>
  <si>
    <t>Business &amp; Economics; Education &amp; Educational Research</t>
  </si>
  <si>
    <t>JB9GE</t>
  </si>
  <si>
    <t>WOS:000488888700006</t>
  </si>
  <si>
    <t>Mate, A; Sebok, M; Barczikay, T</t>
  </si>
  <si>
    <t>Mate, Akos; Sebok, Miklos; Barczikay, Tamas</t>
  </si>
  <si>
    <t>The effect of central bank communication on sovereign bond yields: The case of Hungary</t>
  </si>
  <si>
    <t>MONETARY-POLICY; MACROECONOMIC NEWS; TEXTUAL ANALYSIS; NATIONAL BANK; STOCK RETURNS; MARKETS; DETERMINANTS</t>
  </si>
  <si>
    <t>In this article we investigate how the public communication of the Hungarian Central Bank's Monetary Council (MC) affects Hungarian sovereign bond yields. This research ties into the advances made in the financial and political economy literature which rely on extensive textual data and quantitative text analysis tools. While prior research demonstrated that forward guidance, in the form of council meeting minutes or press releases can be used as predictors of rate decisions, we are interested in whether they are able to directly influence asset returns as well. In order to capture the effect of central bank communication, we measure the latent hawkish or dovish sentiment of MC press releases from 2005 to 2019 by applying a sentiment dictionary, a staple in the text mining toolkit. Our results show that central bank forward guidance has an intra-year effect on bond yields. However, the hawkish or dovish sentiment of press releases has no impact on maturities of one year or longer where the policy rate proves to be the most important explanatory variable. Our research also contributes to the literature by applying a specialized dictionary to monetary policy as well as broadening the discussion by analyzing a case from the non-eurozone Central-Eastern region of the European Union.</t>
  </si>
  <si>
    <t>[Mate, Akos; Sebok, Miklos; Barczikay, Tamas] ELKH, Ctr Social Sci, Budapest, Hungary</t>
  </si>
  <si>
    <t>Mate, A (corresponding author), ELKH, Ctr Social Sci, Budapest, Hungary.</t>
  </si>
  <si>
    <t>Mate.Akos@tk.mta.hu</t>
  </si>
  <si>
    <t>Hungarian Artificial Intelligence National Laboratory</t>
  </si>
  <si>
    <t>We would like to acknowledge the research assistance of Eszter Saghy. The authors would also like to acknowledge support from the Hungarian Artificial Intelligence National Laboratory.</t>
  </si>
  <si>
    <t>FEB 4</t>
  </si>
  <si>
    <t>e0245515</t>
  </si>
  <si>
    <t>10.1371/journal.pone.0245515</t>
  </si>
  <si>
    <t>QF5UW</t>
  </si>
  <si>
    <t>WOS:000616960200111</t>
  </si>
  <si>
    <t>Aprent, P</t>
  </si>
  <si>
    <t>Aprent, Patrick</t>
  </si>
  <si>
    <t>The Discourses that Shaped the 2018 Commemorative Year. A digital analysis of Austrian print media based on the Austrian Media Corpus (AMC)</t>
  </si>
  <si>
    <t>ZEITGESCHICHTE</t>
  </si>
  <si>
    <t>Commemorative Year 2018; Media Discourse; Digital Humanities</t>
  </si>
  <si>
    <t>This article explores and reflects the discourse on the Austrian Year of Memory and Commemoration 2018 in public print media. The empirical data basis for this was provided by the Austrian Media Corpus (AMC) - one of the largest German-language digital text corpora, hosted by the Austrian Centre for Digital Humanities and Cultural Heritage (ACDH-CH) at the Austrian Academy of Sciences (OeAW). One of the major challenges, and the main aim of the project, was to set up a methodological and technical framework, since this corpus had not yet been used outside of linguistic research. Matthias Lemke's Blended Reading - a concept that effectively combines computer-assisted, quantitative text analysis (distant reading) with qualitative text analysis (close reading)- was applied as a strategy to analyze greater numbers of textual sources. The Leipzig Corpus Miner (LCM) was used as the main software, providing a wide range of text mining methods in combination with a management system for qualitative text analysis and annotation. Within this framework, the print coverage was analyzed and major debates examined. This process was thoroughly documented to introduce methods applied on case examples and to contribute to the discussion on how digital methods such as text mining could enrich research in the humanities.</t>
  </si>
  <si>
    <t>[Aprent, Patrick] Austrian Acad Sci, Theater Film &amp; Medienwissenschaftler, IKT, Vienna, Austria</t>
  </si>
  <si>
    <t>Austrian Academy of Sciences</t>
  </si>
  <si>
    <t>Aprent, P (corresponding author), Austrian Acad Sci, Theater Film &amp; Medienwissenschaftler, IKT, Vienna, Austria.</t>
  </si>
  <si>
    <t>patrick.aprent@oeaw.ac.at</t>
  </si>
  <si>
    <t>VANDENHOECK &amp; RUPRECHT GMBH &amp; CO KG</t>
  </si>
  <si>
    <t>GOTTINGEN</t>
  </si>
  <si>
    <t>VIENNA UNIV PRESS, ROBERT BOSCH BREITE 6, D-37079 GOTTINGEN, GERMANY</t>
  </si>
  <si>
    <t>0256-5250</t>
  </si>
  <si>
    <t>Zeitgeschichte</t>
  </si>
  <si>
    <t>LA9FM</t>
  </si>
  <si>
    <t>WOS:000524245800004</t>
  </si>
  <si>
    <t>Kostovicova, D</t>
  </si>
  <si>
    <t>Kostovicova, Denisa</t>
  </si>
  <si>
    <t>Seeking Justice in a Divided Region: Text Analysis of Regional Civil Society Deliberations in the Balkans</t>
  </si>
  <si>
    <t>INTERNATIONAL JOURNAL OF TRANSITIONAL JUSTICE</t>
  </si>
  <si>
    <t>regional approach; postconflict justice; civil society; text analysis; Balkans</t>
  </si>
  <si>
    <t>TRANSITIONAL JUSTICE; DEMOCRACY</t>
  </si>
  <si>
    <t>Contemporary conflicts are seldom contained within nation states. The cross-border nature of violence has prompted scholars to call for a regional approach to transitional justice (TJ). This article furthers our understanding of the regional dimension of postconflict justice by addressing the puzzle of whether discourse in regional-level debates is different from that in national-or local-level debates. It applies a communicative deliberation perspective by focusing on the patterns of talk during civil society deliberations on postconflict justice. Empirical evidence is based on the unique regional civil-society-led process in the Balkans that aims to establish a regional fact-finding commission, known by its acronym RECOM. Critiquing state-centred approaches to the study of TJ, this study conducts mixed-method research and applies text analytic techniques appropriate for the investigation of a large volume of regional-level data. Quantitative text analysis is carried out by applying a dictionary method to over half-a-million words of RECOM's textual data. Findings suggest that regional-level debates have a higher level of restorative justice discourse than nonregional debates. Qualitative analysis of discursive frames explores this finding further, and shows that deliberators' endorsement of the regional approach to TJ rests on a set of historical, present and future considerations, underpinned by a sense of regional consciousness.</t>
  </si>
  <si>
    <t>[Kostovicova, Denisa] London Sch Econ &amp; Polit Sci, Global Polit, London, England</t>
  </si>
  <si>
    <t>Kostovicova, D (corresponding author), London Sch Econ &amp; Polit Sci, Global Polit, London, England.</t>
  </si>
  <si>
    <t>d.kostovicova@lse.ac.uk</t>
  </si>
  <si>
    <t>Kostovicova, Denisa/0000-0002-6243-4379</t>
  </si>
  <si>
    <t>Leverhulme Trust [RF-2015-262]</t>
  </si>
  <si>
    <t>Leverhulme Trust(Leverhulme Trust)</t>
  </si>
  <si>
    <t>This research was supported by the Leverhulme Trust (Research Fellowship RF-2015-262). The article benefited from comments by participants in the Eighth Annual OxPeace Conference, St John's College, Oxford (2016); the 'Reimagining Conflict-Transformation' workshop, the Centre for Conflict, Rule of Law and Society, Bournemouth University (2016); and 'Norms and Local Agency in Transitional Justice in the Western Balkans' panel, British International Studies Association Annual Conference, London (2015). I received valuable advice from Kenneth Benoit and Helen Addison on preprocessing the RECOM data for quantitative text analysis, which I gratefully acknowledge. I am indebted to Tom Paskhalis for assistance with quantitative text analysis and thank Barnaby Perkes and Ivona Ladjevac for research assistance in earlier stages of this project. I also thank Pierre Hazan and anonymous reviewers for their comments, and Aaron Glasserman for editing assistance.</t>
  </si>
  <si>
    <t>1752-7716</t>
  </si>
  <si>
    <t>1752-7724</t>
  </si>
  <si>
    <t>INT J TRANSIT JUST</t>
  </si>
  <si>
    <t>Int. J. Transitional Justice</t>
  </si>
  <si>
    <t>10.1093/ijtj/ijw023</t>
  </si>
  <si>
    <t>International Relations; Law; Political Science</t>
  </si>
  <si>
    <t>EP5OH</t>
  </si>
  <si>
    <t>WOS:000397427700009</t>
  </si>
  <si>
    <t>Prentice, S; Taylor, PJ; Rayson, P; Hoskins, A; O'Loughlin, B</t>
  </si>
  <si>
    <t>Prentice, Sheryl; Taylor, Paul J.; Rayson, Paul; Hoskins, Andrew; O'Loughlin, Ben</t>
  </si>
  <si>
    <t>Analyzing the semantic content and persuasive composition of extremist media: A case study of texts produced during the Gaza conflict</t>
  </si>
  <si>
    <t>INFORMATION SYSTEMS FRONTIERS</t>
  </si>
  <si>
    <t>Extremist language; Content analysis; Influence tactics; Semantic tagging; Key concept analysis</t>
  </si>
  <si>
    <t>COMMUNICATION BEHAVIOR; PATTERNS; TERRORISM; INTERNET; WEB</t>
  </si>
  <si>
    <t>While terrorism informatics research has examined the technical composition of extremist media, there is less work examining the content and intent behind such media. We propose that the arguments and issues presented in extremist media provide insights into authors' intent, which in turn may provide an evidence-base for detecting and assessing risk. We explore this possibility by applying two quantitative text-analysis methods to 50 online texts that incite violence as a result of the 2008/2009 Israeli military action in Gaza and the West Bank territories. The first method-a content coding system that identifies the occurrence of persuasive devices-revealed a predominance of moral proof arguments within the texts, and evidence for distinguishable 'profiles' of persuasion use across different authors and different group affiliations. The second method-a corpus-linguistic technique that identifies the core concepts and narratives that authors use-confirmed the use of moral proof to create an in-group/out-group divide, while also demonstrating a movement from general expressions of discontent to more direct audience-orientated expressions of violence as conflict heightened. We conclude that multi-method analyses are a valuable approach to building both an evidence-based understanding of terrorist media use and a valid set of applications within terrorist informatics.</t>
  </si>
  <si>
    <t>[Prentice, Sheryl; Taylor, Paul J.] Univ Lancaster, Dept Psychol, Lancaster LA1 4YF, England; [Rayson, Paul] Univ Lancaster, Sch Comp &amp; Commun, Lancaster LA1 4YF, England; [Hoskins, Andrew] Univ Nottingham, Dept Culture Film &amp; Media, Nottingham NG7 2RD, England; [O'Loughlin, Ben] Royal Holloway Univ London, Polit &amp; Int Relat, Egham, Surrey, England</t>
  </si>
  <si>
    <t>Lancaster University; Lancaster University; University of Nottingham; University of London; Royal Holloway University London</t>
  </si>
  <si>
    <t>Taylor, PJ (corresponding author), Univ Lancaster, Dept Psychol, Lancaster LA1 4YF, England.</t>
  </si>
  <si>
    <t>s.prentice@lancaster.ac.uk; p.j.taylor@lancaster.ac.uk; p.rayson@lancaster.ac.uk; andrew.hoskins@warwick.ac.uk; ben.oloughlin@rhul.ac.uk</t>
  </si>
  <si>
    <t>Taylor, Paul/AAC-5000-2021; Taylor, Paul J/B-9178-2008</t>
  </si>
  <si>
    <t>Taylor, Paul/0000-0001-8743-7667; Taylor, Paul J/0000-0001-8743-7667; Hoskins, Andrew/0000-0002-1207-2728; Prentice, Sheryl/0000-0001-7036-1635; Rayson, Paul/0000-0002-1257-2191</t>
  </si>
  <si>
    <t>ESRC [ES/F018304/1] Funding Source: UKRI; Economic and Social Research Council [ES/F018304/1] Funding Source: researchfish</t>
  </si>
  <si>
    <t>ESRC(UK Research &amp; Innovation (UKRI)Economic &amp; Social Research Council (ESRC)); Economic and Social Research Council(UK Research &amp; Innovation (UKRI)Economic &amp; Social Research Council (ESRC))</t>
  </si>
  <si>
    <t>1387-3326</t>
  </si>
  <si>
    <t>1572-9419</t>
  </si>
  <si>
    <t>INFORM SYST FRONT</t>
  </si>
  <si>
    <t>Inf. Syst. Front.</t>
  </si>
  <si>
    <t>10.1007/s10796-010-9272-y</t>
  </si>
  <si>
    <t>732WI</t>
  </si>
  <si>
    <t>WOS:000288220000006</t>
  </si>
  <si>
    <t>Langenkamp, A; Cano, T; Czymara, CS</t>
  </si>
  <si>
    <t>Langenkamp, Alexander; Cano, Tomas; Czymara, Christian S.</t>
  </si>
  <si>
    <t>My Home is my Castle? The Role of Living Arrangements on Experiencing the COVID-19 Pandemic: Evidence From Germany</t>
  </si>
  <si>
    <t>loneliness; crisis; social inequality; living conditions; well-being; COVID-19; household structure</t>
  </si>
  <si>
    <t>INTIMATE PARTNER VIOLENCE; RISK-FACTORS; FAMILY; LONELINESS; SUPPORT</t>
  </si>
  <si>
    <t>During the early months of the COVID-19 pandemic in Germany, social restrictions and social distancing policies forced large parts of social life to take place within the household. However, comparatively little is known about how private living situations shaped individuals experiences of this crisis. To investigate this issue, we analyze how experiences and concerns vary across living arrangements along two dimensions that may be associated with social disadvantage: loneliness and care. In doing so, we employ quantitative text analysis on open-ended questions from survey data on a sample of 1,073 individuals living in Germany. We focus our analyses on four different household structures: living alone, shared living without children, living with a partner and children, and single parents. We find that single parents (who are primarily single mothers) are at high risk of experiencing care-related worries, particularly regarding their financial situation, while individuals living alone are most likely to report feelings of loneliness. Those individuals living in shared houses, with or without children, had the lowest risk of experiencing both loneliness and care-related worries. These findings illustrate that the living situation at home substantially impacts how individuals experienced and coped with the pandemic situation during the first wave of the pandemic.</t>
  </si>
  <si>
    <t>[Langenkamp, Alexander; Cano, Tomas; Czymara, Christian S.] Goethe Univ Frankfurt Am Main, Sociol, Frankfurt, Germany; [Cano, Tomas] Univ Nacl Educ Distancia DNED, Madrid, Spain</t>
  </si>
  <si>
    <t>Goethe University Frankfurt</t>
  </si>
  <si>
    <t>Langenkamp, A (corresponding author), Goethe Univ Frankfurt Am Main, Sociol, Frankfurt, Germany.</t>
  </si>
  <si>
    <t>langenkamp@soz.uni-frankfurt.de</t>
  </si>
  <si>
    <t>Czymara, Christian S./S-8900-2019</t>
  </si>
  <si>
    <t>Czymara, Christian S./0000-0002-9535-3559; Cano, Tomas/0000-0002-1804-164X</t>
  </si>
  <si>
    <t>Spanish Ministry of Science and Innovation, Spanish Research Agency [PID2020-117980GBI00]</t>
  </si>
  <si>
    <t>Spanish Ministry of Science and Innovation, Spanish Research Agency</t>
  </si>
  <si>
    <t>TC thanks the Spanish Ministry of Science and Innovation, Spanish Research Agency, for providing funding within the project Socio-economic inequalities in family behaviour and wellbeing: the role of economic security, role compatibility and gender relations (Ref: PID2020-117980GBI00). We thank Theodora Benesch for assisting the translation of tables and figures.</t>
  </si>
  <si>
    <t>JAN 11</t>
  </si>
  <si>
    <t>10.3389/fsoc.2021.785201</t>
  </si>
  <si>
    <t>YO5XN</t>
  </si>
  <si>
    <t>WOS:000748014200001</t>
  </si>
  <si>
    <t>Peters, J; Wiehler, A; Bromberg, U</t>
  </si>
  <si>
    <t>Peters, J.; Wiehler, A.; Bromberg, U.</t>
  </si>
  <si>
    <t>Quantitative text feature analysis of autobiographical interview data: prediction of episodic details, semantic details and temporal discounting</t>
  </si>
  <si>
    <t>SCIENTIFIC REPORTS</t>
  </si>
  <si>
    <t>FUTURE THINKING; DECISION-MAKING; ALZHEIMERS-DISEASE; LANGUAGE USE; LIFE-SPAN; MEMORY; DELAY; TIME; CONSTRUCTION; IMPULSIVITY</t>
  </si>
  <si>
    <t>Autobiographical memory and episodic future thinking (i.e. the capacity to project oneself into an imaginary future) are typically assessed using the Autobiographical Interview (AI). In the AI, subjects are provided with verbal cues (e.g. your wedding day) and are asked to freely recall (or imagine) the cued past (or future) event. Narratives are recorded, transcribed and analyzed using an established manual scoring procedure (Levine et al., 2002). Here we applied automatic text feature extraction methods to a relatively large (n = 86) set of AI data. In a first proof-of-concept approach, we used regression models to predict internal (episodic) and semantic detail sum scores from low-level linguistic features. Across a range of different regression methods, prediction accuracy averaged at about 0.5 standard deviations. Given the known association of episodic future thinking with temporal discounting behavior, i.e. the preference for smaller-sooner over larger-later rewards, we also ran models predicting temporal discounting directly from linguistic features of AI narratives. Here, prediction accuracy was much lower, but involved the same text feature components as prediction of internal (episodic) details. Our findings highlight the potential feasibility of using tools from quantitative text analysis to analyze AI datasets, and we discuss potential future applications of this approach.</t>
  </si>
  <si>
    <t>[Peters, J.] Univ Cologne, Dept Psychol, Biol Psychol, Cologne, Germany; [Peters, J.; Wiehler, A.; Bromberg, U.] Univ Med Ctr Hamburg Eppendorf, Dept Syst Neurosci, Hamburg, Germany; [Wiehler, A.] Inst Cerveau &amp; Moelle Epiniere, Motivat Brain &amp; Behav Lab, Paris, France; [Wiehler, A.] Univ Pierre &amp; Marie Curie UPMC Paris, CNRS Unit 7225, Inserm Unit 1127, Paris, France</t>
  </si>
  <si>
    <t>University of Cologne; University of Hamburg; University Medical Center Hamburg-Eppendorf; UDICE-French Research Universities; Sorbonne Universite; Institut National de la Sante et de la Recherche Medicale (Inserm); UDICE-French Research Universities; Sorbonne Universite</t>
  </si>
  <si>
    <t>Peters, J (corresponding author), Univ Cologne, Dept Psychol, Biol Psychol, Cologne, Germany.;Peters, J (corresponding author), Univ Med Ctr Hamburg Eppendorf, Dept Syst Neurosci, Hamburg, Germany.</t>
  </si>
  <si>
    <t>jan.peters@uni-koeln.de</t>
  </si>
  <si>
    <t>Peters, Jan/V-2910-2019; Peters, Jan/GWC-6713-2022</t>
  </si>
  <si>
    <t>Peters, Jan/0000-0002-0195-5357; Peters, Jan/0000-0002-0195-5357</t>
  </si>
  <si>
    <t>Deutsche Forschungsgemeinschaft [PE 1627/3-1, PE 1627/5-1]</t>
  </si>
  <si>
    <t>This research was supported by grants from the Deutsche Forschungsgemeinschaft (PE 1627/3-1, PE 1627/5-1).</t>
  </si>
  <si>
    <t>2045-2322</t>
  </si>
  <si>
    <t>SCI REP-UK</t>
  </si>
  <si>
    <t>Sci Rep</t>
  </si>
  <si>
    <t>NOV 8</t>
  </si>
  <si>
    <t>10.1038/s41598-017-14433-6</t>
  </si>
  <si>
    <t>FM0GX</t>
  </si>
  <si>
    <t>WOS:000414641900004</t>
  </si>
  <si>
    <t>Faltynek, D; Matlach, V; Lackova, L</t>
  </si>
  <si>
    <t>Faltynek, Dan; Matlach, Vladimir; Lackova, Ludmila</t>
  </si>
  <si>
    <t>Bases are Not Letters: On the Analogy between the Genetic Code and Natural Language by Sequence Analysis</t>
  </si>
  <si>
    <t>BIOSEMIOTICS</t>
  </si>
  <si>
    <t>Genetic code; Quantitative linguistics; Quantitative text analysis; DNA linguistics; Protein; N-gram; Zipf's law; Language metaphor</t>
  </si>
  <si>
    <t>MENZERATH-ALTMANN LAW; LINGUISTIC FEATURES; DNA; GRAMMAR; SYMBOLS</t>
  </si>
  <si>
    <t>The article deals with the notion of the genetic code and its metaphorical understanding as a language. In the traditional view of the language metaphor of the genetic code, combinations of nucleotides are signs of amino acids (see the table of the genetic code). Similarly, words combined from letters (speech sounds) represent certain meanings. The language metaphor of the genetic code (Markos and Faltynek, Biosemiotics 4(2), 171-200, 2011) assumes that the nucleotides stay in the analogy to letters, triples to words and genes to sentences (Jakobson 1971). We propose an application of mathematical linguistic methods on the notion of the genetic code. We provide quantitative analysis (n-gram structure, Zipf's law) of mRNA strings and natural language texts. This analysis is sensitive to the detection of the code (language) units hierarchy. We also take into consideration a representative quantitative analysis of DNA, RNA and proteins. Our analysis of mRNA confirms an assumption that the design of the genetic code cannot analogize DNA bases and letters. The notion of the letter is much more appropriate if analogized with triplets or amino acids (see Lackova et al, Theory in Biosciences 136(3-4), 187-191, 2017).</t>
  </si>
  <si>
    <t>[Faltynek, Dan; Matlach, Vladimir; Lackova, Ludmila] Palacky Univ, Dept Gen Linguist, Krizkovskeho 14, CR-77147 Olomouc, Czech Republic</t>
  </si>
  <si>
    <t>Palacky University Olomouc</t>
  </si>
  <si>
    <t>Lackova, L (corresponding author), Palacky Univ, Dept Gen Linguist, Krizkovskeho 14, CR-77147 Olomouc, Czech Republic.</t>
  </si>
  <si>
    <t>ludmila.lackova01@upol.cz</t>
  </si>
  <si>
    <t>Lacková, Ľudmila/AHA-7900-2022</t>
  </si>
  <si>
    <t>Lacková, Ľudmila/0000-0001-9852-4280; Matlach, Vladimir/0000-0002-4111-7382</t>
  </si>
  <si>
    <t>Sinophone Borderlands: Interaction at the Edges [CZ.02.1.01/0.0/0.0/16_019/0000791]</t>
  </si>
  <si>
    <t>Sinophone Borderlands: Interaction at the Edges</t>
  </si>
  <si>
    <t>The name of the financed project is Sinophone Borderlands: Interaction at the Edges, n. CZ.02.1.01/0.0/0.0/16_019/0000791.</t>
  </si>
  <si>
    <t>1875-1342</t>
  </si>
  <si>
    <t>1875-1350</t>
  </si>
  <si>
    <t>BIOSEMIOTICS-NETH</t>
  </si>
  <si>
    <t>Biosemiotics</t>
  </si>
  <si>
    <t>10.1007/s12304-019-09353-z</t>
  </si>
  <si>
    <t>Humanities, Multidisciplinary; History &amp; Philosophy Of Science</t>
  </si>
  <si>
    <t>IU6KQ</t>
  </si>
  <si>
    <t>WOS:000483695600006</t>
  </si>
  <si>
    <t>Horowitz, MC; Kahn, L</t>
  </si>
  <si>
    <t>Horowitz, Michael C.; Kahn, Lauren</t>
  </si>
  <si>
    <t>What influences attitudes about artificial intelligence adoption: Evidence from US local officials</t>
  </si>
  <si>
    <t>ACCEPTANCE; OPINION; SYSTEMS; NEWS</t>
  </si>
  <si>
    <t>Rapid advances in machine learning and related techniques have increased optimism about self-driving cars, autonomous surgery, and other uses of artificial intelligence (AI). But adoption of these technologies is not simply a matter of breakthroughs in the design and training of algorithms. Regulators around the world will have to make a litany of choices about law and policy surrounding AI. To advance knowledge of how they will make these choices, we draw on a unique survey pool-690 local officials in the United States-a representative sample of U.S. local officials. These officials will make many of the decisions about AI adoption, from government use to regulation, given the decentralized structure of the United States. The results show larger levels of support for autonomous vehicles than autonomous surgery. Moreover, those that used ridesharing apps prior to the COVID-19 pandemic are significantly more supportive of autonomous vehicles. We also find that self-reported familiarity with AI is correlated with increased approval of AI uses in a variety of areas, including facial recognition, natural disaster impact planning, and even military surveillance. Related, those who expressed greater opposition to AI adoption also appear more concerned about trade-offs between privacy and information and bias in algorithms. Finally, the explanatory logic used by respondents varies based on gender and prior experience with AI, which we demonstrate with quantitative text analysis.</t>
  </si>
  <si>
    <t>[Horowitz, Michael C.] Univ Penn, Perry World House, Philadelphia, PA 19104 USA; [Kahn, Lauren] Council Foreign Relat, Washington, DC USA</t>
  </si>
  <si>
    <t>Horowitz, MC (corresponding author), Univ Penn, Perry World House, Philadelphia, PA 19104 USA.</t>
  </si>
  <si>
    <t>horom@sas.upenn.edu</t>
  </si>
  <si>
    <t>Air Force Office of Science Research/Minerva Research Initiative [FA9550-18-1-0194]</t>
  </si>
  <si>
    <t>Air Force Office of Science Research/Minerva Research Initiative</t>
  </si>
  <si>
    <t>MH, FA9550-18-1-0194, Air Force Office of Science Research/Minerva Research Initiative, https://minerva.defense.gov/, The funders had no role in study design, data collection and analysis, decision to publish, or preparation of the manuscript.</t>
  </si>
  <si>
    <t>OCT 20</t>
  </si>
  <si>
    <t>e0257732</t>
  </si>
  <si>
    <t>10.1371/journal.pone.0257732</t>
  </si>
  <si>
    <t>YN0PH</t>
  </si>
  <si>
    <t>WOS:000746969100011</t>
  </si>
  <si>
    <t>Stetz, TA</t>
  </si>
  <si>
    <t>Stetz, Thomas A.</t>
  </si>
  <si>
    <t>Schools of management thought: a text analysis of management books published in the first half of the twentieth century</t>
  </si>
  <si>
    <t>MANAGEMENT &amp; ORGANIZATIONAL HISTORY</t>
  </si>
  <si>
    <t>Text analysis; management theories; schools of thought; management jungle</t>
  </si>
  <si>
    <t>ELTON MAYO; ORGANIZATION; NARRATIVES; SCIENCE</t>
  </si>
  <si>
    <t>The first half of the twentieth century saw the emergence of a variety of management ideas and various schools of thought that occurred during this time. While there are commonalities, these schools are far from absolute. They often intertwine and use different terminology making distinctions difficult. To better understand how management thought developed, 27 management books from well-known authors published between 1903 and 1949 were analyzed using text analysis and quantitative techniques. A plot showing the semantic similarity among the books was produced. Inspection of the plot revealed seven groups of books: Scientific Management I, Scientific Management II, Psychology, Labor Relations and Personnel, Human Relations, Social Organization, and Administration. The plot also showed a progression over time with the earliest books taking a mechanistic task and worker-level perspective. Later authors expanded this to consider group-dynamics, psychology, sociology, structural aspects of organization, and the functions of management and general management as a whole. Each book and author is described providing an understanding of its location in the plot and the relationship with others. This is the first study to apply quantitative text analysis techniques to early management writings and to simultaneously examine so many books and authors.</t>
  </si>
  <si>
    <t>[Stetz, Thomas A.] Hawaii Pacific Univ, Dept Publ Serv, Coll Profess Studies, 900 Ft St Mall,Suite 200, Honolulu, HI 96813 USA</t>
  </si>
  <si>
    <t>Stetz, TA (corresponding author), Hawaii Pacific Univ, Dept Publ Serv, Coll Profess Studies, 900 Ft St Mall,Suite 200, Honolulu, HI 96813 USA.</t>
  </si>
  <si>
    <t>tstetz@hpu.edu</t>
  </si>
  <si>
    <t>1744-9359</t>
  </si>
  <si>
    <t>1744-9367</t>
  </si>
  <si>
    <t>MANAG ORGAN HIST</t>
  </si>
  <si>
    <t>Manag. Organ. Hist.</t>
  </si>
  <si>
    <t>10.1080/17449359.2021.1964087</t>
  </si>
  <si>
    <t>History; History Of Social Sciences; Management</t>
  </si>
  <si>
    <t>WI2NO</t>
  </si>
  <si>
    <t>WOS:000685784700001</t>
  </si>
  <si>
    <t>Muller, S</t>
  </si>
  <si>
    <t>Mueller, Stefan</t>
  </si>
  <si>
    <t>Media Coverage of Campaign Promises Throughout the Electoral Cycle</t>
  </si>
  <si>
    <t>campaign pledges; negativity bias; mass media; political communication; quantitative text analysis</t>
  </si>
  <si>
    <t>ELECTION PLEDGES; CITIZENS EVALUATIONS; NEWS; FULFILLMENT; AGENDA; NEGATIVITY; PARTIES; POLICY; POWER; COMMUNICATION</t>
  </si>
  <si>
    <t>Previous studies conclude that governments fulfill a large share of their campaign pledges. However, only a minority of voters believe that politicians try to keep their promises, and many voters struggle to recall the fulfillment or breaking of salient campaign pledges accurately. I argue that this disparity between the public perception and empirical evidence is influenced by the information voters receive throughout the electoral cycle. I expect that the media extensively inform readers about political promises. In addition, I posit that news outlets focus more on broken than on fulfilled promises and that the focus on broken promises has increased over time. I find strong support for these expectations based on a new text corpus of over 430,000 statements on political commitments published between 1979 and 2017 in 22 newspapers during 33 electoral cycles in Australia, Canada, Ireland, and the United Kingdom. Newspapers inform voters regularly about announced, broken, and fulfilled promises. Yet, across the four countries, newspapers report at least twice as much on broken than on fulfilled promises. Moreover, this negativity bias in reports on political promises has increased substantively. The results have implications for studying campaign promises, negative information in mass media, and the linkages between voters and parties.</t>
  </si>
  <si>
    <t>[Mueller, Stefan] Univ Coll Dublin, Sch Polit &amp; Int Relat, Newman Bldg, Dublin 4, Ireland</t>
  </si>
  <si>
    <t>Muller, S (corresponding author), Univ Coll Dublin, Sch Polit &amp; Int Relat, Newman Bldg, Dublin 4, Ireland.</t>
  </si>
  <si>
    <t>stefan.mueller@ucd.ie</t>
  </si>
  <si>
    <t>Muller, Stefan/0000-0002-6315-4125</t>
  </si>
  <si>
    <t>Irish Research Council (IRC) Government of Ireland Postgraduate Scholarship [GOIPG/2016/1278]</t>
  </si>
  <si>
    <t>Irish Research Council (IRC) Government of Ireland Postgraduate Scholarship</t>
  </si>
  <si>
    <t>Stefan Muller received financial support from an Irish Research Council (IRC) Government of Ireland Postgraduate Scholarship [Grant no: GOIPG/2016/1278].</t>
  </si>
  <si>
    <t>10.1080/10584609.2020.1744779</t>
  </si>
  <si>
    <t>OJ4OF</t>
  </si>
  <si>
    <t>WOS:000532418500001</t>
  </si>
  <si>
    <t>Geese, L</t>
  </si>
  <si>
    <t>Geese, Lucas</t>
  </si>
  <si>
    <t>Immigration-related Speechmaking in a Party-constrained Parliament: Evidence from the 'Refugee Crisis' of the 18th German Bundestag (2013-2017)</t>
  </si>
  <si>
    <t>HOUSE-OF-COMMONS; SUBSTANTIVE REPRESENTATION; ELECTORAL SYSTEMS; CANDIDATES; DELEGATION; FLOOR</t>
  </si>
  <si>
    <t>The 18th Bundestag term was marked by a high salience of the refugee and asylum issue dominating the political agenda. Taking this context as a case study, this paper asks which factors make legislators talk about immigration on the parliamentary floor. Three different literatures provide different answers to this question. A first literature highlights that immigrant-origin legislators with a visible background may have intrinsic motives to talk about immigration. A second literature raises attention to legislators' personal vote-seeking incentives to talk about immigration when the issue is electorally decisive. Contrary to these first two literatures, a third literature posits that legislative debates do not provide legislators the leeway to follow individual motives on the parliamentary floor, but that parliamentary party groups (PPGs) control access to the parliamentary floor and thus follow own strategies when allocating floor time to speak about the immigration issue. To examine this puzzle of competing expectations, a corpus of more than 10,000 speeches is leveraged, utilising a structural topic model, a novel method of quantitative text analysis. Results suggest that legislators' speech attention to the refugee and asylum issue in the 18th Bundestag was mainly shaped by PPG specific factors rather than by their individual motives.</t>
  </si>
  <si>
    <t>[Geese, Lucas] Univ Bamberg, Fac Social Sci Econ &amp; Business Adm, Bamberg, Germany</t>
  </si>
  <si>
    <t>Geese, L (corresponding author), Univ Bamberg, Fac Social Sci Econ &amp; Business Adm, Bamberg, Germany.</t>
  </si>
  <si>
    <t>Geese, Lucas/0000-0002-5085-5029</t>
  </si>
  <si>
    <t>APR 2</t>
  </si>
  <si>
    <t>10.1080/09644008.2019.1566458</t>
  </si>
  <si>
    <t>OO6MX</t>
  </si>
  <si>
    <t>WOS:000587492700004</t>
  </si>
  <si>
    <t>Nguyen, QA; Maritz, A; Millemann, JA</t>
  </si>
  <si>
    <t>Nguyen, Quan A.; Maritz, Alex; Millemann, Jan A.</t>
  </si>
  <si>
    <t>Entrepreneurship imperatives in higher education institutions: The case of Australian Universities</t>
  </si>
  <si>
    <t>INDUSTRY AND HIGHER EDUCATION</t>
  </si>
  <si>
    <t>Australian universities; entrepreneurial ecosystem; entrepreneurship imperatives; entrepreneurial university; entrepreneurial university transformation</t>
  </si>
  <si>
    <t>RESOURCE-BASED VIEW; SPIN-OFF COMPANIES; ECONOMIC-DEVELOPMENT; REGIONAL-DEVELOPMENT; TRIPLE-HELIX; INNOVATION; PERFORMANCE; ECOSYSTEMS; BUSINESS; COMMERCIALIZATION</t>
  </si>
  <si>
    <t>Earlier research has not explicitly emphasised the dynamic integration of entrepreneurship imperatives and transformation in developing the entrepreneurial university. The purpose of this research is to examine the linkage between the strategic intents articulated by universities and their corresponding level of entrepreneurship transformation. This article develops a theoretical framework to examine transformational imperatives, applying a data analytical approach to assess strategic documents using automated content analysis and complex algorithms. Australian universities were chosen for the research given the specific context of the higher education sector and the availability of strategic documents on the institutions' websites. In the research context, the findings show that, while there are some variances with specific institutions, Australian universities in general, and several groups of universities in particular, expressed different levels of determination, ranging from moderate to moderately strong, to transform themselves into being entrepreneurial. Universities' management can benefit from the theoretical framework developed in this research to craft strategies to further adopt entrepreneurship imperatives. Implications are also provided to inform universities, industry and government with regard to enhancing the dynamics of entrepreneurship ecosystems.</t>
  </si>
  <si>
    <t>[Nguyen, Quan A.; Maritz, Alex] La Trobe Univ, Bundoora, Vic, Australia; [Millemann, Jan A.] Eindhoven Univ Technol, Eindhoven, Netherlands</t>
  </si>
  <si>
    <t>La Trobe University; Eindhoven University of Technology</t>
  </si>
  <si>
    <t>Nguyen, QA (corresponding author), La Trobe Univ, Dept Management Sport &amp; Tourism, La Trobe Business Sch, Room 327 Donald Whitehead Bldg,Kingsbury Dr, Bundoora, Vic 3086, Australia.</t>
  </si>
  <si>
    <t>quan.nguyen@latrobe.edu.au</t>
  </si>
  <si>
    <t>Nguyen, Quan A/O-5650-2016</t>
  </si>
  <si>
    <t>Nguyen, Quan A/0000-0002-8043-4575; Maritz, Alex/0000-0003-2175-7734</t>
  </si>
  <si>
    <t>0950-4222</t>
  </si>
  <si>
    <t>2043-6858</t>
  </si>
  <si>
    <t>IND HIGHER EDUC</t>
  </si>
  <si>
    <t>Ind. Higher Educ.</t>
  </si>
  <si>
    <t>10.1177/09504222211059744</t>
  </si>
  <si>
    <t>4Z0UP</t>
  </si>
  <si>
    <t>WOS:000737891500001</t>
  </si>
  <si>
    <t>Boberg, S; Schatto-Eckrodt, T; Frischlich, L; Quandt, T</t>
  </si>
  <si>
    <t>Boberg, Svenja; Schatto-Eckrodt, Tim; Frischlich, Lena; Quandt, Thorsten</t>
  </si>
  <si>
    <t>The Moral Gatekeeper? Moderation and Deletion of User-Generated Content in a Leading News Forum</t>
  </si>
  <si>
    <t>community management; computational methods; forum moderation; gatekeeping; journalism; participatory media; Spiegel Online; topic modeling; user comments; user participation</t>
  </si>
  <si>
    <t>COMMUNICATION-RESEARCH; TOPIC MODELS; ONLINE NEWS; MEDIA; JOURNALISM; INTERACTIVITY; EQUIVALENCE; INCIVILITY; AUDIENCES; AGREEMENT</t>
  </si>
  <si>
    <t>Participatory formats in online journalism offer increased options for user comments to reach a mass audience, also enabling the spreading of incivility. As a result, journalists feel the need to moderate offensive user comments in order to prevent the derailment of discussion threads. However, little is known about the principles on which forum moderation is based. The current study aims to fill this void by examining 673,361 user comments (including all incoming and rejected comments) of the largest newspaper forum in Germany (Spiegel Online) in terms of the moderation decision, the topic addressed, and the use of insulting language using automated content analysis. The analyses revealed that the deletion of user comments is a frequently used moderation strategy. Overall, more than one-third of comments studied were rejected. Further, users mostly engaged with political topics. The usage of swear words was not a reason to block a comment, except when offenses were used in connection with politically sensitive topics. We discuss the results in light of the necessity for journalists to establish consistent and transparent moderation strategies.</t>
  </si>
  <si>
    <t>[Boberg, Svenja; Schatto-Eckrodt, Tim; Frischlich, Lena; Quandt, Thorsten] Univ Munster, Dept Commun, D-48143 Munster, Germany</t>
  </si>
  <si>
    <t>Boberg, S (corresponding author), Univ Munster, Dept Commun, D-48143 Munster, Germany.</t>
  </si>
  <si>
    <t>svenja.boberg@uni-muenster.de; tim.schatto-eckrodt@uni-muenster.de; lena.frischlich@uni-muenster.de; thorsten.quandt@uni-muenster.de</t>
  </si>
  <si>
    <t>Schatto-Eckrodt, Tim/AAD-5004-2022; Frischlich, Lena/U-7842-2019; Quandt, Thorsten/ABE-4668-2021</t>
  </si>
  <si>
    <t>Frischlich, Lena/0000-0001-5039-5301; Quandt, Thorsten/0000-0003-1937-0282; Schatto-Eckrodt, Tim/0000-0003-1658-4373</t>
  </si>
  <si>
    <t>Federal Ministry of Education and Research; University of Muenster</t>
  </si>
  <si>
    <t>Federal Ministry of Education and Research(Federal Ministry of Education &amp; Research (BMBF)); University of Muenster</t>
  </si>
  <si>
    <t>The research was funded by the Federal Ministry of Education and Research. We acknowledge support by the open access publication fund at the University of Muenster.</t>
  </si>
  <si>
    <t>10.17645/mac.v6i4.1493</t>
  </si>
  <si>
    <t>GZ7PO</t>
  </si>
  <si>
    <t>WOS:000449674200006</t>
  </si>
  <si>
    <t>Junger, J; Gartner, C</t>
  </si>
  <si>
    <t>Juenger, Jakob; Gaertner, Chantal</t>
  </si>
  <si>
    <t>Distilling Issue Cycles From Large Databases: A Time-Series Analysis of Terrorism and Media in Africa</t>
  </si>
  <si>
    <t>issue cycles; media attention; news waves; terrorism; one-sided violence; news values; time series; distributed lag model; computational methods; Africa; GDELT</t>
  </si>
  <si>
    <t>DISTRIBUTED LAG; ATTENTION CYCLE; NEWS WAVES; COVERAGE; DYNAMICS; MODELS; IMPACT</t>
  </si>
  <si>
    <t>Analyzing issue cycles usually begins with observing selected events and then tracking the course of media coverage. This approach collapses when the events of interest are hidden, overlain, or even distorted by extensive coverage of other events. One such complicated case is news about terrorism in Africa. While previous studies have started from single media hypes, we propose modeling the general pattern of such issue cycles with distributed lag models on a large-scale data basis. In order to assess the utility of distributed lag models, two basic principles of issue cycles are derived from theory and empirically tested. Furthermore, using the Global Database of Events, Language, and Tone, we evaluate the usefulness of automated methods for news research. Although the data are quite noisy, automated content analysis combined with distributed lag models is a promising approach for studying issue cycles. The model can be used to visualize issue cycles. In the case of news about terrorism in Africa, we found a sudden increase in coverage, followed by a second local maximum after a few weeks.</t>
  </si>
  <si>
    <t>[Juenger, Jakob; Gaertner, Chantal] Univ Greifswald, Ernst Lohmeyer Pl 3, D-17487 Greifswald, Germany</t>
  </si>
  <si>
    <t>Ernst Moritz Arndt Universitat Greifswald</t>
  </si>
  <si>
    <t>Junger, J (corresponding author), Univ Greifswald, Ernst Lohmeyer Pl 3, D-17487 Greifswald, Germany.</t>
  </si>
  <si>
    <t>jakob.juenger@uni-greifswald.de</t>
  </si>
  <si>
    <t>Junger, Jakob/0000-0003-1860-6695; Gartner, Chantal/0000-0002-3653-6013</t>
  </si>
  <si>
    <t>10.1177/0894439320979675</t>
  </si>
  <si>
    <t>XL6KS</t>
  </si>
  <si>
    <t>WOS:000608781800001</t>
  </si>
  <si>
    <t>Mahl, D; von Nordheim, G; Guenther, L</t>
  </si>
  <si>
    <t>Mahl, Daniela; von Nordheim, Gerret; Guenther, Lars</t>
  </si>
  <si>
    <t>Noise Pollution: A Multi-Step Approach to Assessing the Consequences of (Not) Validating Search Terms on Automated Content Analyses</t>
  </si>
  <si>
    <t>Sampling; search terms; validation; quality criteria; topic modeling; automated content analysis; computational communication science; computational social science</t>
  </si>
  <si>
    <t>CLIMATE-CHANGE; MEDIA; NEWS; TRANSLATION; COUNTRIES</t>
  </si>
  <si>
    <t>Advances in analytical methodologies and an avalanche of digitized data have opened new avenues for (digital) journalism research-and with it, new challenges. One of these challenges concerns the sampling and evaluation of data using (non-validated) search terms in combination with automated content analyses. This challenge has largely been neglected by research, which is surprising, considering that noise slipping in during the process of data collection can generate great methodological concerns. To address this gap, we first offer a systematic interdisciplinary literature review, revealing that the validation of search terms is far from acknowledged as a required standard procedure, both in and beyond journalism research. Second, we assess the consequences of validating search terms, using a multi-step approach and investigating common research topics from the field of (digital) journalism research. Our findings show that careless application of non-validated search terms has its pitfalls: while scattershot search terms can make sense in initial data exploration, final inferences based on insufficiently validated search terms are at higher risk of being obscured by noise. Consequently, we provide a step-by-step recommendation for developing and validating search terms.</t>
  </si>
  <si>
    <t>[Mahl, Daniela] Univ Zurich, Dept Commun &amp; Media Res, Zurich, Switzerland; [von Nordheim, Gerret] Univ Amsterdam, Amsterdam Sch Commun Res, Amsterdam, Netherlands; [Guenther, Lars] Univ Hamburg, Inst Journalism &amp; Commun Studies, Hamburg, Germany; [Guenther, Lars] Stellenbosch Univ, Ctr Res Evaluat Sci &amp; Technol, Stellenbosch, South Africa</t>
  </si>
  <si>
    <t>University of Zurich; University of Amsterdam; University of Hamburg; Stellenbosch University</t>
  </si>
  <si>
    <t>Mahl, D (corresponding author), Univ Zurich, Dept Commun &amp; Media Res, Zurich, Switzerland.</t>
  </si>
  <si>
    <t>d.mahl@ikmz.uzh.ch</t>
  </si>
  <si>
    <t>Swiss National Science Foundation (SNSF) [IZBRZ1_186296]; German Research Foundation (DFG) as part of University of Hamburg's Cluster of Excellence Climate, Climatic Change, and Society (CLICCS) [EXC 2037]</t>
  </si>
  <si>
    <t>Swiss National Science Foundation (SNSF)(Swiss National Science Foundation (SNSF)); German Research Foundation (DFG) as part of University of Hamburg's Cluster of Excellence Climate, Climatic Change, and Society (CLICCS)(German Research Foundation (DFG))</t>
  </si>
  <si>
    <t>Parts of this project were funded by the Swiss National Science Foundation (SNSF) as part of the project Science-related conspiracy theories online: Mapping their characteristics, prevalence and distribution internationally and developing contextualized counter-strategies (Grant IZBRZ1_186296) and the German Research Foundation (DFG) as part of University of Hamburg's Cluster of Excellence Climate, Climatic Change, and Society (CLICCS) (Grant EXC 2037).</t>
  </si>
  <si>
    <t>10.1080/21670811.2022.2114920</t>
  </si>
  <si>
    <t>4S9WJ</t>
  </si>
  <si>
    <t>WOS:000857781200001</t>
  </si>
  <si>
    <t>Ullmann, TD</t>
  </si>
  <si>
    <t>Ullmann, Thomas Daniel</t>
  </si>
  <si>
    <t>Automated Analysis of Reflection in Writing: Validating Machine Learning Approaches</t>
  </si>
  <si>
    <t>INTERNATIONAL JOURNAL OF ARTIFICIAL INTELLIGENCE IN EDUCATION</t>
  </si>
  <si>
    <t>Assessment and testing of learning outcomes; Automated content analysis; Educational data mining; Learning analytics; Machine learning; Modeling metacognitive skills; Reflection; Reflective writing; Text analysis</t>
  </si>
  <si>
    <t>STUDENT REFLECTION; TEACHER-EDUCATION; CLASSIFICATION; JOURNALS; FEATURES; ONLINE; SCHEME; LEVEL</t>
  </si>
  <si>
    <t>Reflective writing is an important educational practice to train reflective thinking. Currently, researchers must manually analyze these writings, limiting practice and research because the analysis is time and resource consuming. This study evaluates whether machine learning can be used to automate this manual analysis. The study investigates eight categories that are often used in models to assess reflective writing, and the evaluation is based on 76 student essays (5080 sentences) that are largely from third- and second-year health, business, and engineering students. To test the automated analysis of reflection in writings, machine learning models were built based on a random sample of 80% of the sentences. These models were then tested on the remaining 20% of the sentences. Overall, the standardized evaluation shows that five out of eight categories can be detected automatically with substantial or almost perfect reliability, while the other three categories can be detected with moderate reliability (Cohen's ranges between .53 and .85). The accuracies of the automated analysis were on average 10% lower than the accuracies of the manual analysis. These findings enable reflection analytics that is immediate and scalable.</t>
  </si>
  <si>
    <t>[Ullmann, Thomas Daniel] Open Univ, Inst Educ Technol, Walton Hall, Milton Keynes MK7 6AA, Bucks, England</t>
  </si>
  <si>
    <t>Open University - UK</t>
  </si>
  <si>
    <t>Ullmann, TD (corresponding author), Open Univ, Inst Educ Technol, Walton Hall, Milton Keynes MK7 6AA, Bucks, England.</t>
  </si>
  <si>
    <t>t.ullmann@open.ac.uk</t>
  </si>
  <si>
    <t>Ullmann, Thomas/0000-0001-6445-7913</t>
  </si>
  <si>
    <t>1560-4292</t>
  </si>
  <si>
    <t>1560-4306</t>
  </si>
  <si>
    <t>INT J ARTIF INTELL E</t>
  </si>
  <si>
    <t>Int. J. Artif. Intell. Educ.</t>
  </si>
  <si>
    <t>10.1007/s40593-019-00174-2</t>
  </si>
  <si>
    <t>HW8WB</t>
  </si>
  <si>
    <t>WOS:000466970500003</t>
  </si>
  <si>
    <t>Gennaro, A; Gelo, OCG; Lagetto, G; Salvatore, S</t>
  </si>
  <si>
    <t>Gennaro, Alessandro; Gelo, Omar C. G.; Lagetto, Gloria; Salvatore, Sergio</t>
  </si>
  <si>
    <t>A systematic review of psychotherapy research topics (2000-2016): a computer-assisted approach</t>
  </si>
  <si>
    <t>RESEARCH IN PSYCHOTHERAPY-PSYCHOPATHOLOGY PROCESS AND OUTCOME</t>
  </si>
  <si>
    <t>Psychotherapy research; Research topic; Literature review; Content analysis</t>
  </si>
  <si>
    <t>QUALITATIVE RESEARCH; AUTOMATED-METHOD; PSYCHOLOGISTS; PATTERNS; THERAPY</t>
  </si>
  <si>
    <t>The present work aims to empirically map what has been investigated and which issues (i.e. topics) characterize the debates of psychotherapy research, using a computer-assisted, bottom-up method of content analysis. The abstract of papers (N=13,499), published between 2000-2016 and retrieved from a sample of 10 journals selected as representing the field of psychotherapy research, were subjected to a method of automated content analysis. Five different research topics were identified (clinical relationship, clinical efficacy, clinical practice and research, psychopathology, and neuroscientific approaches to mental disorders) and each abstract was labeled according to the retrieved research topic. Two different Chi-square analyses investigated the distributions of research topics over time and among the selected journals. Results concerning the distribution over nine highlighted an increase in the clinical relationship and clinical efficacy topics and a decrease in the others. An examination of the distribution among journals showed that psychopathology and neuroscientific approaches to mental disorders were associated with psychiatric journals, while the others were associated with non-psychiatric journals. The findings are discussed in light of the theoretical, methodological, and practical implications offering pointers for a critical understanding of the current psychotherapy research domain.</t>
  </si>
  <si>
    <t>[Gennaro, Alessandro; Salvatore, Sergio] Univ Roma La Sapienza, Dept Dynam &amp; Clin Psychol, Via Marsi 78, I-00158 Rome, Italy; [Gelo, Omar C. G.; Lagetto, Gloria] Univ Salento, Dept Hist Social Soc &amp; Luman Studies, Lecce, Italy; [Gelo, Omar C. G.] Sigmund Freud Univ, Fac Psychotherapy Sci, Vienna, Austria</t>
  </si>
  <si>
    <t>Sapienza University Rome; University of Salento</t>
  </si>
  <si>
    <t>Gennaro, A (corresponding author), Univ Roma La Sapienza, Dept Dynam &amp; Clin Psychol, Via Marsi 78, I-00158 Rome, Italy.</t>
  </si>
  <si>
    <t>a.gennaro@uniroma1.it</t>
  </si>
  <si>
    <t>Gennaro, Alessandro/HDO-0897-2022; salvatore, sergio/AAB-3177-2021</t>
  </si>
  <si>
    <t>Gennaro, Alessandro/0000-0003-3138-9875; salvatore, sergio/0000-0002-4583-8478; Gelo, Omar Carlo Gioacchino/0000-0003-2480-046X</t>
  </si>
  <si>
    <t>SPR ITALIA</t>
  </si>
  <si>
    <t>MILAN</t>
  </si>
  <si>
    <t>FORO BONAPARTE 57, MILAN, 20121, ITALY</t>
  </si>
  <si>
    <t>2239-8031</t>
  </si>
  <si>
    <t>RES PSYCHOTHER-PSYCH</t>
  </si>
  <si>
    <t>RES. PSYCHOTHER.-PSYCHOPATHOL. PROCESS OUTCOME</t>
  </si>
  <si>
    <t>10.4081/ripppo.2019.429</t>
  </si>
  <si>
    <t>JX5IS</t>
  </si>
  <si>
    <t>Green Submitted, gold, Green Published</t>
  </si>
  <si>
    <t>WOS:000503769100014</t>
  </si>
  <si>
    <t>Madrid-Morales, D</t>
  </si>
  <si>
    <t>Madrid-Morales, Dani</t>
  </si>
  <si>
    <t>Using Computational Text Analysis Tools to Study African Online News Content</t>
  </si>
  <si>
    <t>AFRICAN JOURNALISM STUDIES</t>
  </si>
  <si>
    <t>computational methods; content analysis; online news; African digital media; text analysis; quantitative methods</t>
  </si>
  <si>
    <t>AUTOMATED CONTENT-ANALYSIS; SENTIMENT; STORIES</t>
  </si>
  <si>
    <t>After radio and television, online media are fast becoming a primary source of information for many Africans. With this increase, it is becoming necessary for media researchers to explore ways to better understand production, content and reception patterns of online news in the continent. This paper introduces freely available tools for systematic and (semi-)automated collection, storage and analysis of digital news that builds on recent advances in the computational power of personal computers, and the decreasing costs of storing large amounts of data. I start by describing existing challenges in the collection of online news text data, including the limited amount of African news content in commercial databases, and the methodological shortcomings of using commercial search engines. Then, I present a four-stage approach using packages written in the open-source R programming language to automate the collection of online news content (web scraping); transform this content for easier storage and analysis (data processing); use computational text analysis tools to describe and categorise data; and present the results in ways that are easier to understand (data visualisation). The paper concludes with a summary of recommendations for using computational methods to study African communication phenomena.</t>
  </si>
  <si>
    <t>[Madrid-Morales, Dani] Univ Houston, Jack J Valenti Sch Commun, 3347 Cullen Blvd, Houston, TX 77004 USA</t>
  </si>
  <si>
    <t>University of Houston System; University of Houston</t>
  </si>
  <si>
    <t>Madrid-Morales, D (corresponding author), Univ Houston, Jack J Valenti Sch Commun, 3347 Cullen Blvd, Houston, TX 77004 USA.</t>
  </si>
  <si>
    <t>dmmorales2@uh.edu</t>
  </si>
  <si>
    <t>Madrid-Morales, Dani/I-7902-2019</t>
  </si>
  <si>
    <t>Madrid-Morales, Dani/0000-0002-1522-5857</t>
  </si>
  <si>
    <t>2374-3670</t>
  </si>
  <si>
    <t>2374-3689</t>
  </si>
  <si>
    <t>AFR JOURNAL STUD</t>
  </si>
  <si>
    <t>Afr. Journal. Stud.</t>
  </si>
  <si>
    <t>OCT 1</t>
  </si>
  <si>
    <t>10.1080/23743670.2020.1820885</t>
  </si>
  <si>
    <t>PZ0KY</t>
  </si>
  <si>
    <t>WOS:000577371300001</t>
  </si>
  <si>
    <t>Puschmann, C; Karakurt, H; Amlinger, C; Gess, N; Nachtwey, O</t>
  </si>
  <si>
    <t>Puschmann, Cornelius; Karakurt, Hevin; Amlinger, Carolin; Gess, Nicola; Nachtwey, Oliver</t>
  </si>
  <si>
    <t>RPC-Lex: A dictionary to measure German right-wing populist conspiracy discourse online</t>
  </si>
  <si>
    <t>CONVERGENCE-THE INTERNATIONAL JOURNAL OF RESEARCH INTO NEW MEDIA TECHNOLOGIES</t>
  </si>
  <si>
    <t>Automated content analysis; conspiracy theories; dictionary; Germany; political communication; right-wing populism; social media</t>
  </si>
  <si>
    <t>SOCIAL MEDIA; SENTIMENT; POLITICS; SPREAD; TEXT</t>
  </si>
  <si>
    <t>We describe a novel computational dictionary for the study of right-wing populist conspiracy discourse (RPC) on the internet, specifically in the context of contemporary German politics. After first presenting our definition of conspiracy discourse and grounding it in antecedent research on mediated rhetoric at the intersection of right-wing populism and conspiracy theory, we proceed by outlining our approach to dictionary construction, relying on a combination of manual and automated methods. We validate our dictionary via parallel manual coding of 2,500 sentences using the categories contained in the dictionary as labels and compare the consensus result with the label assigned to each sentence by the dictionary, achieving satisfactory results. We then test our approach on two different datasets composed of alternative news articles and Facebook comments that spread conspiracy theories. Finally, we summarize our observations both on the methodological premises of the approach and on the object of populist right-wing conspiracy discourse and its dynamics more broadly. We close with an outlook on the potentials and limitations of the dictionary-based approach and future directions in applications of content analysis to the study of conspiracy discourse.</t>
  </si>
  <si>
    <t>[Puschmann, Cornelius] Univ Bremen, Bremen, Germany; [Karakurt, Hevin; Amlinger, Carolin; Gess, Nicola; Nachtwey, Oliver] Univ Basel, Basel, Switzerland</t>
  </si>
  <si>
    <t>University of Bremen; University of Basel</t>
  </si>
  <si>
    <t>Puschmann, C (corresponding author), Univ Bremen, ZeMKI, Linzer Str 4, D-28359 Bremen, Germany.</t>
  </si>
  <si>
    <t>, Hevin/0000-0002-9312-7806; Puschmann, Cornelius/0000-0002-3189-0662</t>
  </si>
  <si>
    <t>Schweizerischer Nationalfonds zur Forderung der Wissenschaftlichen Forschung</t>
  </si>
  <si>
    <t>Schweizerischer Nationalfonds zur Forderung der Wissenschaftlichen Forschung(Austrian Science Fund (FWF))</t>
  </si>
  <si>
    <t>The authors disclosed receipt of the following financial support for the research, authorship, and/or publication of this article: Schweizerischer Nationalfonds zur Forderung der Wissenschaftlichen Forschung (Halbwahrheiten (Nicola Gess)).</t>
  </si>
  <si>
    <t>1354-8565</t>
  </si>
  <si>
    <t>1748-7382</t>
  </si>
  <si>
    <t>CONVERGENCE-US</t>
  </si>
  <si>
    <t>Convergence</t>
  </si>
  <si>
    <t>10.1177/13548565221109440</t>
  </si>
  <si>
    <t>4O7MK</t>
  </si>
  <si>
    <t>Green Published, Green Accepted, hybrid</t>
  </si>
  <si>
    <t>WOS:000815128400001</t>
  </si>
  <si>
    <t>Lee, S; Zhai, XT; Lee, M; Luo, QJ</t>
  </si>
  <si>
    <t>Lee, Seoki; Zhai, Xueting; Lee, Minwoo; Luo, Qiuju</t>
  </si>
  <si>
    <t>Current status of CSR practices in the casino industry: A comparison between the US and Macau</t>
  </si>
  <si>
    <t>JOURNAL OF HOSPITALITY AND TOURISM MANAGEMENT</t>
  </si>
  <si>
    <t>CSR; Casino industry; U; S; Macau; Stakeholder theory; Materiality</t>
  </si>
  <si>
    <t>CORPORATE SOCIAL-RESPONSIBILITY; SUSTAINABILITY; PERFORMANCE; IMPACT; HOSPITALITY; EMPLOYEES; SOFTWARE; TOURISM; CHINA; IMAGE</t>
  </si>
  <si>
    <t>While an examination of various implications of CSR is essential for all businesses, such an investigation is particularly important for casino companies as various social issues such as gambling addiction, family abuse, embezzlement, and other crimes are embedded in the casino industry. Although some attention has been given to the casino industry, the CSR literature has paid scant attention to the industry. Therefore, the current study aims to examine the overall current status of CSR initiatives implemented by the casino industry, adopting a hybrid approach using automated content analysis for themes and concepts extractions and traditional content analysis for theory-based interpretation and comparison. This study employs the stakeholder theory, and concepts of triple bottom line and materiality as underlying conceptual frameworks to interpret the analyzed data. Furthermore, the study compares CSR practices of casinos between the U.S. and Macau and found to provide a better understanding of cultural influences on their CSR initiatives. Findings show an emphasis on three primary stakeholders (community, employees and customers) by both groups while some differences exist, such as a greater emphasis on environmental matters and team-based employee focus by Macau casinos.</t>
  </si>
  <si>
    <t>[Lee, Seoki] Penn State Univ, Sch Hospitality Management, 217 Mateer Bldg, University Pk, PA 19802 USA; [Zhai, Xueting; Luo, Qiuju] Sun Yat Sen Univ, Sch Tourism Management, Bldg 329,135 Xingangxi Rd, Guangzhou 510275, Peoples R China; [Zhai, Xueting; Luo, Qiuju] Sun Yat Sen Univ, Ctr Tourism Planning &amp; Res, Bldg 329,135 Xingangxi Rd, Guangzhou 510275, Peoples R China; [Lee, Minwoo] Univ Houston, Conrad N Hilton Coll Hotel &amp; Restaurant Managemen, 4450 Univ Dr Room 227 Off 239D, Houston, TX 77204 USA</t>
  </si>
  <si>
    <t>Pennsylvania Commonwealth System of Higher Education (PCSHE); Pennsylvania State University; Pennsylvania State University - University Park; Sun Yat Sen University; Sun Yat Sen University; University of Houston System; University of Houston</t>
  </si>
  <si>
    <t>Lee, S (corresponding author), Penn State Univ, Sch Hospitality Management, 217 Mateer Bldg, University Pk, PA 19802 USA.</t>
  </si>
  <si>
    <t>leeseoki@psu.edu</t>
  </si>
  <si>
    <t>Lee, Minwoo/G-4035-2014</t>
  </si>
  <si>
    <t>Lee, Minwoo/0000-0002-4939-2936; Lee, Seoki/0000-0003-4720-9170</t>
  </si>
  <si>
    <t>1447-6770</t>
  </si>
  <si>
    <t>1839-5260</t>
  </si>
  <si>
    <t>J HOSP TOUR MANAG</t>
  </si>
  <si>
    <t>J. Hosp. Tour. Manag.</t>
  </si>
  <si>
    <t>10.1016/j.jhtm.2021.07.011</t>
  </si>
  <si>
    <t>XD7PV</t>
  </si>
  <si>
    <t>WOS:000722897400007</t>
  </si>
  <si>
    <t>Temporao, M; Vande Kerckhove, C; van der Linden, C; Dufresne, Y; Hendrickx, JM</t>
  </si>
  <si>
    <t>Temporao, Mickael; Vande Kerckhove, Corentin; van der Linden, Clifton; Dufresne, Yannick; Hendrickx, Julien M.</t>
  </si>
  <si>
    <t>Ideological Scaling of Social Media Users: A Dynamic Lexicon Approach</t>
  </si>
  <si>
    <t>automated content analysis; computational social science; ideal point estimation; ideological scaling; machine learning; social media</t>
  </si>
  <si>
    <t>Words matter in politics. The rhetoric that political elites employ structures civic discourse. The emergence of social media platforms as a medium of politics has enabled ordinary citizens to express their ideological inclinations by adopting the lexicon of political elites. This avails to researchers a rich new source of data in the study of political ideology. However, existing ideological text-scaling methods fail to produce meaningful inferences when applied to the short, informal style of textual content that is characteristic of social media platforms such as Twitter. This paper introduces the first viable approach to the estimation of individual-level ideological positions derived from social media content. This method allows us to position social media users-be they political elites, parties, or citizens-along a shared ideological dimension. We validate the proposed method by demonstrating correlation with existing measures of ideology across various political contexts and multiple languages. We further demonstrate the ability of ideological estimates to capture derivative signal by predicting out-of-sample, individual-level voting intentions. We posit that social media data can, when properly modeled, better capture derivative signal than discrete scales used in more traditional survey instruments.</t>
  </si>
  <si>
    <t>[Temporao, Mickael; Dufresne, Yannick] Univ Laval, Dept Sci Polit, Laval, PQ G1V 0A6, Canada; [Vande Kerckhove, Corentin; Hendrickx, Julien M.] Catholic Univ Louvain, Large Graphs &amp; Networks Grp, Louvain La Neuve, Belgium; [van der Linden, Clifton] Univ Toronto, Dept Polit Sci, Toronto, ON M5S 3G3, Canada</t>
  </si>
  <si>
    <t>Laval University; University of Toronto</t>
  </si>
  <si>
    <t>Temporao, M (corresponding author), Univ Laval, Dept Sci Polit, Laval, PQ G1V 0A6, Canada.</t>
  </si>
  <si>
    <t>mickael.temporao.1@ulaval.ca</t>
  </si>
  <si>
    <t>Hendrickx, Julien/AFL-9332-2022</t>
  </si>
  <si>
    <t>Temporao, Mickael/0000-0003-4689-2852; van der Linden, Clifton/0000-0001-5649-2970</t>
  </si>
  <si>
    <t>Canada Foundation for Innovation (CFI); ministere de l'Economie, de la science et de l'innovation du Quebec (MESI); Fonds de recherche du Quebec-Nature et technologies (FRQ-NT)</t>
  </si>
  <si>
    <t>Canada Foundation for Innovation (CFI)(Canada Foundation for Innovation); ministere de l'Economie, de la science et de l'innovation du Quebec (MESI); Fonds de recherche du Quebec-Nature et technologies (FRQ-NT)</t>
  </si>
  <si>
    <t>We thank Francois Gelineau, Thierry Giasson, William Jacoby, Jonathan N. Katz (editor), Gregory Kerr, Michael Lewis-Beck, Alexander Shestopaloff, and two anonymous referees for their helpful comments and discussions. All remaining errors are ours. We also thank the participants of the 3rd Leuven-Montreal Winter School on Elections for their feedback on an earlier draft of this paper. This research was made possible thanks to an allocation of supercomputer resources from Compute Canada, specifically the 'Colosse' service administered by Calcul Quebec at Laval University. The operation of this supercomputer is funded by the Canada Foundation for Innovation (CFI), the ministere de l'Economie, de la science et de l'innovation du Quebec (MESI) and the Fonds de recherche du Quebec-Nature et technologies (FRQ-NT). We are grateful in particular to Felix-Antoine Fortin for facilitating the computing resources associated with this research. Replication materials are available online on the Harvard Dataverse Temporao et al. (2018), at doi:10.7910/DVN/0ZCBTB. Supplementary materials for this article are available on the Political Analysis Web site.</t>
  </si>
  <si>
    <t>10.1017/pan.2018.30</t>
  </si>
  <si>
    <t>WOS:000446677500006</t>
  </si>
  <si>
    <t>Passonneau, RJ; Poddar, A; Gite, G; Krivokapic, A; Yang, Q; Perin, D</t>
  </si>
  <si>
    <t>Passonneau, Rebecca J.; Poddar, Ananya; Gite, Gaurav; Krivokapic, Alisa; Yang, Qian; Perin, Dolores</t>
  </si>
  <si>
    <t>Wise Crowd Content Assessment and Educational Rubrics</t>
  </si>
  <si>
    <t>Automated content analysis; Writing intervention; Wise-crowd content assessment; Writing rubrics</t>
  </si>
  <si>
    <t>SYNTACTIC COMPLEXITY; WRITING QUALITY; STUDENTS; SCIENCE; ARGUMENT; SKILLS; LEARN; TEXTS; VIEWS; PROSE</t>
  </si>
  <si>
    <t>Development of reliable rubrics for educational intervention studies that address reading and writing skills is labor-intensive, and could benefit from an automated approach. We compare a main ideas rubric used in a successful writing intervention study to a highly reliable wise-crowd content assessment method developed to evaluate machine-generated summaries. The ideas in the educational rubric were extracted from a source text that students were asked to summarize. The wise-crowd content assessment model is derived from summaries written by an independent group of proficient students who read the same source text, and followed the same instructions to write their summaries. The resulting content model includes a ranking over the derived content units. All main ideas in the rubric appear prominently in the wise-crowd content model. We present two methods that automate the content assessment. Scores based on the wise-crowd content assessment, both manual and automated, have high correlations with the main ideas rubric. The automated content assessment methods have several advantages over related methods, including high correlations with corresponding manual scores, a need for only half a dozen models instead of hundreds, and interpretable scores that independently assess content quality and coverage.</t>
  </si>
  <si>
    <t>[Passonneau, Rebecca J.; Poddar, Ananya; Gite, Gaurav; Krivokapic, Alisa] Columbia Univ, New York, NY 10027 USA; [Yang, Qian] Tsinghua Univ, Beijing, Peoples R China; [Perin, Dolores] Columbia Univ, Teachers Coll, New York, NY 10027 USA</t>
  </si>
  <si>
    <t>Columbia University; Tsinghua University; Columbia University; Columbia University Teachers College</t>
  </si>
  <si>
    <t>Passonneau, RJ (corresponding author), Columbia Univ, New York, NY 10027 USA.</t>
  </si>
  <si>
    <t>becky@ccls.columbia.edu; ap3317@columbia.edu; gg2614@columbia.edu; ak3533@columbia.edu; laraqianyang@gmail.com; perin@tc.edu</t>
  </si>
  <si>
    <t>Passonneau, Rebecca/0000-0001-8626-811X</t>
  </si>
  <si>
    <t>NSF [IIS-1455533]; Direct For Computer &amp; Info Scie &amp; Enginr [1742780] Funding Source: National Science Foundation</t>
  </si>
  <si>
    <t>NSF(National Science Foundation (NSF)); Direct For Computer &amp; Info Scie &amp; Enginr(National Science Foundation (NSF)NSF - Directorate for Computer &amp; Information Science &amp; Engineering (CISE))</t>
  </si>
  <si>
    <t>This paper is an extended version of an oral presentation made at an NSF-funded workshop held May 7-8, 2015 entitled MARWiSE: Multidisciplinary Advances in Reading and Writing for Science Education (Award IIS-1455533). The authors thank members of the workshop for their constructive feedback. We also thank Weiwei Guo for input regarding his Weighted Matrix Factorization method, and his suggestions for related work. Finally, we thank three anonymous reviewers for their constructive criticism.</t>
  </si>
  <si>
    <t>10.1007/s40593-016-0128-6</t>
  </si>
  <si>
    <t>FY5AI</t>
  </si>
  <si>
    <t>WOS:000426838100002</t>
  </si>
  <si>
    <t>Araujo, T; Kollat, J</t>
  </si>
  <si>
    <t>Araujo, Theo; Kollat, Jana</t>
  </si>
  <si>
    <t>Communicating effectively about CSR on Twitter: The power of engaging strategies and storytelling elements</t>
  </si>
  <si>
    <t>INTERNET RESEARCH</t>
  </si>
  <si>
    <t>CSR; Corporate communications; Social media; Social network sites; Information diffusion</t>
  </si>
  <si>
    <t>CORPORATE SOCIAL-RESPONSIBILITY; ORGANIZATIONAL LEGITIMACY; NETWORKING SITES; NEWS FRAMES; RE-TWEET; IDENTIFICATION; CONSUMERS; IMPACT; MEDIA; INTERACTIVITY</t>
  </si>
  <si>
    <t>Purpose Corporate social responsibility (CSR) communication is becoming increasingly important for brands and companies. Social media such as Twitter may be platforms particularly suited to this topic, given their ability to foster dialogue and content diffusion. The purpose of this paper is to investigate factors driving the effectiveness of CSR communication on Twitter, with a focus on the communication strategies and elements of storytelling. Design/methodology/approach Using a sample of 281,291 tweets from top global companies in the food sector, automated content analysis (including supervised machine learning) was used to investigate the influence of CSR communication, emotion, and aspirational talk on the likelihood that Twitter users will retweet and like tweets from the companies. Findings The findings highlight the importance of aspirational talk and engaging users in CSR messages. Furthermore, the study revealed that the companies and brands on Twitter that tweeted more frequently about CSR were associated with higher overall levels of content diffusion and endorsement. Originality/value This study provides important insights into key aspects of communicating about CSR issues on social networking sites such as Twitter and makes several practical recommendations for companies.</t>
  </si>
  <si>
    <t>[Araujo, Theo] Univ Amsterdam, Amsterdam Sch Commun Res, Amsterdam, Netherlands; [Kollat, Jana] Leuphana Univ Luneburg, Inst Management &amp; Org, Luneburg, Germany</t>
  </si>
  <si>
    <t>University of Amsterdam; Leuphana University Luneburg</t>
  </si>
  <si>
    <t>Araujo, T (corresponding author), Univ Amsterdam, Amsterdam Sch Commun Res, Amsterdam, Netherlands.</t>
  </si>
  <si>
    <t>t.b.araujo@uva.nl; jana.kollat@leuphana.de</t>
  </si>
  <si>
    <t>1066-2243</t>
  </si>
  <si>
    <t>INTERNET RES</t>
  </si>
  <si>
    <t>Internet Res.</t>
  </si>
  <si>
    <t>10.1108/IntR-04-2017-0172</t>
  </si>
  <si>
    <t>Business; Computer Science, Information Systems; Telecommunications</t>
  </si>
  <si>
    <t>Business &amp; Economics; Computer Science; Telecommunications</t>
  </si>
  <si>
    <t>GA2RH</t>
  </si>
  <si>
    <t>WOS:000428170900008</t>
  </si>
  <si>
    <t>Schultz, F; Kleinnijenhuis, J; Oegema, D; Utz, S; van Atteveldt, W</t>
  </si>
  <si>
    <t>Schultz, Friederike; Kleinnijenhuis, Jan; Oegema, Dirk; Utz, Sonja; van Atteveldt, Wouter</t>
  </si>
  <si>
    <t>Strategic framing in the BP crisis: A semantic network analysis of associative frames</t>
  </si>
  <si>
    <t>Strategic framing; Network analysis; Crisis communication; Network agenda building; Associative frames; Third-order agenda building</t>
  </si>
  <si>
    <t>RESPONSE STRATEGIES; MEDIA; NEWS; COMMUNICATION; IMPACT; STORY</t>
  </si>
  <si>
    <t>This paper contributes to the analysis of the interplay of public relations and news in crisis situations, and the conceptualization of strategic framing by introducing the idea of associative frames and the method of semantic network analysis to the PR research field. By building on a more advanced understanding of communication as process of social meaning construction that is embedded in networks of differential relations between different actors, it contributes to extend the perspective of first- and second-order agenda building towards a kind of third order or network agenda building. Via an automated content analysis of more than 3700 articles we examine agenda- and frame-differences between public relations, UK and US news in the BP crisis. The study documents that BP successfully applied a decoupling strategy: It dissociated itself from being responsible for the cause and at the same time presented itself as solvent of the crisis. It shows that in crises, associative frames in PR resonate partly to associative frames in news. Especially the US news followed BP and did not succeed in presenting political actors as solution providers. (C) 2011 Elsevier Inc. All rights reserved.</t>
  </si>
  <si>
    <t>[Schultz, Friederike; Kleinnijenhuis, Jan; Oegema, Dirk; Utz, Sonja; van Atteveldt, Wouter] Vrije Univ Amsterdam, Dept Commun Sci, NL-1081 HV Amsterdam, Netherlands</t>
  </si>
  <si>
    <t>Schultz, F (corresponding author), Vrije Univ Amsterdam, Dept Commun Sci, Buitenveldertselaan 3, NL-1081 HV Amsterdam, Netherlands.</t>
  </si>
  <si>
    <t>friederike_schultz@web.de</t>
  </si>
  <si>
    <t>Utz, Sonja/B-7256-2008; van Atteveldt, Wouter/L-8685-2013; Kleinnijenhuis, Jan/A-2048-2013</t>
  </si>
  <si>
    <t>Utz, Sonja/0000-0002-7979-3554; van Atteveldt, Wouter/0000-0003-1237-538X; Kleinnijenhuis, Jan/0000-0001-6231-8186</t>
  </si>
  <si>
    <t>10.1016/j.pubrev.2011.08.003</t>
  </si>
  <si>
    <t>897MF</t>
  </si>
  <si>
    <t>WOS:000300654100015</t>
  </si>
  <si>
    <t>Raining on the parties' parade: how media storms disrupt the electoral communicational environment</t>
  </si>
  <si>
    <t>JOURNAL OF ELECTIONS PUBLIC OPINION AND PARTIES</t>
  </si>
  <si>
    <t>PUBLIC-OPINION; NEWS; ATTENTION; COVERAGE; CRISIS; CONSTRUCTION; CAMPAIGNS; ISSUES; POWER</t>
  </si>
  <si>
    <t>Literature on agenda-building dynamics has neglected to assess the impact of contextual factors on the interplays between the issue attention of political actors and of the media. I fill the void by highlighting how media storms cause significant changes to the electoral communicational environment. Using a custom dataset compiled through an automated content analysis, I empirically examine patterns of issue salience during the 2015 Canadian federal election. The results support three main points. First, media storms do emerge during election campaigns. Second, media storms cause two main types of changes in the informational environment that characterize nonstorm periods: (1) a reduction in the variety of issues included in the daily campaign coverage, and (2) a higher concentration of media attention on the storm-generating issues. Third, coverage of media storms compels political parties to engage with them, especially if they can exploit these storms with minimal risks. These findings suggest that some electoral contexts may be less conducive to political actors' influence. They also offer evidence in support of the mediatization theory, according to which media market logic can take precedence over political normative logic in guiding the decisions of political actors.</t>
  </si>
  <si>
    <t>[Dumouchel, David] Univ Montreal, Sci Polit, CP 6128 Succ Ctr Ville, Montreal, PQ H3C 3J7, Canada</t>
  </si>
  <si>
    <t>Dumouchel, D (corresponding author), Univ Montreal, Sci Polit, CP 6128 Succ Ctr Ville, Montreal, PQ H3C 3J7, Canada.</t>
  </si>
  <si>
    <t>1745-7289</t>
  </si>
  <si>
    <t>1745-7297</t>
  </si>
  <si>
    <t>J ELECT PUBLIC OPIN</t>
  </si>
  <si>
    <t>J. Elect. Public Opin. Parties</t>
  </si>
  <si>
    <t>10.1080/17457289.2020.1780432</t>
  </si>
  <si>
    <t>MI0LM</t>
  </si>
  <si>
    <t>WOS:000547109200001</t>
  </si>
  <si>
    <t>Aaldering, L; van der Meer, T; Van der Brug, W</t>
  </si>
  <si>
    <t>Aaldering, Loes; van der Meer, Tom; Van der Brug, Wouter</t>
  </si>
  <si>
    <t>Mediated Leader Effects: The Impact of Newspapers' Portrayal of Party Leadership on Electoral Support</t>
  </si>
  <si>
    <t>media effects; election campaign; political leadership; Western Europe; voting behavior; content analysis; panel data</t>
  </si>
  <si>
    <t>PARLIAMENTARY ELECTIONS; PRESIDENTIAL-CANDIDATES; PROSPECT-THEORY; MASS-MEDIA; NEWS; CAMPAIGNS; REASSESSMENT; NETHERLANDS; ASSESSMENTS; VISIBILITY</t>
  </si>
  <si>
    <t>Conventional wisdom holds that party leaders matter in democratic elections. As very few voters have direct contact with party leaders, media are voters' primary source of information about these leaders and, thus, the likely origin of leader effects on party support. Our study focuses on these supposed electoral effects of the media coverage of party leaders. We examine the positive and negative effects of specific leadership images in Dutch newspapers on vote intentions. To this end, we combine an extensive automated content analysis of leadership images in the media with a panel data set, the Dutch 1Vandaag Opinion Panel (1VOP), consisting of more than fifty thousand unique respondents and 110 waves of interviews conducted between September 2006 and September 2012. The results confirm that media coverage of party leaders' character traits affects voters: Positive mediated leadership images increase support for the leader's party, while negative images decrease this support. However, this influence is not unconditional: During campaign periods, positive leadership images have a stronger effect, while negative images no longer have an impact on subsequent vote intentions.</t>
  </si>
  <si>
    <t>[Aaldering, Loes] Univ Vienna, Dept Commun Sci, Althanstr 14,UZA 2, A-1090 Vienna, Austria; [van der Meer, Tom; Van der Brug, Wouter] Univ Amsterdam, Polit Sci, Amsterdam, Netherlands</t>
  </si>
  <si>
    <t>Aaldering, L (corresponding author), Univ Vienna, Dept Commun Sci, Althanstr 14,UZA 2, A-1090 Vienna, Austria.</t>
  </si>
  <si>
    <t>loes.aaldering@univie.ac.at</t>
  </si>
  <si>
    <t>van der Brug, Wouter/R-7048-2019</t>
  </si>
  <si>
    <t>van der Brug, Wouter/0000-0003-4117-1255; Aaldering, L./0000-0003-0436-6539</t>
  </si>
  <si>
    <t>Netherlands Organisation for Scientific Research (NWO) the Netherlands [NWO406-13-038]</t>
  </si>
  <si>
    <t>Netherlands Organisation for Scientific Research (NWO) the Netherlands(Netherlands Organization for Scientific Research (NWO)Netherlands Government)</t>
  </si>
  <si>
    <t>The author(s) disclosed receipt of the following financial support for the research, authorship and/or publication of this article: This study was supported by the Netherlands Organisation for Scientific Research (NWO), in connection with the research programme 'Continuously campaigning for volatile voters. How policy positions and leadership images affect citizens' vote intentions before and during campaign periods, the Netherlands 2006-2012' (NWO406-13-038).</t>
  </si>
  <si>
    <t>10.1177/1940161217740696</t>
  </si>
  <si>
    <t>FQ2MC</t>
  </si>
  <si>
    <t>WOS:000418189600004</t>
  </si>
  <si>
    <t>Chiu, WS; Cho, H</t>
  </si>
  <si>
    <t>Chiu, Weisheng; Cho, Heetae</t>
  </si>
  <si>
    <t>Mapping aboriginal tourism experiences in Taiwan: A case of the Formosan Aboriginal Culture Village</t>
  </si>
  <si>
    <t>JOURNAL OF VACATION MARKETING</t>
  </si>
  <si>
    <t>Aboriginal tourism; automated content analysis; Taiwan; tourist experience; user-generated content</t>
  </si>
  <si>
    <t>USER-GENERATED CONTENT; LEISURE NOSTALGIA; INDIGENOUS TOURISM; SATISFACTION; HOSPITALITY; FUTURE</t>
  </si>
  <si>
    <t>Exploring tourist experience through analyzing user-generated content (UGC) has been considered as an appropriate approach for experience studies due to the rich information from the perspective of tourists. Thus, this study identified the conceptual map of individuals' aboriginal tourism experiences by analyzing UGC, including photos and texts. A total of 206 photos and 278 reviews posted by tourists on TripAdvisor were collected and analyzed. Photo content analysis showed that aboriginal culture emerged as the most indelible experience for visitors. Analysis of text data disclosed key themes:park, tribe, car, garden, andchildren. Further analysis found different patterns in tourist experiences across numerous travel parties and satisfaction levels. This study explored tourists' narratives and identified important concepts and themes of their 'lived experience' of aboriginal tourism. The findings of this study contribute to expanding theoretical knowledge by introducing innovative analytic techniques. Practically, this study offers a blueprint for designing the aboriginal tourism product, which can optimize the tourist experience. In addition, the differences in tourist experience with regard to travel party and level of satisfaction suggest specific marketing strategies for different segments.</t>
  </si>
  <si>
    <t>[Chiu, Weisheng] Open Univ Hong Kong, Hong Kong, Peoples R China; [Cho, Heetae] Nanyang Technol Univ, Singapore, Singapore</t>
  </si>
  <si>
    <t>Hong Kong Metropolitan University; Nanyang Technological University &amp; National Institute of Education (NIE) Singapore; Nanyang Technological University</t>
  </si>
  <si>
    <t>Cho, H (corresponding author), Nanyang Technol Univ, Dept Phys Educ &amp; Sports Sci, 1 Nanyang Walk, Singapore 637616, Singapore.</t>
  </si>
  <si>
    <t>heetae.cho@nie.edu.sg</t>
  </si>
  <si>
    <t>Cho, Heetae/AAE-6772-2022; Chiu, Weisheng/D-3512-2018</t>
  </si>
  <si>
    <t>Cho, Heetae/0000-0002-8927-9743; Chiu, Weisheng/0000-0002-8090-5082</t>
  </si>
  <si>
    <t>Institute of International Business and Governance; Research Grants Council of the Hong Kong Special Administrative Region, China [UGC/IDS16/17]</t>
  </si>
  <si>
    <t>Institute of International Business and Governance; Research Grants Council of the Hong Kong Special Administrative Region, China(Hong Kong Research Grants Council)</t>
  </si>
  <si>
    <t>The author(s) disclosed receipt of the following financial support for the research, authorship, and/or publication of this article: The first author would like to thank the Institute of International Business and Governance, established with the substantial support of a grant from the Research Grants Council of the Hong Kong Special Administrative Region, China (UGC/IDS16/17), for its support.</t>
  </si>
  <si>
    <t>1356-7667</t>
  </si>
  <si>
    <t>1479-1870</t>
  </si>
  <si>
    <t>J VACAT MARK</t>
  </si>
  <si>
    <t>J. Vacat. Mark.</t>
  </si>
  <si>
    <t>10.1177/1356766720950345</t>
  </si>
  <si>
    <t>Business; Hospitality, Leisure, Sport &amp; Tourism</t>
  </si>
  <si>
    <t>PU6RM</t>
  </si>
  <si>
    <t>WOS:000561829900001</t>
  </si>
  <si>
    <t>Laplume, AO; Srivastava, MK</t>
  </si>
  <si>
    <t>Laplume, Andre O.; Srivastava, Manish K.</t>
  </si>
  <si>
    <t>Firm newness, product novelty and aesthetic failure</t>
  </si>
  <si>
    <t>MANAGEMENT DECISION</t>
  </si>
  <si>
    <t>Design; Product innovation; Aesthetic design; Product failures; Firm age; New to firm products; Product form</t>
  </si>
  <si>
    <t>DESIGN CAPABILITIES; INNOVATION; FORM; DISCONTINUITIES; EXPLORATION; MANAGEMENT; KNOWLEDGE; RESPONSES</t>
  </si>
  <si>
    <t>Purpose - The purpose of this paper is to examine product failures in the consumer technology products industry to explain why some firms experience more aesthetic-related failures than others. Design/methodology/approach - The study uses a unique data set of failed high technology consumer products identified by expert product reviewers of 75 online magazines during 2000-2010. The variables are constructed using two coders as well as using an automated content analysis process based on the information provided in the online product reviews. The study tests a hypothesis using multilevel logistic regression techniques on a sample of 606 product reviews of 323 products associated with 171 firms. Findings - The study demonstrates that older firms are much more susceptible than younger firms to suffer from aesthetic-related product failures when they pursue product innovations that are new for them. Likewise, older firms suffer fewer aesthetics-related product failures than younger firms when they exploit products that well known to them. Originality/value - The study is highly novel in its research setting and empirical approach, and brings valuable insights for researchers and managers regarding challenges associated with aesthetic innovations for young and old firms.</t>
  </si>
  <si>
    <t>[Laplume, Andre O.; Srivastava, Manish K.] Michigan Technol Univ, Sch Business &amp; Econ, Houghton, MI 49931 USA</t>
  </si>
  <si>
    <t>Michigan Technological University</t>
  </si>
  <si>
    <t>Laplume, AO (corresponding author), Michigan Technol Univ, Sch Business &amp; Econ, Houghton, MI 49931 USA.</t>
  </si>
  <si>
    <t>aolaplum@mtu.edu</t>
  </si>
  <si>
    <t>SRIVASTAVA, MANISH K./B-2220-2010</t>
  </si>
  <si>
    <t>SRIVASTAVA, MANISH K./0000-0003-0917-6021</t>
  </si>
  <si>
    <t>0025-1747</t>
  </si>
  <si>
    <t>1758-6070</t>
  </si>
  <si>
    <t>MANAGE DECIS</t>
  </si>
  <si>
    <t>Manag. Decis.</t>
  </si>
  <si>
    <t>10.1108/MD-02-2014-0055</t>
  </si>
  <si>
    <t>AZ6RU</t>
  </si>
  <si>
    <t>WOS:000348347700005</t>
  </si>
  <si>
    <t>Fahnrich, B; Vogelgesang, J; Scharkow, M</t>
  </si>
  <si>
    <t>Faehnrich, Birte; Vogelgesang, Jens; Scharkow, Michael</t>
  </si>
  <si>
    <t>Evaluating universities' strategic online communication: how do Shanghai Ranking's top 50 universities grow stakeholder engagement with Facebook posts?</t>
  </si>
  <si>
    <t>JOURNAL OF COMMUNICATION MANAGEMENT</t>
  </si>
  <si>
    <t>Strategic communication; Universities; Engagement; Evaluation; Social media; Facebook; Content analysis; Multilevel regression; Global brands</t>
  </si>
  <si>
    <t>SOCIAL MEDIA; HIGHER-EDUCATION; PUBLIC-RELATIONS; SCIENCE; POPULARITY; NETWORKING; COMMUNITY; PAGES; TRUST; WORLD</t>
  </si>
  <si>
    <t>Purpose This study is dedicated to universities' strategic social media communication and focuses on the fan engagement triggered by Facebook postings. The study contributes to a growing body of knowledge that addresses the strategic communication of universities that have thus far hardly dealt with questions of resonance and evaluation of their social media messages. Design/methodology/approach Using the Facebook Graph API, the authors collected posts from the official Facebook fan pages of the universities listed on Shanghai Ranking's Top 50 of 2015. Specifically, the authors retrieved all posts in a three-year range from October 2012 to September 2015. After downloading the Facebook posts, the authors used tools for automated content analysis to investigate the features of the post messages. Findings Overall, the median number of likes per 10,000 fans was 4.6, while the number of comments (MD = 0.12) and shares (MD = 0.40) were considerably lower. The average Facebook Like Ratio of universities per 10,000 fans was 17.93%, the average Comment Ratio (CR) was 0.56% and the average Share Ratio (SR) was 2.82%. If we compare the average Like Ratios (17.93%) and Share Ratios (2.82%) of the universities with the respective Like Ratios (5.90%) and Share Ratios (0.45%) of global brands per 10,000 fans, we may find that universities are three times (likes) and six times (shares) as successful as are global brands in triggering engagement among their fan bases. Research limitations/implications The content analysis was solely based on the publicly observable Facebook communication of the Top 50 Shanghai Ranking universities. Furthermore, the content analysis was limited to universities listed on the Shanghai Ranking's Top 50. Also, the Facebook posts have been sampled between 2012 and September 2015. Moreover, the authors solely focused on one social media channel (i.e., Facebook), which might restrict the generalizability of the study findings. The limitations notwithstanding, university communicators are invited to take advantage of the study's insights to become more successful in generating fan engagement. Practical implications First, posts published on the weekend generate significantly more engagement than those published on workdays. Second, the findings suggest that posts published in the evening generate more engagement than those published during other times of day. Third, research-related posts trigger a certain number of shares, but at the same time these posts tend to lower engagement with regard to liking and commenting. Originality/value To the authors' best knowledge, the automated content analysis of 72,044 Facebook posts of universities listed in the Top 50 of the Shanghai Ranking is the first large scale longitudinal investigation of a social media channel of higher education institutions.</t>
  </si>
  <si>
    <t>[Faehnrich, Birte] Berlin Brandenburg Akad Wissensch, Berlin, Germany; [Vogelgesang, Jens] Univ Hohenheim, Dept Commun, Stuttgart, Germany; [Vogelgesang, Jens] Univ Hohenheim, Computat Sci Lab CSL, Stuttgart, Germany; [Scharkow, Michael] Johannes Gutenberg Univ Mainz, Dept Commun, Mainz, Germany</t>
  </si>
  <si>
    <t>University Hohenheim; University Hohenheim; Johannes Gutenberg University of Mainz</t>
  </si>
  <si>
    <t>Vogelgesang, J (corresponding author), Univ Hohenheim, Dept Commun, Stuttgart, Germany.;Vogelgesang, J (corresponding author), Univ Hohenheim, Computat Sci Lab CSL, Stuttgart, Germany.</t>
  </si>
  <si>
    <t>Birte.faehnrich@bbaw.de; j.vogelgesang@uni-hohenheim.de; michael.scharkow@zu.de</t>
  </si>
  <si>
    <t>Vogelgesang, Jens/AAK-9872-2021</t>
  </si>
  <si>
    <t>Vogelgesang, Jens/0000-0002-8221-4189</t>
  </si>
  <si>
    <t>1363-254X</t>
  </si>
  <si>
    <t>1478-0852</t>
  </si>
  <si>
    <t>J COMMUN MANAG</t>
  </si>
  <si>
    <t>J. Commun. Manag.</t>
  </si>
  <si>
    <t>10.1108/JCOM-06-2019-0090</t>
  </si>
  <si>
    <t>NF8UB</t>
  </si>
  <si>
    <t>WOS:000532711800001</t>
  </si>
  <si>
    <t>Yu, ZY; Tao, HYS; Xiao, Y; Burke, P; Hutchison, N; Makwana, D</t>
  </si>
  <si>
    <t>Yu, Zhongyuan; Tao, Hoong Yan See; Xiao, Yao; Burke, Pamela; Hutchison, Nicole; Makwana, Deep</t>
  </si>
  <si>
    <t>Multi-Level Systems Engineering Analyzer Dashboard: A Semi-Automated Content Analysis for Interview Data</t>
  </si>
  <si>
    <t>2020 14TH ANNUAL IEEE INTERNATIONAL SYSTEMS CONFERENCE (SYSCON2020)</t>
  </si>
  <si>
    <t>Annual IEEE Systems Conference</t>
  </si>
  <si>
    <t>14th Annual IEEE International Systems Conference (SysCon)</t>
  </si>
  <si>
    <t>Systems engineering; systems engineers; workforce development; organizational model; data modeling and visualization; content analysis; text analysis; sentiment analysis</t>
  </si>
  <si>
    <t>Helix is a multi-year project that aims to develop an understanding of systems engineers and organizational systems engineering (SE) effectiveness. Since 2013, the Helix team has conducted over 180 interview sessions with over 480 individuals from 31 organizations and resulted in over 6,500 pages of text data. As the team continued to gather more interview data, the manual qualitative content analysis methods originally employed was no longer adequate to keep pace with the expanding dataset. In this study, the team proposes a computer assisted method - a multi-level SE analyzer dashboard - to extract, analyze and visualize interview data customized specifically for SE knowledge. The dashboard developed in this study is able to stay true to the interviewees' actual feedback, while automating some aspects of the content analysis to generate useful insights. The multi-level SE analyzer dashboard enables: (1) exploring how critical factors contributing to SE effectiveness in the literature appear in the Helix interviews; (2) comparing SE implementations and processes among various industry sectors; (3) deriving an organizational profile on SE capability; and (4) gathering major concerns and accomplishments from individual systems engineers and senior leadership.</t>
  </si>
  <si>
    <t>[Yu, Zhongyuan; Tao, Hoong Yan See; Hutchison, Nicole; Makwana, Deep] Stevens Inst Technol, Sch Syst &amp; Enterprises, Hoboken, NJ 07030 USA; [Xiao, Yao] Stevens Inst Technol, Sch Engn &amp; Sci, Hoboken, NJ USA; [Burke, Pamela] Stevens Inst Technol, Sch Business, Hoboken, NJ USA</t>
  </si>
  <si>
    <t>Stevens Institute of Technology; Stevens Institute of Technology; Stevens Institute of Technology</t>
  </si>
  <si>
    <t>Yu, ZY (corresponding author), Stevens Inst Technol, Sch Syst &amp; Enterprises, Hoboken, NJ 07030 USA.</t>
  </si>
  <si>
    <t>zyu7@stevens.edu; hseetao@stevens.edu; yxiao21@stevens.edu; pburke1@stevens.edu; Nicole.Hutchison@stevens.edu; dmakwan1@stevens.edu</t>
  </si>
  <si>
    <t>Yu, Zhongyuan/0000-0002-6664-5085</t>
  </si>
  <si>
    <t>U.S. Department of Defense through the Office of the Under Secretary of Defense for Research and Engineering (ASD(RE)) [HQ0034-13-D-0004]</t>
  </si>
  <si>
    <t>U.S. Department of Defense through the Office of the Under Secretary of Defense for Research and Engineering (ASD(RE))</t>
  </si>
  <si>
    <t>This material is based upon work supported, in whole or in part, by the U.S. Department of Defense through the Office of the Under Secretary of Defense for Research and Engineering (ASD(R&amp;E)) under Contract HQ0034-13-D-0004.</t>
  </si>
  <si>
    <t>1944-7620</t>
  </si>
  <si>
    <t>978-1-7281-5365-0</t>
  </si>
  <si>
    <t>ANN IEEE SYST CONF</t>
  </si>
  <si>
    <t>BS2CK</t>
  </si>
  <si>
    <t>WOS:000698977000084</t>
  </si>
  <si>
    <t>Foo, JJ; Sinha, R</t>
  </si>
  <si>
    <t>Kotagiri, R; Krishna, PR; Mohania, M; Nantajeewarawat, E</t>
  </si>
  <si>
    <t>Foo, Jun Jie; Sinha, Ranjan</t>
  </si>
  <si>
    <t>Using redundant bit vectors for near-duplicate image detection</t>
  </si>
  <si>
    <t>ADVANCES IN DATABASES: CONCEPTS, SYSTEMS AND APPLICATIONS</t>
  </si>
  <si>
    <t>12th International Conference on Database Systems for Advanced Applications</t>
  </si>
  <si>
    <t>APR 09-12, 2007</t>
  </si>
  <si>
    <t>Bangkok, THAILAND</t>
  </si>
  <si>
    <t>IBM Thailand,Korea Informat Sci Soc,Database Soc Japan,Natl Elect &amp; Comp Technol Ctr,Software Ind Promot Agcy</t>
  </si>
  <si>
    <t>near-duplicate image detection; redundant bit-vectors; RBV</t>
  </si>
  <si>
    <t>PERFORMANCE</t>
  </si>
  <si>
    <t>Images are amongst the most widely proliferated form of digital information due to affordable imaging technologies and the Web. In such an environment, the use of digital watermarking for image copyright infringement detection is a challenge. For such tasks, near-duplicate image detection is increasingly attractive due to its ability of automated content analysis; moreover, the application domain also extends to data management. The application of PCA-SIFT features and LocalitySensitive Hashing (LSH) - for indexing and retrieval - has been shown to be highly effective for this task. In this work, we prune the number of PCA-SIFT features and introduce a modified Redundant Bit Vector (RBV) index. This is the first application of the RBV index that shows near-perfect effectiveness. Using the best parameters of our RBV approach, we observe an average recall and precision of 91% and 98%, respectively, with query response time of under 10 seconds on a collection of 20, 000 images. Compared to the baseline (the LSH index), the query response times and index size of the RBV index is 12 times faster and 126 times smaller, respectively. As compared to brute-force sequential scan, the RBV index rapidly reduces the search space to 1/80.</t>
  </si>
  <si>
    <t>[Foo, Jun Jie] RMIT Univ, Sch Comp Sci &amp; IT, Melbourne, Vic 3001, Australia</t>
  </si>
  <si>
    <t>Royal Melbourne Institute of Technology (RMIT)</t>
  </si>
  <si>
    <t>Foo, JJ (corresponding author), RMIT Univ, Sch Comp Sci &amp; IT, Melbourne, Vic 3001, Australia.</t>
  </si>
  <si>
    <t>jufoo@cs.rmit.edu.au; rsinha@cs.rmit.edu.au</t>
  </si>
  <si>
    <t>Australian Research Council</t>
  </si>
  <si>
    <t>Australian Research Council(Australian Research Council)</t>
  </si>
  <si>
    <t>This project was supported by Australian Research Council. We thank Justin Zobel for his suggestions.</t>
  </si>
  <si>
    <t>978-3-540-71702-7</t>
  </si>
  <si>
    <t>Computer Science, Artificial Intelligence; Computer Science, Information Systems; Computer Science, Theory &amp; Methods</t>
  </si>
  <si>
    <t>BGD50</t>
  </si>
  <si>
    <t>WOS:000246173300041</t>
  </si>
  <si>
    <t>Arendt, F</t>
  </si>
  <si>
    <t>Arendt, Florian</t>
  </si>
  <si>
    <t>Framing Suicide - Investigating the News Media and Public's Use of the Problematic Suicide Referents Freitod and Selbstmord in German-Speaking Countries</t>
  </si>
  <si>
    <t>CRISIS-THE JOURNAL OF CRISIS INTERVENTION AND SUICIDE PREVENTION</t>
  </si>
  <si>
    <t>suicide prevention; framing; media; news; Google Trends</t>
  </si>
  <si>
    <t>GUIDELINES</t>
  </si>
  <si>
    <t>Background: In German-speaking countries, suicide experts recommend not using the suicide referents Freitod and Selbstmord, as their associative meanings relate to problematic concepts such as free will and crime. Aims: To investigate which terms - the neutral and recommended Suizid or Freitod and Selbstmord - have dominated news coverage and to reveal what terms the public actually used. Method: A retrospective database study was undertaken on data from the period 2004-2016. First, we investigated how frequently the terms were used in news coverage via an automated content analysis. Second, we investigated how often individuals used the terms for information-seeking via Google's search engine, since it can be used as an indicator of the popularity of a given term within a given period. Results: Analyses revealed that Selbstmord was the most frequently used term in the news and by the public. Importantly, the use of Suizid increased in both datasets, nearly approaching the Selbstmord level in the later years. Although on a low level, the highly problematic term Freitod has also been in regular use. Conclusion: Media interventions should continue trying to increase journalists' awareness so that they use appropriate terms when reporting on suicide.</t>
  </si>
  <si>
    <t>[Arendt, Florian] Univ Munich LMU, Dept Commun Sci &amp; Media Res, Oettingenstr 67, D-80538 Munich, Germany</t>
  </si>
  <si>
    <t>Arendt, F (corresponding author), Univ Munich LMU, Dept Commun Sci &amp; Media Res, Oettingenstr 67, D-80538 Munich, Germany.</t>
  </si>
  <si>
    <t>florian.arendt@ifkw.lmu.de</t>
  </si>
  <si>
    <t>Arendt, Florian/0000-0003-1107-8682</t>
  </si>
  <si>
    <t>HOGREFE &amp; HUBER PUBLISHERS</t>
  </si>
  <si>
    <t>MERKELSTR 3, D-37085 GOTTINGEN, GERMANY</t>
  </si>
  <si>
    <t>0227-5910</t>
  </si>
  <si>
    <t>2151-2396</t>
  </si>
  <si>
    <t>CRISIS</t>
  </si>
  <si>
    <t>Crisis</t>
  </si>
  <si>
    <t>10.1027/0227-5910/a000467</t>
  </si>
  <si>
    <t>Psychiatry; Psychology, Multidisciplinary</t>
  </si>
  <si>
    <t>Psychiatry; Psychology</t>
  </si>
  <si>
    <t>FW5AO</t>
  </si>
  <si>
    <t>WOS:000425328600009</t>
  </si>
  <si>
    <t>Kovanovic, V; Joksimovic, S; Waters, Z; Gasevic, D; Kitto, K; Hatala, M; Siemens, G</t>
  </si>
  <si>
    <t>Kovanovic, Vitomir; Joksimovic, Srecko; Waters, Zak; Gasevic, Dragan; Kitto, Kirsty; Hatala, Marek; Siemens, George</t>
  </si>
  <si>
    <t>Towards Automated Content Analysis of Discussion Transcripts: A Cognitive Presence Case</t>
  </si>
  <si>
    <t>LAK '16 CONFERENCE PROCEEDINGS: THE SIXTH INTERNATIONAL LEARNING ANALYTICS &amp; KNOWLEDGE CONFERENCE,</t>
  </si>
  <si>
    <t>6th International Conference on Learning Analytics and Knowledge (LAK)</t>
  </si>
  <si>
    <t>APR 25-29, 2016</t>
  </si>
  <si>
    <t>Univ Edinburgh, Edinburgh, SCOTLAND</t>
  </si>
  <si>
    <t>Soc Learning Analyt Res,ACM</t>
  </si>
  <si>
    <t>Univ Edinburgh</t>
  </si>
  <si>
    <t>Community of Inquiry (CoI) model; content analysis; content analytics; online discussions; text classification</t>
  </si>
  <si>
    <t>In this paper, we present the results of an exploratory study that examined the problem of automating content analysis of student online discussion transcripts. We looked at the problem of coding discussion transcripts for the levels of cognitive presence, one of the three main constructs in the Community of Inquiry (CoI) model of distance education. Using Coh-Metrix and LIWC features, together with a set of custom features developed to capture discussion context, we developed a random forest classification system that achieved 70.3% classification accuracy and 0.63 Cohen's kappa, which is significantly higher than values reported in the previous studies. Besides improvement in classification accuracy, the developed system is also less sensitive to overfitting as it uses only 205 classification features, which is around 100 times less features than in similar systems based on bag-of-words features. We also provide an overview of the classification features most indicative of the different phases of cognitive presence that gives an additional insights into the nature of cognitive presence learning cycle. Overall, our results show great potential of the proposed approach, with an added benefit of providing further characterization of the cognitive presence coding scheme.</t>
  </si>
  <si>
    <t>[Kovanovic, Vitomir; Gasevic, Dragan] Univ Edinburgh, Sch Informat, Edinburgh, Midlothian, Scotland; [Joksimovic, Srecko; Gasevic, Dragan] Univ Edinburgh, Moray House Sch Educ, Edinburgh, Midlothian, Scotland; [Waters, Zak; Kitto, Kirsty] Queensland Univ Technol, Brisbane, Qld, Australia; [Hatala, Marek] Simon Fraser Univ, Sch Interact Arts &amp; Technol, Burnaby, BC, Canada; [Siemens, George] Univ Texas Arlington, LINK Res Lab, Arlington, TX 76019 USA</t>
  </si>
  <si>
    <t>University of Edinburgh; University of Edinburgh; Queensland University of Technology (QUT); Simon Fraser University; University of Texas System; University of Texas Arlington</t>
  </si>
  <si>
    <t>Kovanovic, V (corresponding author), Univ Edinburgh, Sch Informat, Edinburgh, Midlothian, Scotland.</t>
  </si>
  <si>
    <t>v.kovanovic@ed.ac.uk; s.joksimovic@ed.ac.uk; z.waters@qutedu.au; dgasevic@acm.org; kirsty.kitto@qut.edu.au; mhatala@sfu.ca; gsiemens@uta.edu</t>
  </si>
  <si>
    <t>Siemens, George/E-9682-2019; Gasevic, Dragan/AAT-3909-2020; Kovanovic, Vitomir/F-5862-2017; Joksimovic, Srecko/R-3093-2019</t>
  </si>
  <si>
    <t>Siemens, George/0000-0002-9567-9794; Gasevic, Dragan/0000-0001-9265-1908; Kovanovic, Vitomir/0000-0001-9694-6033; Joksimovic, Srecko/0000-0001-6999-3547; Kitto, Kirsty/0000-0001-7642-7121; Hatala, Marek/0000-0001-7418-9529</t>
  </si>
  <si>
    <t>978-1-4503-4190-5</t>
  </si>
  <si>
    <t>10.1145/2883851.2883950</t>
  </si>
  <si>
    <t>BG6UO</t>
  </si>
  <si>
    <t>WOS:000390844700003</t>
  </si>
  <si>
    <t>Eisele, O; Litvyak, O; Brandle, VK; Balluff, P; Fischeneder, A; Sotirakou, C; Ali, PS; Boomgaarden, HG</t>
  </si>
  <si>
    <t>Eisele, Olga; Litvyak, Olga; Braendle, Verena K.; Balluff, Paul; Fischeneder, Andreas; Sotirakou, Catherine; Ali, Pamina Syed; Boomgaarden, Hajo G.</t>
  </si>
  <si>
    <t>An Emotional Rally: Exploring Commenters' Responses to Online News Coverage of the COVID-19 Crisis in Austria</t>
  </si>
  <si>
    <t>COVID-19; digital journalism; user comments; automated content analysis; Austria; emotions</t>
  </si>
  <si>
    <t>MEDIA; COMMUNICATION; OPINION; QUALITY; CUES</t>
  </si>
  <si>
    <t>The COVID-19 pandemic presents an unparalleled global crisis impacting both public and private life. In the situation of uncertainty, emotions run high and might compromise the public acceptance of and compliance with countermeasures tackling the crisis. Mass media play an integral part in communicating crisis measures and provide an institutionalised channel to diffuse relevant information to a broad audience. This is especially true for digital outlets of legacy media given the greater immediacy of coverage. In addition, digital news offers the unique opportunity for readers to engage with the news contents, allowing an analysis of the dynamics of emotional reactions to crisis news coverage. We explore the case of Austria as an early COVID-19 hotspot. We analyse digital news coverage of two high-circulation newspapers and the emotionality it prompted in user comments, based on a unique dataset comprising 38,253 articles and around 1.6 Million comments from 1 January 2020 to 30 June 2020. Results show increased emotionality during lockdown and towards the government. With reference to the rally around-the-flag literature, we interpret this as emotional rallying behind the responsible political crisis managers.</t>
  </si>
  <si>
    <t>[Eisele, Olga; Litvyak, Olga; Braendle, Verena K.; Balluff, Paul; Fischeneder, Andreas; Ali, Pamina Syed; Boomgaarden, Hajo G.] Univ Vienna, Dept Commun, Vienna, Austria; [Sotirakou, Catherine] Natl &amp; Kapodistrian Univ Athens, Fac Commun &amp; Media Studies, Athens, Greece</t>
  </si>
  <si>
    <t>University of Vienna; National &amp; Kapodistrian University of Athens</t>
  </si>
  <si>
    <t>Sotirakou, Catherine/0000-0002-8889-5448; Eisele, Olga/0000-0002-6604-3498; Fischeneder, Andreas/0000-0001-7487-7794; Litvyak, Olga/0000-0002-1277-827X; Balluff, Paul/0000-0001-9548-3225; Syed Ali, Kim Pamina/0000-0001-8138-3370; Boomgaarden, Hajo G./0000-0002-5260-1284; Brandle, Verena/0000-0002-4084-8538</t>
  </si>
  <si>
    <t>Austrian Science Fund [T-989]; Independent Research Fund Denmark [9570-00009]; Austrian Federal Ministry of Education, Science and Research</t>
  </si>
  <si>
    <t>Austrian Science Fund(Austrian Science Fund (FWF)); Independent Research Fund Denmark; Austrian Federal Ministry of Education, Science and Research</t>
  </si>
  <si>
    <t>The authors would like to thank Svenja Schafer for her valuable input to this article. Moreover, we acknowledge the funding by the Austrian Science Fund (T-989) for Olga Eisele as well as by the Independent Research Fund Denmark (9570-00009) for Verena K. Brandle. In addition, this research draws on resources created at the Vienna Center for Electoral Research (VieCER) in the framework of the Austrian National Election Survey (AUTNES), financed by the Austrian Federal Ministry of Education, Science and Research.</t>
  </si>
  <si>
    <t>10.1080/21670811.2021.2004552</t>
  </si>
  <si>
    <t>3Z1WL</t>
  </si>
  <si>
    <t>WOS:000724671800001</t>
  </si>
  <si>
    <t>Birkner, T; Koenen, E; Schwarzenegger, C</t>
  </si>
  <si>
    <t>Birkner, Thomas; Koenen, Erik; Schwarzenegger, Christian</t>
  </si>
  <si>
    <t>A CENTURY OF JOURNALISM HISTORY AS CHALLENGE Digital archives, sources, and methods</t>
  </si>
  <si>
    <t>journalism history; digital archives; digital sources; inverted pyramid model</t>
  </si>
  <si>
    <t>NEWSPAPER ARCHIVES; BIG DATA; NEWS; DIGITIZATION; YESTERDAYS; EMERGENCE; CRISIS; PRESS; MEDIA; FORM</t>
  </si>
  <si>
    <t>Approaching journalism history through digital archives, digital sources, and digital methods is a demanding task for media historians, but also offers prospects. We explore some of the challenges and potential benefits in the light of a concrete research project that investigates journalism history in Germany from 1914 to 2014. The project focuses on the development of journalistic news storytelling following the inverted pyramid model. This paper mainly discusses the difficulties of assembling an adequate corpus. The German case is complicated, mainly because the country's violent history, with two World Wars and two dictatorships, has left several desiderata for historical journalism research. We subdivide a hundred years of journalism history into different phases, and for each of these we discuss different approaches with regard to the availability, accessibility, and usability of sources in digital form. We conclude that digital archives and digital sources open up new techniques for historical journalism research, including methods such as automated content analysis and text mining. Nevertheless, new technological and cultural environments of news pose genuinely new challenges and require new skills and literacies to cope with journalism history through digital archives.</t>
  </si>
  <si>
    <t>[Birkner, Thomas] Univ Munster, Dept Commun, Munster, Germany; [Koenen, Erik] Univ Bremen, Ctr Media Commun &amp; Informat Res, Bremen, Germany; [Schwarzenegger, Christian] Univ Augsburg, Dept Media Knowledge &amp; Commun, Augsburg, Germany</t>
  </si>
  <si>
    <t>University of Munster; University of Bremen; University of Augsburg</t>
  </si>
  <si>
    <t>Birkner, T (corresponding author), Univ Munster, Dept Commun, Munster, Germany.</t>
  </si>
  <si>
    <t>thomas.-birkner@uni-muenster.de; ekoenen@uni-bremen.de; christian.schwarze-negger@phil.uni-augsburg.de</t>
  </si>
  <si>
    <t>Schwarzenegger, Christian/0000-0003-1118-9948; Birkner, Thomas/0000-0002-0818-3062</t>
  </si>
  <si>
    <t>10.1080/21670811.2018.1514271</t>
  </si>
  <si>
    <t>HH4GR</t>
  </si>
  <si>
    <t>WOS:000455680800002</t>
  </si>
  <si>
    <t>Unkel, J; Kumpel, AS</t>
  </si>
  <si>
    <t>Unkel, Julian; Kuempel, Anna Sophie</t>
  </si>
  <si>
    <t>(A)synchronous Communication about TV Series on Social Media: A Multi-Method Investigation of Reddit Discussions</t>
  </si>
  <si>
    <t>entertainment; multi-method; Reddit; second screen; social media; social TV; TV series; usage motives</t>
  </si>
  <si>
    <t>MOTIVATIONS; ENTERTAINMENT</t>
  </si>
  <si>
    <t>Audiences' TV series entertainment experiences are increasingly shaped not only by the events on the 'first screen' but also by discussions on social media. While an extensive body of research has examined practices of 'second screening,' especially on Twitter, online discussions before and after the live broadcast and on other platforms have received less attention. On Reddit-one of the most important platforms for Social TV-discussions often take place in temporally structured threads that allow users to discuss an episode before (pre-premiere thread), during (live premiere thread), and after (post-premiere thread) it airs. In this project, we examine whether these spaces mainly indicate temporal preferences among users or are associated with different usage practices and motives. To do so, we conducted two case studies of the Reddit community r/gameofthrones: a survey about usage motives (n = 417) and an automated content analysis of approximately 1.2 million comments left on the episode discussion threads in which we examined thread use over time, interactions between users, and discussion content. The results revealed differing usage motives and practices for the three thread types, illustrating the distinct function that these communication spaces fulfil for users.</t>
  </si>
  <si>
    <t>[Unkel, Julian; Kuempel, Anna Sophie] Ludwig Maximilians Univ Munchen, Dept Media &amp; Commun, D-80538 Munich, Germany</t>
  </si>
  <si>
    <t>Unkel, J (corresponding author), Ludwig Maximilians Univ Munchen, Dept Media &amp; Commun, D-80538 Munich, Germany.</t>
  </si>
  <si>
    <t>unkel@ifkw.lmu.de; kuempel@ifkw.lmu.de</t>
  </si>
  <si>
    <t>Kumpel, Anna Sophie/0000-0001-7184-4057; Unkel, Julian/0000-0001-9568-7041</t>
  </si>
  <si>
    <t>10.17645/mac.v8i3.3046</t>
  </si>
  <si>
    <t>WOS:000562709200004</t>
  </si>
  <si>
    <t>Liu, TT; Giorgi, S; Yadeta, K; Schwartz, HA; Ungar, LH; Curtis, B</t>
  </si>
  <si>
    <t>Liu, Tingting; Giorgi, Salvatore; Yadeta, Kenna; Schwartz, H. Andrew; Ungar, Lyle H.; Curtis, Brenda</t>
  </si>
  <si>
    <t>Linguistic predictors from Facebook postings of substance use disorder treatment retention versus discontinuation</t>
  </si>
  <si>
    <t>AMERICAN JOURNAL OF DRUG AND ALCOHOL ABUSE</t>
  </si>
  <si>
    <t>Substance use disorder treatment; dropout; social media language; machine learning; automated text analysis</t>
  </si>
  <si>
    <t>TIME PERSPECTIVE; TEMPORAL ORIENTATION; POSITIVE PSYCHOLOGY; EMOTION REGULATION; LIFE SATISFACTION; CIRCUMPLEX MODEL; LANGUAGE USE; DRUG-USERS; ADDICTION; ALCOHOL</t>
  </si>
  <si>
    <t>Background: Early indicators of who will remain in - or leave - treatment for substance use disorder (SUD) can drive targeted interventions to support long-term recovery. Objectives: To conduct a comprehensive study of linguistic markers of SUD treatment outcomes, the current study integrated features produced by machine learning models known to have social-psychology relevance. Methods: We extracted and analyzed linguistic features from participants' Facebook posts (N = 206, 39.32% female; 55,415 postings) over the two years before they entered a SUD treatment program. Exploratory features produced by both Linguistic Inquiry and Word Count (LIWC) and Latent Dirichlet Allocation (LDA) topic modeling and the features from theoretical domains of religiosity, affect, and temporal orientation via established AI-based linguistic models were utilized. Results: Patients who stayed in the SUD treatment for over 90 days used more words associated with religion, positive emotions, family, affiliations, and the present, and used more first-person singular pronouns (Cohen's d values: [-0.39, -0.57]). Patients who discontinued their treatment before 90 days discussed more diverse topics, focused on the past, and used more articles (Cohen's d values: [0.44, 0.57]). All ps &lt; .05 with Benjamini-Hochberg False Discovery Rate correction. Conclusions: We confirmed the literature on protective and risk social-psychological factors linking to SUD treatment in language analysis, showing that Facebook language before treatment entry could be used to identify the markers of SUD treatment outcomes. This reflects the importance of taking these linguistic features and markers into consideration when designing and recommending SUD treatment plans.</t>
  </si>
  <si>
    <t>[Liu, Tingting; Giorgi, Salvatore; Yadeta, Kenna; Curtis, Brenda] NIDA, Intramural Res Program, Baltimore, MD USA; [Liu, Tingting; Schwartz, H. Andrew; Ungar, Lyle H.] Univ Penn, Posit Psychol Ctr, Philadelphia, PA 19104 USA; [Giorgi, Salvatore; Ungar, Lyle H.] Univ Penn, Dept Comp &amp; Informat Sci, Philadelphia, PA 19104 USA; [Schwartz, H. Andrew] SUNY Stony Brook, Dept Comp Sci, Stony Brook, NY 11794 USA</t>
  </si>
  <si>
    <t>National Institutes of Health (NIH) - USA; NIH National Institute on Drug Abuse (NIDA); University of Pennsylvania; University of Pennsylvania; State University of New York (SUNY) System; SUNY Community College; State University of New York (SUNY) Stony Brook</t>
  </si>
  <si>
    <t>Curtis, B (corresponding author), Biomed Res Ctr, 251 Bayview Blvd,Suite 200, Baltimore, MD 21224 USA.</t>
  </si>
  <si>
    <t>brenda.curtis@nih.gov</t>
  </si>
  <si>
    <t>Curtis, Brenda/0000-0002-2511-3322; Giorgi, Salvatore/0000-0001-7381-6295; Ungar, Lyle/0000-0003-2047-1443; Liu, Tingting/0000-0002-8179-6180</t>
  </si>
  <si>
    <t>Intramural Research Program of the National Institutes of Health (NIH), National Institute on Drug Abuse (NIDA) [NIH-NIDA R01 DA039457]; NIH-National Institute on Alcohol Abuse and Alcoholism (NIAAA) [R01 AA028032-01]</t>
  </si>
  <si>
    <t>Intramural Research Program of the National Institutes of Health (NIH), National Institute on Drug Abuse (NIDA); NIH-National Institute on Alcohol Abuse and Alcoholism (NIAAA)(United States Department of Health &amp; Human ServicesNational Institutes of Health (NIH) - USANIH National Institute on Alcohol Abuse &amp; Alcoholism (NIAAA))</t>
  </si>
  <si>
    <t>This study was funded by the Intramural Research Program of the National Institutes of Health (NIH), National Institute on Drug Abuse (NIDA), NIH-NIDA R01 DA039457 to Dr. Curtis at NIDA, and in part by NIH-National Institute on Alcohol Abuse and Alcoholism (NIAAA) R01 AA028032-01 to Dr. Schwartz at Stony Brook University and Dr. Ungar at University of Pennsylvania. The authors report no financial relationships with commercial interests.</t>
  </si>
  <si>
    <t>0095-2990</t>
  </si>
  <si>
    <t>1097-9891</t>
  </si>
  <si>
    <t>AM J DRUG ALCOHOL AB</t>
  </si>
  <si>
    <t>Am. J. Drug Alcohol Abuse</t>
  </si>
  <si>
    <t>10.1080/00952990.2022.2091450</t>
  </si>
  <si>
    <t>Psychology, Clinical; Substance Abuse</t>
  </si>
  <si>
    <t>Psychology; Substance Abuse</t>
  </si>
  <si>
    <t>5E8NO</t>
  </si>
  <si>
    <t>WOS:000827509300001</t>
  </si>
  <si>
    <t>Fridman, I; Fagerlin, A; Scherr, KA; Scherer, LD; Huffstetler, H; Ubel, PA</t>
  </si>
  <si>
    <t>Fridman, Ilona; Fagerlin, Angela; Scherr, Karen A.; Scherer, Laura D.; Huffstetler, Hanna; Ubel, Peter A.</t>
  </si>
  <si>
    <t>Gain-loss framing and patients' decisions: a linguistic examination of information framing in physician-patient conversations</t>
  </si>
  <si>
    <t>LIWC; Decision making; Cancer; Gains; Losses; Framing; Prostate cancer; Active surveillance; Prospect theory; Health communication</t>
  </si>
  <si>
    <t>LOSS-FRAMED MESSAGES; PROSTATE-CANCER; PROSPECT-THEORY; RELATIVE PERSUASIVENESS; PERCEIVED RISK; LOSS AVERSION; TEXT ANALYSIS; BEHAVIOR; CHOICE; MEN</t>
  </si>
  <si>
    <t>When discussing risks and benefits with cancer patients, physicians could focus on losses such as mortality rates and cancer recurrence or, alternatively, gains such as survival rates and curing cancer. Previous research has shown that the way health information is framed influences individuals' preferences and choices. We operationalized gain-loss framing as physicians' choice of words related to gains (cancer survival), or losses (cancer mortality). In an exploratory analysis, we investigated (a) whether physicians used gain or loss words as a function of their recommendation, (b) whether physicians' choice of words was associated with patients' treatment choices. We analyzed transcribed consultations with male patients who had intermediate-risk prostate cancer. Using an iterative process of gathering and evaluating words, we created gain- and loss-dictionaries. The loss-dictionary included words related to cancer death and cancer progression. The gain-dictionary included words related to survival and cure. Using Linguistic Inquiry and Word Count software, we calculated the number of words related to gains and losses in each transcript. We found that physicians who recommended immediate cancer treatment for prostate cancer (vs. active surveillance) used slightly fewer words related to losses and significantly fewer words related specifically to death from cancer. Further analysis showed that loss words were associated with the patient's choice of immediate cancer treatment. A novel method of automated text analysis showed that physicians' use of loss words was correlated with physicians' recommendations for cancer treatment versus active surveillance. Additionally, loss words in consultations were associated with patients' choice of cancer treatment.</t>
  </si>
  <si>
    <t>[Fridman, Ilona; Huffstetler, Hanna; Ubel, Peter A.] Duke Univ, Fuqua Sch Business, 100 Fuqua Dr, Durham, NC 27708 USA; [Fridman, Ilona] Duke Univ, Duke Margolis Ctr Hlth Policy, Durham, NC 27708 USA; [Fagerlin, Angela] Univ Utah, Sch Med, Dept Populat Hlth Sci, Salt Lake City, UT USA; [Fagerlin, Angela] Salt Lake City VA Informat Decis Enhancement &amp; An, Salt Lake City, UT USA; [Scherr, Karen A.] Duke Sch Med, Family Med &amp; Community Hlth, Durham, NC USA; [Scherer, Laura D.] Univ Colorado, Div Cardiol, Adult &amp; Child Consortium Hlth Outcomes Res &amp; Deli, Sch Med, Aurora, CO USA; [Scherer, Laura D.] VA Denver, Ctr Innovat Vet Ctr &amp; Value Driven Care, Denver, CO USA; [Ubel, Peter A.] Duke Univ, Sanford Sch Publ Policy, Durham, NC USA; [Ubel, Peter A.] Duke Sch Med, Durham, NC USA</t>
  </si>
  <si>
    <t>Duke University; Duke University; Utah System of Higher Education; University of Utah; Duke University; University of Colorado System; University of Colorado Anschutz Medical Campus; Duke University; Duke University</t>
  </si>
  <si>
    <t>Fridman, I (corresponding author), Duke Univ, Fuqua Sch Business, 100 Fuqua Dr, Durham, NC 27708 USA.;Fridman, I (corresponding author), Duke Univ, Duke Margolis Ctr Hlth Policy, Durham, NC 27708 USA.</t>
  </si>
  <si>
    <t>ilona.fridman@duke.edu</t>
  </si>
  <si>
    <t>Scherr, Karen/H-6587-2016</t>
  </si>
  <si>
    <t>Scherr, Karen/0000-0002-1972-6472; Huffstetler, Hanna E./0000-0002-3333-1792</t>
  </si>
  <si>
    <t>1573-3521</t>
  </si>
  <si>
    <t>10.1007/s10865-020-00171-0</t>
  </si>
  <si>
    <t>QA4OP</t>
  </si>
  <si>
    <t>WOS:000553263600001</t>
  </si>
  <si>
    <t>Wagner, M; Vicinus, B; Muthra, ST; Richards, TA; Linder, R; Frick, VO; Groh, A; Rubie, C; Weichert, F</t>
  </si>
  <si>
    <t>Wagner, Mathias; Vicinus, Benjamin; Muthra, Sherieda T.; Richards, Tereza A.; Linder, Roland; Frick, Vilma Oliveira; Groh, Andreas; Rubie, Claudia; Weichert, Frank</t>
  </si>
  <si>
    <t>Text mining, a race against time? An attempt to quantify possible variations in text corpora of medical publications throughout the years</t>
  </si>
  <si>
    <t>COMPUTERS IN BIOLOGY AND MEDICINE</t>
  </si>
  <si>
    <t>Nomenclature; Systems biology</t>
  </si>
  <si>
    <t>PROTEIN-PROTEIN INTERACTIONS; FULL-TEXT; CHEMOKINE EXPRESSION; OPEN ACCESS; ABSTRACTS; INFORMATION; KNOWLEDGE; JOURNALS; ARTICLES; CCL5</t>
  </si>
  <si>
    <t>Background: The continuous growth of medical sciences literature indicates the need for automated text analysis. Scientific writing which is neither unitary, transcending social situation nor defined by a timeless idea is subject to constant change as it develops in response to evolving knowledge, aims at different goals, and embodies different assumptions about nature and communication. The objective of this study was to evaluate whether publication dates should be considered when performing text mining. Methods: A search of PUBMED for combined references to chemokine identifiers and particular cancer related terms was conducted to detect changes over the past 36 years. Text analyses were performed using freeware available from the World Wide Web. TOEFL Scores of territories hosting institutional affiliations as well as various readability indices were investigated. Further assessment was conducted using Principal Component Analysis. Laboratory examination was performed to evaluate the quality of attempts to extract content from the examined linguistic features. Results: The PUBMED search yielded a total of 14,420 abstracts (3,190,219 words). The range of findings in laboratory experimentation were coherent with the variability of the results described in the analyzed body of literature. Increased concurrence of chemokine identifiers together with cancer related terms was found at the abstract and sentence level, whereas complexity of sentences remained fairly stable. Conclusions: The findings of the present study indicate that concurrent references to chemokines and cancer increased over time whereas text complexity remained stable. (C) 2016 Elsevier Ltd. All rights reserved.</t>
  </si>
  <si>
    <t>[Wagner, Mathias] Univ Saarland, Dept Pathol, Homburg Saar Campus, Homburg Saar, Germany; [Vicinus, Benjamin; Frick, Vilma Oliveira; Rubie, Claudia] Univ Saarland, Dept Gen Visceral Vasc &amp; Pediat Surg, Homburg Saar Campus, Homburg Saar, Germany; [Vicinus, Benjamin] Univ Saarland, Inst Virol, Homburg Saar Campus, Homburg Saar, Germany; [Muthra, Sherieda T.] Georgetown Univ, Lombardi Comprehens Canc Ctr, 37th &amp; O St NW, Washington, DC 20057 USA; [Richards, Tereza A.] Univ W Indies, Med Lib, Kingston 7, Jamaica; [Linder, Roland] Med Univ Lubeck, Inst Med Informat, D-23538 Lubeck, Germany; [Groh, Andreas] Univ Saarland, Dept Math, Saarbrucken Campus, D-66123 Saarbrucken, Germany; [Weichert, Frank] Tech Univ Dortmund, Dept Comp Sci 7, D-44221 Dortmund, Germany</t>
  </si>
  <si>
    <t>Saarland University; Saarland University; Saarland University; Georgetown University; University West Indies Mona Jamaica; University of Lubeck; Saarland University; Dortmund University of Technology</t>
  </si>
  <si>
    <t>Muthra, ST (corresponding author), Georgetown Univ, Lombardi Comprehens Canc Ctr, 37th &amp; O St NW, Washington, DC 20057 USA.</t>
  </si>
  <si>
    <t>stm36@georgetown.edu</t>
  </si>
  <si>
    <t>0010-4825</t>
  </si>
  <si>
    <t>1879-0534</t>
  </si>
  <si>
    <t>COMPUT BIOL MED</t>
  </si>
  <si>
    <t>Comput. Biol. Med.</t>
  </si>
  <si>
    <t>10.1016/j.compbiomed.2016.03.016</t>
  </si>
  <si>
    <t>Life Sciences &amp; Biomedicine - Other Topics; Computer Science; Engineering; Mathematical &amp; Computational Biology</t>
  </si>
  <si>
    <t>DP4GZ</t>
  </si>
  <si>
    <t>WOS:000378455700017</t>
  </si>
  <si>
    <t>Ilic, N; Savic, S; Siegel, E; Atkinson, K; Tasic, L</t>
  </si>
  <si>
    <t>Ilic, Nina; Savic, Snezana; Siegel, Evan; Atkinson, Kerry; Tasic, Ljiljana</t>
  </si>
  <si>
    <t>Examination of the Regulatory Frameworks Applicable to Biologic Drugs (Including Stem Cells and Their Progeny) in Europe, the US, and Australia: Part II-A Method of Software Documentary Analysis</t>
  </si>
  <si>
    <t>STEM CELLS TRANSLATIONAL MEDICINE</t>
  </si>
  <si>
    <t>Cellular therapy; Clinical translation; Clinical trials; Ethics</t>
  </si>
  <si>
    <t>MEDICINE; DOCTORS</t>
  </si>
  <si>
    <t>A wide range of regulatory standards applicable to production and use of tissues, cells, and other biologics (or biologicals), as advanced therapies, indicates considerable interest in the regulation of these products. The objective of this study was to analyze and compare high-tier documents within the Australian, European, and U.S. biologic drug regulatory environments using qualitative methodology. Eighteen high-tier documents from the European Medicines Agency (EMA), U.S. Food and Drug Administration (FDA), and Therapeutic Goods Administration (TGA) regulatory frameworks were subject to automated text analysis. Selected documents were consistent with the legal requirements for manufacturing and use of biologic drugs in humans and fall into six different categories. Concepts, themes, and their co-occurrence were identified and compared. The most frequent concepts in TGA, FDA, and EMA frameworks were biological, product, and medicinal, respectively. This was consistent with the previous manual terminology search. Good Manufacturing Practice documents, across frameworks, identified quality and appropriate as main concepts, whereas in Good Clinical Practice (GCP) documents it was clinical, followed by trial, subjects, sponsor, and data. GCP documents displayed considerably higher concordance between different regulatory frameworks, as demonstrated by a smaller number of concepts, similar size, and similar distance between them. Although high-tier documents often use different terminology, they share concepts and themes. This paper may be a modest contribution to the recognition of similarities and differences between analyzed regulatory documents. It may also fill the literature gap and provide some foundation for future comparative research of biologic drug regulations on a global level. STEM CELLS TRANSLATIONAL MEDICINE 2012;1:909-920</t>
  </si>
  <si>
    <t>[Ilic, Nina; Savic, Snezana; Tasic, Ljiljana] Univ Belgrade, Fac Pharm, Belgrade, Serbia; [Ilic, Nina] Mater Hlth Serv, Brisbane, Qld, Australia; [Siegel, Evan] Ground Zero Pharmaceut, Irvine, CA USA; [Atkinson, Kerry] Mater Med Res Inst, Brisbane, Qld, Australia; [Atkinson, Kerry] Univ Queensland, Sch Med, Brisbane, Qld, Australia</t>
  </si>
  <si>
    <t>University of Belgrade; Mater Health Services; Mater Research; University of Queensland</t>
  </si>
  <si>
    <t>Ilic, N (corresponding author), Raymond Terrace, Brisbane, Qld 4101, Australia.</t>
  </si>
  <si>
    <t>Nina.Ilic@mater.org.au</t>
  </si>
  <si>
    <t>Tasic, Ljiljana/GRS-7973-2022; Tasic, Ljiljana/N-6103-2014; Savic, Snezana/AAI-9218-2020</t>
  </si>
  <si>
    <t>Tasic, Ljiljana/0000-0001-9584-0341; Savic, Snezana/0000-0002-6236-9730</t>
  </si>
  <si>
    <t>2157-6564</t>
  </si>
  <si>
    <t>2157-6580</t>
  </si>
  <si>
    <t>STEM CELL TRANSL MED</t>
  </si>
  <si>
    <t>Stem Cells Transl. Med.</t>
  </si>
  <si>
    <t>10.5966/sctm.2012-0038</t>
  </si>
  <si>
    <t>Cell &amp; Tissue Engineering</t>
  </si>
  <si>
    <t>Cell Biology</t>
  </si>
  <si>
    <t>061BX</t>
  </si>
  <si>
    <t>WOS:000312823200006</t>
  </si>
  <si>
    <t>Amith, M; Cunningham, R; Savas, LS; Boom, J; Schvaneveldt, R; Tao, C; Cohen, T</t>
  </si>
  <si>
    <t>Amith, Muhammad; Cunningham, Rachel; Savas, Lara S.; Boom, Julie; Schvaneveldt, Roger; Tao, Cui; Cohen, Trevor</t>
  </si>
  <si>
    <t>Using Pathfinder networks to discover alignment between expert and consumer conceptual knowledge from online vaccine content</t>
  </si>
  <si>
    <t>JOURNAL OF BIOMEDICAL INFORMATICS</t>
  </si>
  <si>
    <t>Distributional semantics; Vaccination; Consumer health; Knowledge acquisition; Mental models; Natural language processing; Social media; Public health informatics; Big data; Semantic spaces; Consumer informatics</t>
  </si>
  <si>
    <t>RISK INFORMATION; FOLLOW-UP; HEALTH; FREQUENCY; FIELDS; AUTISM; SPACE</t>
  </si>
  <si>
    <t>This study demonstrates the use of distributed vector representations and Pathfinder Network Scaling (PFNETS) to represent online vaccine content created by health experts and by laypeople. By analyzing a target audience's conceptualization of a topic, domain experts can develop targeted interventions to improve the basic health knowledge of consumers. The underlying assumption is that the content created by different groups reflects the mental organization of their knowledge. Applying automated text analysis to this content may elucidate differences between the knowledge structures of laypeople (heath consumers) and professionals (health experts). This paper utilizes vaccine information generated by laypeople and health experts to investigate the utility of this approach. We used an established technique from cognitive psychology, Pathfinder Network Scaling to infer the structure of the associational networks between concepts learned from online content using methods of distributional semantics. In doing so, we extend the original application of PFNETS to infer knowledge structures from individual participants, to infer the prevailing knowledge structures within communities of content authors. The resulting graphs reveal opportunities for public health and vaccination education experts to improve communication and intervention efforts directed towards health consumers. Our efforts demonstrate the feasibility of using an automated procedure to examine the manifestation of conceptual models within large bodies of free text, revealing evidence of conflicting understanding of vaccine concepts among health consumers as compared with health experts. Additionally, this study provides insight into the differences between consumer and expert abstraction of domain knowledge, revealing vaccine-related knowledge gaps that suggest opportunities to improve provider-patient communication. (C) 2017 Elsevier Inc. All rights reserved.</t>
  </si>
  <si>
    <t>[Amith, Muhammad; Tao, Cui; Cohen, Trevor] Univ Texas Houston, Sch Biomed Informat Houston, 7000 Fannin St,600, Houston, TX 77030 USA; [Savas, Lara S.] Univ Texas Houston, Sch Biomed Informat Houston, 1200 Pressler St, Houston, TX 77030 USA; [Cunningham, Rachel; Boom, Julie] Texas Childrens Hosp, 6621 Fannin St, Houston, TX 77030 USA; [Schvaneveldt, Roger] Arizona State Univ, Tempe, AZ USA; [Schvaneveldt, Roger] New Mexico State Univ, Las Cruces, NM 88003 USA</t>
  </si>
  <si>
    <t>University of Texas System; University of Texas Health Science Center Houston; University of Texas System; University of Texas Health Science Center Houston; Baylor College of Medicine; Arizona State University; Arizona State University-Tempe; New Mexico State University</t>
  </si>
  <si>
    <t>Cohen, T (corresponding author), Univ Texas Houston, Sch Biomed Informat Houston, 7000 Fannin St,600, Houston, TX 77030 USA.</t>
  </si>
  <si>
    <t>trevor.cohen@uth.tmc.edu</t>
  </si>
  <si>
    <t>Schvaneveldt, Roger/A-5271-2010; Amith, Muhammad/GZB-1844-2022</t>
  </si>
  <si>
    <t>Schvaneveldt, Roger/0000-0003-3470-9141; Cohen, Trevor/0000-0003-0159-6697; Tao, Cui/0000-0002-4267-1924; Savas, Lara/0000-0003-0799-4012; Amith, Muhammad/0000-0003-4333-1857</t>
  </si>
  <si>
    <t>National Library Of Medicine of the National Institutes of Health [R01 LM011829, R01LM011563]; UTHealth Innovation for Cancer Prevention Research Training Program (Cancer Prevention and Research Institute of Texas) [RP140103]; NATIONAL LIBRARY OF MEDICINE [R01LM011829, R01LM011563] Funding Source: NIH RePORTER</t>
  </si>
  <si>
    <t>National Library Of Medicine of the National Institutes of Health(United States Department of Health &amp; Human ServicesNational Institutes of Health (NIH) - USANIH National Library of Medicine (NLM)); UTHealth Innovation for Cancer Prevention Research Training Program (Cancer Prevention and Research Institute of Texas); NATIONAL LIBRARY OF MEDICINE(United States Department of Health &amp; Human ServicesNational Institutes of Health (NIH) - USANIH National Library of Medicine (NLM))</t>
  </si>
  <si>
    <t>This research is supported by the National Library Of Medicine of the National Institutes of Health under Award Number R01 LM011829 and R01LM011563. The authors also gratefully acknowledge the support from the UTHealth Innovation for Cancer Prevention Research Training Program (Cancer Prevention and Research Institute of Texas grant # RP140103). The authors thank Carol Kakalec Kohn, MS, ELS(D) for editorial assistance.</t>
  </si>
  <si>
    <t>1532-0464</t>
  </si>
  <si>
    <t>1532-0480</t>
  </si>
  <si>
    <t>J BIOMED INFORM</t>
  </si>
  <si>
    <t>J. Biomed. Inform.</t>
  </si>
  <si>
    <t>10.1016/j.jbi.2017.08.007</t>
  </si>
  <si>
    <t>Computer Science, Interdisciplinary Applications; Medical Informatics</t>
  </si>
  <si>
    <t>Computer Science; Medical Informatics</t>
  </si>
  <si>
    <t>FX6UA</t>
  </si>
  <si>
    <t>WOS:000426221600004</t>
  </si>
  <si>
    <t>Dowell, N; Hampton, A; Hu, XG; Brooks, C</t>
  </si>
  <si>
    <t>Nkambou, R; Azevedo, R; Vassileva, J</t>
  </si>
  <si>
    <t>Dowell, Nia; Hampton, Andrew; Hu, Xiangen; Brooks, Christopher</t>
  </si>
  <si>
    <t>Making Sense Out of Synchronous and Asynchronous Discourse in Education (SADES)</t>
  </si>
  <si>
    <t>INTELLIGENT TUTORING SYSTEMS, ITS 2018</t>
  </si>
  <si>
    <t>14th International Conference on Intelligent Tutoring Systems (ITS)</t>
  </si>
  <si>
    <t>JUN 11-15, 2018</t>
  </si>
  <si>
    <t>Inst Intelligent Systems,Natl Sci Fdn,Springer,Tourisme Montreal</t>
  </si>
  <si>
    <t>Synchronous discourse; Asynchronous discourse; Measurement</t>
  </si>
  <si>
    <t>This workshop brings together researchers who are interested in theories, technologies, applications, and impacts of synchronous and asynchronous discourse in educational settings (SADES). The last two decades have led to significant changes in education, with digital learning infrastructures such as blended classrooms, computer-mediated collaborative learning environments, intelligent tutoring systems, and most recently massive open online courses (MOOCs). These systems produce an abundance of data streams including natural language, multimedia, and interaction trace data, affording new approaches to educational research. A major advantage of digital learning environments is that researchers have access to the data associated with the full scope of a learner's experience and actions as they navigate through the environment, including the student discussions. Most of existing ITS applications involve one or at most two interactive conversational avatars (CAs) and one student. However, recent research efforts have been directed towards environments which involve multiple CAs and multiple human learners, which are co-presented in the same interactive intelligent tutoring environment (IITE). In doing so, this work is scaling the interactive elements of more traditional ITSs, and creating opportunities to explore sociocognitive processes in these environments through the use of computational models and natural language interactions. The majority of automated text analysis systems focus on characterizing the more macro language and discourse properties of an entire batch of texts. That is, they explore phenomena at the student or group level. While certainly useful, few analytical approaches and technological systems allow researchers to explore the micro intra- and interpersonal patterns associated with participants' sociocognitive processes. In this workshop, we highlight recent analytical approaches for exploring both macro and micro SADES processes.</t>
  </si>
  <si>
    <t>[Dowell, Nia; Brooks, Christopher] Univ Michigan, Ann Arbor, MI 48108 USA; [Hampton, Andrew; Hu, Xiangen] Univ Memphis, Memphis, TN 38152 USA</t>
  </si>
  <si>
    <t>University of Michigan System; University of Michigan; University of Memphis</t>
  </si>
  <si>
    <t>Dowell, N (corresponding author), Univ Michigan, Ann Arbor, MI 48108 USA.</t>
  </si>
  <si>
    <t>Ndowell@umich.edu; jhmpton8@memphis.edu; Xhu@memphis.edu; Brooksch@umich.edu</t>
  </si>
  <si>
    <t>Dowell, Nia/AAQ-2973-2020</t>
  </si>
  <si>
    <t>Dowell, Nia/0000-0002-9839-8947</t>
  </si>
  <si>
    <t>978-3-319-91464-0; 978-3-319-91463-3</t>
  </si>
  <si>
    <t>Computer Science, Artificial Intelligence; Computer Science, Software Engineering; Computer Science, Theory &amp; Methods</t>
  </si>
  <si>
    <t>BL3GC</t>
  </si>
  <si>
    <t>WOS:000449671300077</t>
  </si>
  <si>
    <t>Spaeth, DA</t>
  </si>
  <si>
    <t>Representing text as data - The analysis of historical sources in XML</t>
  </si>
  <si>
    <t>HISTORICAL METHODS</t>
  </si>
  <si>
    <t>data modeling; domestic interiors; probate inventories; quantitative methods; semistructured data</t>
  </si>
  <si>
    <t>In conventional approaches to computer analysis of historical sources, one must represent the data in structured formats in which content and context are discarded. Extensible markup language (XML), developed for data transfer on the Internet, permits preservation of the full text of irregular historical sources without sacrificing the ability to conduct systematic analysis. Related querying tools offer most functions of a relational database management system, including data transformation facilities for coding, standardizing, and aggregating nominal data. An XML database permits multiple interpretations of the data because the unit of analysis and the coding schemes are not defined at entry. In a case study of probate inventories, the author demonstrates how structured analysis of domestic interiors can be performed and introduces approaches to studying semistructured data.</t>
  </si>
  <si>
    <t>Univ Glasgow, Dept Hist, Glasgow G12 8QQ, Lanark, Scotland</t>
  </si>
  <si>
    <t>University of Glasgow</t>
  </si>
  <si>
    <t>Spaeth, DA (corresponding author), Univ Glasgow, Dept Hist, Glasgow G12 8QQ, Lanark, Scotland.</t>
  </si>
  <si>
    <t>HELDREF PUBLICATIONS</t>
  </si>
  <si>
    <t>1319 EIGHTEENTH ST NW, WASHINGTON, DC 20036-1802 USA</t>
  </si>
  <si>
    <t>0161-5440</t>
  </si>
  <si>
    <t>HIST METHOD</t>
  </si>
  <si>
    <t>Hist. Methods</t>
  </si>
  <si>
    <t>10.3200/HMTS.37.2.73-86</t>
  </si>
  <si>
    <t>846GT</t>
  </si>
  <si>
    <t>WOS:000223304500002</t>
  </si>
  <si>
    <t>Bonilla, J; Rao, B</t>
  </si>
  <si>
    <t>Kocaoglu, DF; Anderson, TR; Daim, TU; Kozanoglu, DC; Niwa, K; Perman, G</t>
  </si>
  <si>
    <t>Bonilla, JeanCarlo (J. C. ); Rao, Bharat</t>
  </si>
  <si>
    <t>Decoding Data Analytics Capabilities from Topic Modeling on Press Releases</t>
  </si>
  <si>
    <t>PICMET '15 PORTLAND INTERNATIONAL CENTER FOR MANAGEMENT OF ENGINEERING AND TECHNOLOGY</t>
  </si>
  <si>
    <t>Portland International Conference on Management of Engineering and Technology</t>
  </si>
  <si>
    <t>Portland International Conference on Management of Engineering and Technology (PICMET)</t>
  </si>
  <si>
    <t>AUG 02-06, 2015</t>
  </si>
  <si>
    <t>Portland State Univ, Dept Engn &amp; Technol Management,N Amer Travel Portland, Panason Syst Commun Co,Portland Int Ctr Management Engn &amp; Technol,Maseeh Coll Engn &amp; Comp Sci,Off Informat Technol Instruct Technol Serv &amp; Classroom Audio Visual Event Team</t>
  </si>
  <si>
    <t>In their quest for data-driven insight, firms align their resources to produce information that is actionable. Moreover, the bundling and utilization of these valuable resources is what defines an organizational capability. Thus, in this paper we conceptualize a new type of capability-data analytics capabilities, DAC, as the ability to assemble, coordinate, mobilize, and deploy analytics-based resources with strategic purpose. Using text as data, we explore the use of probabilistic topic modeling on historical press releases, in an attempt to identify types of DAC from successful data analytics investments. Press and news releases frequently articulate a firm's resource allocation strategy, proving an opportunity to automatically classify these into topics that can suggest categorization of DAC. We explore 8-year historical press releases and apply Latent Dirichlet Allocation topic modeling to 273 press releases.</t>
  </si>
  <si>
    <t>[Bonilla, JeanCarlo (J. C. ); Rao, Bharat] NYU, Polytech Sch Engn, Brooklyn, NY 11201 USA</t>
  </si>
  <si>
    <t>New York University; New York University Tandon School of Engineering</t>
  </si>
  <si>
    <t>Bonilla, J (corresponding author), NYU, Polytech Sch Engn, Brooklyn, NY 11201 USA.</t>
  </si>
  <si>
    <t>2159-5100</t>
  </si>
  <si>
    <t>978-1-8908-4332-8</t>
  </si>
  <si>
    <t>PORTL INT CONF MANAG</t>
  </si>
  <si>
    <t>Engineering, Industrial; Engineering, Electrical &amp; Electronic; Operations Research &amp; Management Science</t>
  </si>
  <si>
    <t>BF4AJ</t>
  </si>
  <si>
    <t>WOS:000380611600192</t>
  </si>
  <si>
    <t>Alschner, W; Elsig, M; Polanco, R</t>
  </si>
  <si>
    <t>Alschner, Wolfgang; Elsig, Manfred; Polanco, Rodrigo</t>
  </si>
  <si>
    <t>Introducing the Electronic Database of Investment Treaties (EDIT): The Genesis of a New Database and Its Use</t>
  </si>
  <si>
    <t>WORLD TRADE REVIEW</t>
  </si>
  <si>
    <t>Investment; Treaties; Database; International Relations; International Law; International Investment Agreements</t>
  </si>
  <si>
    <t>DESIGN; IMPACT; BITS; LEGALIZATION; ENVIRONMENT; AGREEMENTS; POLITICS; REGIME; TRADE</t>
  </si>
  <si>
    <t>This article introduces a novel database on investment treaties called the Electronic Database of Investment Treaties (EDIT). We describe the genesis of the database and what makes EDIT the most comprehensive and systematic database to date. What stands out besides the coverage is that treaties are all provided in one single language (English) and in one single format that is machine-readable. In the second part of the article, we provide selected illustrations on how the data can be used to address research questions in international law, international political economy, and international relations by applying text-as-data methods and by extracting and visualizing data based on EDIT.</t>
  </si>
  <si>
    <t>[Alschner, Wolfgang] Univ Ottawa, Ottawa, ON, Canada; [Elsig, Manfred; Polanco, Rodrigo] Univ Bern, Bern, Switzerland</t>
  </si>
  <si>
    <t>University of Ottawa; University of Bern</t>
  </si>
  <si>
    <t>Elsig, M (corresponding author), Univ Bern, Bern, Switzerland.</t>
  </si>
  <si>
    <t>Manfred.Elsig@wti.org</t>
  </si>
  <si>
    <t>Polanco Lazo, Rodrigo/K-2775-2015</t>
  </si>
  <si>
    <t>Polanco Lazo, Rodrigo/0000-0003-1974-5523; Elsig, Manfred/0000-0001-6950-108X</t>
  </si>
  <si>
    <t>Swiss Network for International Studies (SNIS); World Bank; Canada Foundation for Innovation</t>
  </si>
  <si>
    <t>Swiss Network for International Studies (SNIS); World Bank(The World Bank India); Canada Foundation for Innovation(Canada Foundation for InnovationCGIAR)</t>
  </si>
  <si>
    <t>We acknowledge funding from the Swiss Network for International Studies (SNIS), the World Bank and the John R. Evans Leaders Grant, Canada Foundation for Innovation. We wish to thank Dmitriy Skougarevskiy, the SNIS project team and research assistants based at University of Ottawa and the World Trade Institute for their contribution to the database.</t>
  </si>
  <si>
    <t>1474-7456</t>
  </si>
  <si>
    <t>1475-3138</t>
  </si>
  <si>
    <t>WORLD TRADE REV</t>
  </si>
  <si>
    <t>World Trade Rev.</t>
  </si>
  <si>
    <t>PII S147474562000035X</t>
  </si>
  <si>
    <t>10.1017/S147474562000035X</t>
  </si>
  <si>
    <t>Economics; International Relations; Law</t>
  </si>
  <si>
    <t>QC1EW</t>
  </si>
  <si>
    <t>WOS:000614577000005</t>
  </si>
  <si>
    <t>Monroe, BL; Colaresi, MP; Quinn, KM</t>
  </si>
  <si>
    <t>Monroe, Burt L.; Colaresi, Michael P.; Quinn, Kevin M.</t>
  </si>
  <si>
    <t>Fightin' Words: Lexical Feature Selection and Evaluation for Identifying the Content of Political Conflict</t>
  </si>
  <si>
    <t>GENE SELECTION; POSITIONS; ABORTION; ISSUE</t>
  </si>
  <si>
    <t>Entries in the burgeoning text-as-data movement are often accompanied by lists or visualizations of how word (or other lexical feature) usage differs across some pair or set of documents. These are intended either to establish some target semantic concept (like the content of partisan frames) to estimate word-specific measures that feed forward into another analysis (like locating parties in ideological space) or both. We discuss a variety of techniques for selecting words that capture partisan, or other, differences in political speech and for evaluating the relative importance of those words. We introduce and emphasize several new approaches based on Bayesian shrinkage and regularization. We illustrate the relative utility of these approaches with analyses of partisan, gender, and distributive speech in the U.S. Senate.</t>
  </si>
  <si>
    <t>[Monroe, Burt L.] Penn State Univ, Dept Polit Sci, University Pk, PA 16802 USA; [Colaresi, Michael P.] Michigan State Univ, Dept Polit Sci, E Lansing, MI 48824 USA; [Quinn, Kevin M.] Harvard Univ, Dept Govt, Cambridge, MA 02138 USA; [Quinn, Kevin M.] Harvard Univ, Inst Quantitat Social Sci, Cambridge, MA 02138 USA</t>
  </si>
  <si>
    <t>Pennsylvania Commonwealth System of Higher Education (PCSHE); Pennsylvania State University; Pennsylvania State University - University Park; Michigan State University; Harvard University; Harvard University</t>
  </si>
  <si>
    <t>Monroe, BL (corresponding author), Penn State Univ, Dept Polit Sci, University Pk, PA 16802 USA.</t>
  </si>
  <si>
    <t>burtmonroe@psu.edu; colaresi@msu.edu; kevin_quinn@harvard.edu</t>
  </si>
  <si>
    <t>Colaresi, Michael/0000-0001-9574-5723</t>
  </si>
  <si>
    <t>10.1093/pan/mpn018</t>
  </si>
  <si>
    <t>414AA</t>
  </si>
  <si>
    <t>WOS:000263835100003</t>
  </si>
  <si>
    <t>Kaneko, T; Asano, TA; Miwa, H</t>
  </si>
  <si>
    <t>Kaneko, Tomoki; Asano, Taka-aki; Miwa, Hirofumi</t>
  </si>
  <si>
    <t>Estimating Ideal Points of Newspapers from Editorial Texts</t>
  </si>
  <si>
    <t>media slant; ideal point estimation; quantitative text analysis; unsupervised learning; Japan</t>
  </si>
  <si>
    <t>MEDIA BIAS; POSITIONS; ELECTIONS; MODEL; NEWS</t>
  </si>
  <si>
    <t>Although measuring the ideal points of news media is essential for testing political communication theories based on spatial theory, prior methods of estimating ideal points of media outlets have various shortcomings, including high cost in terms of time and human resources and low applicability to different countries. We propose that unsupervised machine learning techniques for text data, specifically the combination of a text scaling method and latent topic modeling, can be applied to estimate ideal points of media outlets. We applied our proposed methods to editorial texts of ten national and regional newspapers in Japan, where prior approaches are not applicable because newspapers have never officially endorsed particular parties or candidates, and because high-quality training data for supervised learning are not available. Our two studies, one of which analyzed editorials on a single typically ideological topic while the other investigated all editorials published by the target papers in one year, confirmed the popular view of Japanese newspapers' ideological slant, which validates the effectiveness of our proposed approach. We also illustrate that our methods allow scholars to investigate which issues are closely related to the respective ideological positions of media outlets. Furthermore, we use the estimated ideal points of newspapers to show that Japanese people partially tend to read ideologically like-minded newspapers and follow such newspapers' Twitter accounts even though their slant is not explicit.</t>
  </si>
  <si>
    <t>[Kaneko, Tomoki; Asano, Taka-aki] Univ Tokyo, Grad Sch Law, Tokyo, Japan; [Kaneko, Tomoki; Asano, Taka-aki] Univ Tokyo, Grad Sch Polit, Tokyo, Japan; [Miwa, Hirofumi] Gakushuin Univ, Fac Law, Dept Polit Studies, Tokyo, Japan</t>
  </si>
  <si>
    <t>University of Tokyo; University of Tokyo; Gakushuin University</t>
  </si>
  <si>
    <t>Miwa, H (corresponding author), Gakushuin Univ, Fac Law, 1-5-1 Mejiro, Tokyo 1718588, Japan.</t>
  </si>
  <si>
    <t>hirofumi.miwa@gakushuin.ac.jp</t>
  </si>
  <si>
    <t>Miwa, Hirofumi/AAL-8119-2021</t>
  </si>
  <si>
    <t>Miwa, Hirofumi/0000-0003-2786-8830; Asano, Taka-aki/0000-0002-3228-1287; Kaneko, Tomoki/0000-0003-0732-836X</t>
  </si>
  <si>
    <t>Japan Society for the Promotion of Science KAKENHI [JP18K12708, JP18J12661, JP19J21170]</t>
  </si>
  <si>
    <t>Japan Society for the Promotion of Science KAKENHI(Ministry of Education, Culture, Sports, Science and Technology, Japan (MEXT)Japan Society for the Promotion of ScienceGrants-in-Aid for Scientific Research (KAKENHI))</t>
  </si>
  <si>
    <t>The author(s) disclosed receipt of the following financial support for the research, authorship, and/or publication of this article: This work was supported by the Japan Society for the Promotion of Science KAKENHI Grant Number JP18K12708, JP18J12661, and JP19J21170.</t>
  </si>
  <si>
    <t>10.1177/1940161220935058</t>
  </si>
  <si>
    <t>SP2QS</t>
  </si>
  <si>
    <t>WOS:000548587200001</t>
  </si>
  <si>
    <t>Kelly, BD; Foley, SR</t>
  </si>
  <si>
    <t>Kelly, B. D.; Foley, S. R.</t>
  </si>
  <si>
    <t>Analysis of last statements prior to execution: methods, themes and future directions</t>
  </si>
  <si>
    <t>QJM-AN INTERNATIONAL JOURNAL OF MEDICINE</t>
  </si>
  <si>
    <t>DEATH-ROW INMATES; CAPITAL-PUNISHMENT; UNITED-STATES; SUICIDE; CONFINEMENT; PRISONERS; WORDS</t>
  </si>
  <si>
    <t>Worldwide, over 1000 people were executed in 2016 and over 3000 sentenced to death. Death row prisoners have high rates of mental illness, often combined with neurological impairment. Prolonged confinement has further negative effects on psychological function. There is a growing literature examining key themes and psychological constructs in death row prisoners immediately prior to execution. To date, this literature centres largely but not exclusively on last statements from death row in Texas, owing to ease of availability. The most common themes in last statements are love, spirituality and apology or regret. The most common psychological constructs are 'identification-egression' (e.g. attachment to a lost person or ideal, such as freedom), unbearable psychological pain and rejection-aggression. This is still a relatively new area of research and new techniques, such as computerised quantitative text analysis, are likely to complement rather than replace more traditional forms of thematic and textual analysis. For the future, it is essential that studies in this field continue to specify precisely, which last statements they use, so that overlap can be identified, and that more countries are studied (if possible). It would also be useful to expand the research frame to relate the content of last statements to additional variables relating to prisoners' offences, physical health, mental health, family structure and broader circumstances. Finally, ethical issues require continued consideration in this complex, fascinating, growing field.</t>
  </si>
  <si>
    <t>[Kelly, B. D.] Trinity Coll Dublin, Trinity Ctr Hlth Sci, Tallaght Hosp, Dept Psychiat, Dublin D24 NR0A 24, Ireland; [Foley, S. R.] Metro South Addict &amp; Mental Hlth Serv, Rehabil Acad Clin Unit, 228 Logan Rd, Woolloongabba, Qld, Australia</t>
  </si>
  <si>
    <t>Trinity College Dublin</t>
  </si>
  <si>
    <t>Kelly, BD (corresponding author), Trinity Coll Dublin, Trinity Ctr Hlth Sci, Tallaght Hosp, Dept Psychiat, Dublin D24 NR0A 24, Ireland.</t>
  </si>
  <si>
    <t>brendan.kelly@tcd.ie</t>
  </si>
  <si>
    <t>Kelly, Brendan/0000-0002-6113-1384</t>
  </si>
  <si>
    <t>1460-2725</t>
  </si>
  <si>
    <t>1460-2393</t>
  </si>
  <si>
    <t>QJM-INT J MED</t>
  </si>
  <si>
    <t>QJM-An Int. J. Med.</t>
  </si>
  <si>
    <t>10.1093/qjmed/hcx227</t>
  </si>
  <si>
    <t>FT0QK</t>
  </si>
  <si>
    <t>WOS:000422832800002</t>
  </si>
  <si>
    <t>Tri, MT; Khue, NT; Khoa, VT; Goto, A</t>
  </si>
  <si>
    <t>Tri, Mai Trong; Khue, Nguyen Thy; Khoa, Vo Tuan; Goto, Aya</t>
  </si>
  <si>
    <t>Patient Views on Quality of Life and Hospital Care: Results From a Qualitative Study Among Vietnamese Patients With Diabetes</t>
  </si>
  <si>
    <t>qualitative study; diabetes; Vietnam; quality of life; quality of care</t>
  </si>
  <si>
    <t>SERVICES</t>
  </si>
  <si>
    <t>ObjectivesThis study aimed to fill the gap between Vietnamese diabetic patients' needs and care through a qualitative study asking about their experiences with diabetes and quality of care. MethodsInterviews with five diabetic patients were conducted at a tertiary general hospital located in southern Vietnam. The transcribed data were first subjected to quantitative text analysis using KH Coder to identify major categories of frequently used words, followed by a qualitative analysis of selected cases using the Steps for Coding and Theorization (SCAT) method. ResultsThe major categories of frequently used words were chronic health conditions, services, facilities, insurance, patient-doctor communication, and medication. SCAT analysis of three selected cases identified six themes: Disregarding the disease at the early stage, Fear of complications, Satisfaction with hospital services and medical staff, Insurance-related problems, Long waiting times, and Communication barriers between patients and doctors. Patients were satisfied with improved hospital facilities and services; however, the overloading of one hospital led to long waiting times and communication difficulties with doctors. Difficulties with health insurance were also observed, and patients were rather passive in disease management and needed to be empowered through improved communication with doctors and other care providers. ConclusionThese findings from our trial of introducing a qualitative study into service evaluation suggest that listening to patients can help health providers learn their perspectives and be more responsive to their needs.</t>
  </si>
  <si>
    <t>[Tri, Mai Trong; Khoa, Vo Tuan] Peoples Hosp 115, Endocrinol Dept, Ho Chi Minh City, Vietnam; [Khue, Nguyen Thy] Ho Chi Minh City Univ Med &amp; Pharm, Ho Chi Minh City, Vietnam; [Goto, Aya] Fukushima Med Univ, Ctr Integrated Sci &amp; Humanities, Fukushima, Japan</t>
  </si>
  <si>
    <t>Hochiminh City University of Medicine &amp; Pharmacy; Fukushima Medical University</t>
  </si>
  <si>
    <t>Tri, MT (corresponding author), Peoples Hosp 115, Endocrinol Dept, Ho Chi Minh City, Vietnam.</t>
  </si>
  <si>
    <t>drmttri@gmail.com</t>
  </si>
  <si>
    <t>MAY 6</t>
  </si>
  <si>
    <t>10.3389/fcomm.2022.894435</t>
  </si>
  <si>
    <t>1M6WS</t>
  </si>
  <si>
    <t>WOS:000800110700001</t>
  </si>
  <si>
    <t>'Acting under Chapter 7': rhetorical entrapment, rhetorical hollowing, and the authorization of force in the UN security council, 1995-2017</t>
  </si>
  <si>
    <t>INTERNATIONAL RELATIONS</t>
  </si>
  <si>
    <t>authorization of force; deliberative turn; quantitative text analysis; rhetorical entrapment; rhetorical hollowing</t>
  </si>
  <si>
    <t>INTERNATIONAL INTERVENTION; PUBLIC-OPINION; DISCOURSE; DEMOCRACY; LEGITIMACY; POWER; RESPONSIBILITY; PERSUASION; PROMISE; PEACE</t>
  </si>
  <si>
    <t>After more than 25 years of scholarship, the deliberative turn in international relations (IR) theory is ready to be revisited with a fresh perspective. Using new methods from automated text analyses, this explorative article investigates how rhetoric may bind action. It does so by building upon Schimmelfennig's original account of rhetorical entrapment. To begin, I theorize the opposite of entrapment, which I call rhetorical hollowing. Rhetorical hollowing describes a situation in which actors use normative rhetoric, but instead of advancing their interests, such rhetoric fails to increase their chances of obtaining the desired outcome because the normative force of their rhetoric has eroded over time. To provide plausibility to both entrapment and hollowing, I present two mechanisms by which language is connected with action in the United Nations Security Council. Finally, I run a series of time-series-cross-section models on selected dictionary terms conducive to entrapment or hollowing on all speeches and an original Security Council resolution corpus from 1995 to 2017. The research shows that while mentioning 'human rights' is consistently associated with increased odds of authorization of force; the word 'terrorism' is associated with a decrease of odds for intervention. This finding suggests that some terms may not only entrap or hollow but also normatively backfire.</t>
  </si>
  <si>
    <t>[Scherzinger, Johannes] Berlin Social Sci Ctr WZB, Berlin, Germany; [Scherzinger, Johannes] Free Univ Berlin, Berlin, Germany</t>
  </si>
  <si>
    <t>Scherzinger, J (corresponding author), Berlin Social Sci Ctr WZB, Dept Global Governance, Reichpietschufer 50, D-10785 Berlin, Germany.</t>
  </si>
  <si>
    <t>Deutsche Forschungsgemeinschaft (German Research Foundation) [EXC 2055, 390715649]; Friedrich-Ebert-Foundation (FES)</t>
  </si>
  <si>
    <t>Deutsche Forschungsgemeinschaft (German Research Foundation)(German Research Foundation (DFG)); Friedrich-Ebert-Foundation (FES)</t>
  </si>
  <si>
    <t>The author(s) disclosed receipt of the following financial support for the research, authorship, and/or publication of this article: Research for this contribution is part of the Cluster of Excellence 'Contestations of the Liberal Script' (EXC 2055, Project-ID: 390715649), funded by the Deutsche Forschungsgemeinschaft (German Research Foundation). The author would further like to gratefully acknowledge a scholarship from the Friedrich-Ebert-Foundation (FES).</t>
  </si>
  <si>
    <t>0047-1178</t>
  </si>
  <si>
    <t>1741-2862</t>
  </si>
  <si>
    <t>INT RELAT</t>
  </si>
  <si>
    <t>Int. Relat.</t>
  </si>
  <si>
    <t>10.1177/00471178221082870</t>
  </si>
  <si>
    <t>0D0IA</t>
  </si>
  <si>
    <t>WOS:000775685700001</t>
  </si>
  <si>
    <t>Jordan, ND</t>
  </si>
  <si>
    <t>Jordan, Nino David</t>
  </si>
  <si>
    <t>How coordinated sectoral responses to environmental policy increase the availability of product life cycle data</t>
  </si>
  <si>
    <t>INTERNATIONAL JOURNAL OF LIFE CYCLE ASSESSMENT</t>
  </si>
  <si>
    <t>EPD; PCF; LCA; IPPC; Climate policy; Emissions trading system; Negotiated agreements; EU ETS; Life cycle inventory; LCI</t>
  </si>
  <si>
    <t>Purpose Environmental Product Declarations (EPDs) and Product Carbon Footprints (PCFs) have a significant potential for contributing to consumption-based approaches to climate change. This paper provides an important building block towards a theoretical model of the factors accounting for variations in the availability of life cycle data across countries. It does so by positing a mechanism linking industry associations' institutional role within environmental policy processes to the availability of product life data and by empirically validating it. Methods Interviews, qualitative document analysis, web scraping, quantitative text analysis, set-theoretical causal reasoning, and process tracing. Results and discussion Environmental policies that stipulate industry-government deliberations and assign a coordinating or mediating role to industry peak associations can stimulate the exchange of environmental information among industrial sectors. The policy instruments of determination of 'best available techniques' (BAT) towards standard setting, negotiated collective agreements and carbon pricing all contribute towards the institutionalisation of organised information exchange within industry. This lowers transaction costs for the monitoring, reporting and verification of sectoral environmental data and can thus be conducive to the creation of sectoral life cycle assessment data, with positive knock-on effects on the availability of firm- and product-specific LCA labels. Conclusions Industry associations' institutional role within environmental policy processes can partially explain cross-national variations in the availability of product life cycle inventories.</t>
  </si>
  <si>
    <t>[Jordan, Nino David] UCL Inst Sustainable Resources, London, England</t>
  </si>
  <si>
    <t>Jordan, ND (corresponding author), UCL Inst Sustainable Resources, London, England.</t>
  </si>
  <si>
    <t>nino.jordan@ucl.ac.uk</t>
  </si>
  <si>
    <t>Jordan, Nino David/0000-0002-1430-2785</t>
  </si>
  <si>
    <t>0948-3349</t>
  </si>
  <si>
    <t>1614-7502</t>
  </si>
  <si>
    <t>INT J LIFE CYCLE ASS</t>
  </si>
  <si>
    <t>Int. J. Life Cycle Assess.</t>
  </si>
  <si>
    <t>10.1007/s11367-021-01873-6</t>
  </si>
  <si>
    <t>Engineering, Environmental; Environmental Sciences</t>
  </si>
  <si>
    <t>Engineering; Environmental Sciences &amp; Ecology</t>
  </si>
  <si>
    <t>RP6OU</t>
  </si>
  <si>
    <t>WOS:000616597800001</t>
  </si>
  <si>
    <t>De Menezes, A; Nunes, AC; Pimenta, DN; Lotta, G; Nkya, T; Krieger, MM; Schall, B; Wenham, C</t>
  </si>
  <si>
    <t>De Menezes, Ana; Nunes, Ana Carolina; Pimenta, Denise Nacif; Lotta, Gabriela; Nkya, Theresia; Krieger, Morgana Martins; Schall, Brunah; Wenham, Clare</t>
  </si>
  <si>
    <t>Examining the Intersection between Gender, Community Health Workers, and Vector Control Policies: A Text Mining Literature Review</t>
  </si>
  <si>
    <t>AMERICAN JOURNAL OF TROPICAL MEDICINE AND HYGIENE</t>
  </si>
  <si>
    <t>Gender intersects with healthcare systems; this is equally true for arboviral vector control efforts. However, there is as yet no comprehensive analysis as to how vector control is gendered. Hence, our objective is to provide the first thematic scoping and spatial distribution of the literature on gender, community health workers, and vector control. The authors use a systematic review approach to collect the academic literature on gender, community health workers, and vector control in Web of Science, Scopus, and PubMed (7,367 articles). After applying the exclusion criteria, 2,812 articles were analyzed using machine learning techniques: text mining and quantitative text analysis. The authors use topic modeling to assess the thematic scope of the literature and analyze the spatial distribution of themes. Our results show that the literature's spatial scope is strongly represented by the global south as research was conducted mainly in Latin America, Africa, and Asia, places with greater incidence of vector-borne disease and with health systems, which incorporate community healthcare workers. However, there are significant spatial heterogeneities in where and how research is conducted. The topic analysis reveals that the literature predominantly considers issues of sex (e.g., pregnancy) and gender as it relates motherhood. Gendered considerations occur upon implementation of vector control policies, rather than being mainstreamed into their development and delivery. There is a need to deepen the analysis to allow for gendered aspects to be understood beyond binary sex differences and/or reproductive health.</t>
  </si>
  <si>
    <t>[De Menezes, Ana] London Sch Econ &amp; Polit Sci LSE, Dept Geog &amp; Environm, London, England; [Nunes, Ana Carolina; Lotta, Gabriela; Krieger, Morgana Martins] Getulio Vargas Fdn FGV EAESP, Sao Paulo, Brazil; [Pimenta, Denise Nacif; Schall, Brunah] Fundacao Oswaldo Cruz, Rene Rachou Inst Fiocruz Minas, Belo Horizonte, MG, Brazil; [Nkya, Theresia] Int Ctr Insect Physiol &amp; Ecol, Nairobi, Kenya; [Nkya, Theresia] Univ Dar Es Salaam Mbeya, Coll Hlth &amp; Allied Sci, Dar Es Salaam, Tanzania; [Wenham, Clare] London Sch Econ &amp; Polit Sci LSE, Dept Hlth Policy, Houghton St, London WC2A 2AE, England</t>
  </si>
  <si>
    <t>University of London; London School Economics &amp; Political Science; Fundacao Oswaldo Cruz; International Centre of Insect Physiology &amp; Ecology (ICIPE); University of London; London School Economics &amp; Political Science</t>
  </si>
  <si>
    <t>Wenham, C (corresponding author), London Sch Econ &amp; Polit Sci LSE, Dept Hlth Policy, Houghton St, London WC2A 2AE, England.</t>
  </si>
  <si>
    <t>a.i.de-menezes-silva@lse.ac.uk; ananunes14@gmail.com; pimentadn@gmail.com; gabriela.lotta@fgv.br; theresia.nkya@gmail.com; morgana.krieger@gmail.com; brunah.schall@gmail.com; c.wenham@lse.ac.uk</t>
  </si>
  <si>
    <t>lotta, gabriela/GZK-4851-2022</t>
  </si>
  <si>
    <t>FAPESP [2019/13439-7, 2019/24495-5]; CNPq [305180/2018-5]</t>
  </si>
  <si>
    <t>FAPESP(Fundacao de Amparo a Pesquisa do Estado de Sao Paulo (FAPESP)); CNPq(Conselho Nacional de Desenvolvimento Cientifico e Tecnologico (CNPQ))</t>
  </si>
  <si>
    <t>Gabriela Lotta thanks FAPESP for supporting the data collection (Processes 2019/13439-7, CEPID CEM and 2019/24495-5) . Lotta also thanks CNPq for the Research Productivity Scholarship (Process 305180/2018-5) .</t>
  </si>
  <si>
    <t>AMER SOC TROP MED &amp; HYGIENE</t>
  </si>
  <si>
    <t>MCLEAN</t>
  </si>
  <si>
    <t>8000 WESTPARK DR, STE 130, MCLEAN, VA 22101 USA</t>
  </si>
  <si>
    <t>0002-9637</t>
  </si>
  <si>
    <t>1476-1645</t>
  </si>
  <si>
    <t>AM J TROP MED HYG</t>
  </si>
  <si>
    <t>Am. J. Trop. Med. Hyg.</t>
  </si>
  <si>
    <t>10.4269/ajtmh.21-0619</t>
  </si>
  <si>
    <t>Public, Environmental &amp; Occupational Health; Tropical Medicine</t>
  </si>
  <si>
    <t>1M9DU</t>
  </si>
  <si>
    <t>WOS:000800266500008</t>
  </si>
  <si>
    <t>Azer, J; Alexander, M</t>
  </si>
  <si>
    <t>Azer, Jaylan; Alexander, Matthew</t>
  </si>
  <si>
    <t>COVID-19 vaccination: engagement behavior patterns and implications for public health service communication</t>
  </si>
  <si>
    <t>JOURNAL OF SERVICE THEORY AND PRACTICE</t>
  </si>
  <si>
    <t>COVID-19; Crisis communication; Engagement behavior; Netnography; Public health; Quantitative text analysis; Services; Social media; Thematic analysis; Vaccination; Vaccine attitudes</t>
  </si>
  <si>
    <t>VALUE CO-CREATION; CUSTOMER ENGAGEMENT; SOCIAL MEDIA; ACTOR ENGAGEMENT; BRAND ENGAGEMENT; HESITANCY; CONSUMERS; EMOTIONS; CONCEPTUALIZATION; SKEPTICISM</t>
  </si>
  <si>
    <t>Purpose COVID-19 vaccinations face a backdrop of widespread mistrust in their safety and effectiveness, specifically via social media platforms which constitute major barriers for the public health sector to manage COVID-19 (and future) pandemics. This study provides a more nuanced understanding of the public's engagement behavior toward COVID-19 vaccinations. Design/methodology/approach Using Netnography, this study explores the public's interactions with vaccine communications by the WHO via Facebook. From WHO posts about the COVID-19 vaccination 23,726 public comments on Facebook were extracted and analyzed. Findings Building on crisis communication, health and engagement literature, this paper identifies and conceptualizes seven patterns of engagement behavior toward the COVID-19 vaccination and develops the first framework of relationships between these patterns and the extant vaccine attitudes: vaccine acceptance, hesitancy and refusal. Practical implications This paper helps policymakers identify and adapt interventions that increase vaccine confidence and tailor public health services communications accordingly. Originality/value This research offers the first typology of patterns of engagement behavior toward COVID-19 vaccinations and develops a framework of relationships between these patterns and the existing understanding in health literature. Finally, the study provides data-driven communication recommendations to public health service organizations.</t>
  </si>
  <si>
    <t>[Azer, Jaylan] Univ Glasgow, Adam Smith Business Sch, Dept Management, Glasgow, Lanark, Scotland; [Alexander, Matthew] Univ Strathclyde, Strathclyde Business Sch, Dept Mkt, Glasgow, Lanark, Scotland</t>
  </si>
  <si>
    <t>University of Glasgow; University of Strathclyde</t>
  </si>
  <si>
    <t>Azer, J (corresponding author), Univ Glasgow, Adam Smith Business Sch, Dept Management, Glasgow, Lanark, Scotland.</t>
  </si>
  <si>
    <t>Jaylan.Azer@Glasgow.ac.uk</t>
  </si>
  <si>
    <t>; Alexander, Matthew/K-7668-2016</t>
  </si>
  <si>
    <t>Azer, Jaylan/0000-0002-1847-3178; Alexander, Matthew/0000-0003-3770-8056</t>
  </si>
  <si>
    <t>2055-6225</t>
  </si>
  <si>
    <t>J SERV THEOR PRACT</t>
  </si>
  <si>
    <t>J. Serv. Theory Pract.</t>
  </si>
  <si>
    <t>MAR 9</t>
  </si>
  <si>
    <t>10.1108/JSTP-08-2021-0184</t>
  </si>
  <si>
    <t>ZS2BF</t>
  </si>
  <si>
    <t>WOS:000761563900001</t>
  </si>
  <si>
    <t>Brave rebels stay home: Assessing the effect of intra-party ideological heterogeneity and party whip on roll-call votes</t>
  </si>
  <si>
    <t>Administering discipline; content analysis; Italy; legislative cohesion; party factionalism</t>
  </si>
  <si>
    <t>CANDIDATE SELECTION; EUROPEAN-PARLIAMENT; COHESION; UNITY; INSTITUTIONS; DISCIPLINE; POSITION; BEHAVIOR; MODELS; LOGIT</t>
  </si>
  <si>
    <t>Sanctions and homogeneity of intra-party preferences are the two main pathways to party unity in roll-call votes. However, only a few works have managed to properly measure the degree of polarization within the party, and therefore the link between ideological preferences and parliamentary voting behaviour has not yet been fully tested. Looking at the internal debates held during party congresses and analysing motions presented by party factions through quantitative text analysis, the present article provides a new measure of intra-party polarization that is exogenous to the parliamentary arena. This measure is used to disentangle the effect of ideological heterogeneity on MPs voting behaviour, net of the party whip. Our results show that factional heterogeneity negatively affects party unity. This effect, however, is conditional on the strength of whipping resources available to the party leader. When the electoral system or the intra-party candidate selection process allows strong discipline to be enforced, the negative effect of heterogeneous preferences on party unity is lower or no longer significant. However, since absences can be a strategy by which to express dissent while avoiding sanctions, they should be considered as an additional voting option and this is crucial to understanding the impact of intra-party heterogeneity on party unity.</t>
  </si>
  <si>
    <t>[Ceron, Andrea] Univ Milan, Dept Social &amp; Polit Sci, I-20122 Milan, Italy</t>
  </si>
  <si>
    <t>Ceron, A (corresponding author), Univ Milan, Via Pass 13, I-20122 Milan, Italy.</t>
  </si>
  <si>
    <t>Italian Ministry for Research and Higher Education, Prin [prot. 2009TPW4NL_002]</t>
  </si>
  <si>
    <t>Italian Ministry for Research and Higher Education, Prin</t>
  </si>
  <si>
    <t>The author's work was supported by the Italian Ministry for Research and Higher Education, Prin 2009, prot. 2009TPW4NL_002.</t>
  </si>
  <si>
    <t>10.1177/1354068812472581</t>
  </si>
  <si>
    <t>CC6RH</t>
  </si>
  <si>
    <t>WOS:000350494400007</t>
  </si>
  <si>
    <t>Rodina, E; Dligach, D</t>
  </si>
  <si>
    <t>Rodina, Elena; Dligach, Dmitriy</t>
  </si>
  <si>
    <t>Dictator's Instagram: personal and political narratives in a Chechen leader's social network</t>
  </si>
  <si>
    <t>CAUCASUS SURVEY</t>
  </si>
  <si>
    <t>Russia; Chechnya; Instagram; social networks; topic modelling; digital dictatorship; Kadyrov; quantitative text analysis; post-Soviet; North Caucasus</t>
  </si>
  <si>
    <t>The purpose of this study is to explore how social networks, Instagram in particular, can be utilized by an autocrat in order to construct and promote the image of a charismatic leader. To do so, we conduct a topic modelling of 6854 Instagram posts made by Ramzan Kadyrov, the dictatorial head of the autonomous Chechen Republic in the Russian Federation. We then analyze the verbal framing of 24 dominant topics. The study concludes that the main rhetorical device that Kadyrov employs is a merging of personal and political themes throughout his posts. He personalizes political discussion by discussing public interest topics through the prism of his own personal life, and inserts political discourse into personal, intimate posts about his family, pastimes, and friends. The study shows that this tactic, often understood by media researchers as an oppositional device for harnessing popular support against an autocratic state, can be just as successfully employed by an autocratic leader. Kadyrov, who in his Instagram combines the tactics of a populist politician and an internet celebrity, has shaped a personality that can be best described as a flirting populist (Vezjak, Boris. 2018. Dobro zmaguje: predsednik kot krscanski populist. In Media Res (personal blog), https://vezjak.com/2018/01/02/dobro-zmaguje-predsednik-kot-krscanski-populist/), which, as we suggest, is a new, online technology-enhanced type of a political figure.</t>
  </si>
  <si>
    <t>[Rodina, Elena] Northwestern Univ, Media Technol &amp; Soc, Evanston, IL 60208 USA; [Dligach, Dmitriy] Loyola Univ, Dept Comp Sci, Chicago, IL 60611 USA</t>
  </si>
  <si>
    <t>Northwestern University; Loyola University Chicago</t>
  </si>
  <si>
    <t>Rodina, E (corresponding author), Northwestern Univ, Media Technol &amp; Soc, Evanston, IL 60208 USA.</t>
  </si>
  <si>
    <t>rodina@u.northwestern.edu</t>
  </si>
  <si>
    <t>2376-1199</t>
  </si>
  <si>
    <t>2376-1202</t>
  </si>
  <si>
    <t>CAUCASUS SURV</t>
  </si>
  <si>
    <t>Caucasus Surv.</t>
  </si>
  <si>
    <t>10.1080/23761199.2019.1567145</t>
  </si>
  <si>
    <t>VK2HQ</t>
  </si>
  <si>
    <t>WOS:000667220200001</t>
  </si>
  <si>
    <t>Reber, U; Fischer, M; Ingold, K; Kienast, F; Hersperger, AM; Grutter, R; Benz, R</t>
  </si>
  <si>
    <t>Reber, Ueli; Fischer, Manuel; Ingold, Karin; Kienast, Felix; Hersperger, Anna M.; Gruetter, Rolf; Benz, Robin</t>
  </si>
  <si>
    <t>Integrating biodiversity: a longitudinal and cross-sectoral analysis of Swiss politics</t>
  </si>
  <si>
    <t>POLICY SCIENCES</t>
  </si>
  <si>
    <t>Policy integration; Mainstreaming; Biodiversity; Issue attention; Quantitative text analysis</t>
  </si>
  <si>
    <t>ENVIRONMENTAL-POLICY INTEGRATION; MAINSTREAMING CLIMATE ADAPTATION; ANALYTICAL FRAMEWORK; ISSUE-ATTENTION; GOVERNMENT; COHERENCE; TRANSLATION; DYNAMICS; LESSONS; REGIMES</t>
  </si>
  <si>
    <t>The effective conservation and promotion of biodiversity requires its integration into a wide range of sectoral policies. For this to happen, the issue must receive attention across policy sectors. Yet, we know little about how attention to the issue evolves over time and across sectors. Drawing from the literature on environmental policy integration/mainstreaming and policy process theories, we develop competing hypotheses, expecting either increasing or fluctuating attention to the biodiversity issue. We tested the hypotheses using the case of Swiss politics between 1999 and 2018. Applying a combination of computational methods, we analyze the content of a comprehensive collection of policy documents (n approximate to 440,000) attributed to 20 policy sectors. Comparing the sectors, we find that (1) a persistent increase in attention is the exception, (2) if there is an increase in attention, it is likely to be temporary, and (3) the most common pattern is that of invariant attention over time. Biodiversity integration-if it does happen at all-tends to occur in cycles rather than in steady long-term shifts. This implies that the conservation of biodiversity does not follow the cross-sectoral nature of the problem, but is subject to the dynamics of politics, where actors, because of limited resources, engage with (aspects of) an issue only for a certain amount of time.</t>
  </si>
  <si>
    <t>[Reber, Ueli; Kienast, Felix; Hersperger, Anna M.; Gruetter, Rolf; Benz, Robin] Swiss Fed Inst Forest Snow &amp; Landscape Res WSL, Birmensdorf, Switzerland; [Reber, Ueli; Fischer, Manuel; Ingold, Karin] Swiss Fed Inst Aquat Sci &amp; Technol Eawag, Dubendorf, Switzerland; [Fischer, Manuel; Ingold, Karin; Benz, Robin] Univ Bern, Bern, Switzerland</t>
  </si>
  <si>
    <t>Swiss Federal Institutes of Technology Domain; Swiss Federal Institute for Forest, Snow &amp; Landscape Research; Swiss Federal Institutes of Technology Domain; Swiss Federal Institute of Aquatic Science &amp; Technology (EAWAG); University of Bern</t>
  </si>
  <si>
    <t>Reber, U (corresponding author), Swiss Fed Inst Forest Snow &amp; Landscape Res WSL, Birmensdorf, Switzerland.</t>
  </si>
  <si>
    <t>ueli.reber@eawag.ch</t>
  </si>
  <si>
    <t>Kienast, Felix/L-3536-2013; Hersperger, Anna/L-3037-2013</t>
  </si>
  <si>
    <t>Kienast, Felix/0000-0002-3812-3124; Benz, Robin/0000-0002-3930-0217; Fischer, Manuel/0000-0003-3065-0891; Hersperger, Anna/0000-0001-5407-533X</t>
  </si>
  <si>
    <t>Lib4RI - Library for the Research Institutes within the ETH Domain: Eawag; ETH Board through the Blue-Green Biodiversity (BGB) Research Initiative 2020; Empa; PSI; WSL</t>
  </si>
  <si>
    <t>Open Access funding provided by Lib4RI - Library for the Research Institutes within the ETH Domain: Eawag, Empa, PSI &amp; WSL. This work was supported by the ETH Board through the Blue-Green Biodiversity (BGB) Research Initiative 2020.</t>
  </si>
  <si>
    <t>0032-2687</t>
  </si>
  <si>
    <t>1573-0891</t>
  </si>
  <si>
    <t>POLICY SCI</t>
  </si>
  <si>
    <t>Policy Sci.</t>
  </si>
  <si>
    <t>10.1007/s11077-022-09456-4</t>
  </si>
  <si>
    <t>Public Administration; Social Sciences, Interdisciplinary</t>
  </si>
  <si>
    <t>Public Administration; Social Sciences - Other Topics</t>
  </si>
  <si>
    <t>1O2HX</t>
  </si>
  <si>
    <t>WOS:000778055100001</t>
  </si>
  <si>
    <t>Windsor, L; Dowell, N; Windsor, A; Kaltner, J</t>
  </si>
  <si>
    <t>Windsor, Leah; Dowell, Nia; Windsor, Alistair; Kaltner, John</t>
  </si>
  <si>
    <t>Leader Language and Political Survival Strategies</t>
  </si>
  <si>
    <t>Arab Spring; discourse; leader survival</t>
  </si>
  <si>
    <t>Authoritarian leaders' language provides clues to their survival strategies for remaining in office. This line of inquiry fits within an emerging literature that refocuses attention from state-level features to the dynamic role that individual heads of state and government play in international relations, especially in authoritarian regimes. The burgeoning text-as-data field can be used to deepen our understanding of the nuances of leader survival and political choices; for example, language can serve as a leading indicator of leader approval, which itself is a good predictor of leader survival. In this paper, we apply computational linguistics tools to an authoritarian leader corpus consisting of 102 speeches from nine leaders of countries across the Middle East and North Africa between 2009 and 2012. We find systematic differences in the language of these leaders, which help advance a more broadly applicable theory of authoritarian leader language and tenure.</t>
  </si>
  <si>
    <t>[Windsor, Leah; Windsor, Alistair] Univ Memphis, Memphis, TN 38152 USA; [Dowell, Nia] Univ Michigan, Ann Arbor, MI 48109 USA; [Kaltner, John] Rhodes Coll, Memphis, TN 38112 USA</t>
  </si>
  <si>
    <t>University of Memphis; University of Michigan System; University of Michigan</t>
  </si>
  <si>
    <t>Windsor, L (corresponding author), Univ Memphis, Memphis, TN 38152 USA.</t>
  </si>
  <si>
    <t>Leah.Windsor@Memphis.edu</t>
  </si>
  <si>
    <t>Windsor, Leah/AAC-3255-2019; Dowell, Nia/AAQ-2973-2020</t>
  </si>
  <si>
    <t>Windsor, Leah/0000-0002-4311-1320; Dowell, Nia/0000-0002-9839-8947</t>
  </si>
  <si>
    <t>10.1080/03050629.2017.1345737</t>
  </si>
  <si>
    <t>FX0AJ</t>
  </si>
  <si>
    <t>WOS:000425699400006</t>
  </si>
  <si>
    <t>Boumans, J</t>
  </si>
  <si>
    <t>Boumans, Jelle</t>
  </si>
  <si>
    <t>SUBSIDIZING THE NEWS? Organizational press releases' influence on news media's agenda and content</t>
  </si>
  <si>
    <t>agenda building; automated content analysis; churnalism; information subsidies; news agency; news production; political economy; press releases</t>
  </si>
  <si>
    <t>PUBLIC-RELATIONS; CIVIL-SOCIETY; JOURNALISTS; COMMUNICATION; ACCESS; SPHERE; IMPACT; COPY</t>
  </si>
  <si>
    <t>The relation between organizational press releases and newspaper content has generated considerable attention. Yet longitudinal evidence that can substantiate claims of media's increased reliance on this subsidized content is scarce, and equally scarce is literature about the reliance of the news agency-a key factor in the news production process-on this content. Applying an automated content-analytical approach, this study assesses the impact of 4455 press releases on Dutch newspaper and news agency content over a period of 10 years. A distinction is made between source type (non-governmental organization or corporation) and newspaper type (quality, popular and free). Two indications of source reliance are proposed: first, the extent to which news articles are initiated by a press release, and second the extent to which the literal press release content is reproduced. Findings indicate that 1 in every 10 newspaper article is initiated by a press release; for the agency this is slightly higher. A routine of churnalism-copy-pasting of press releases-has been found for neither the agency nor the newspapers. These findings, combined with the fact that the reliance remains stable over time, call for a more nuanced perspective on journalists' dependency on organizational press releases.</t>
  </si>
  <si>
    <t>[Boumans, Jelle] Univ Amsterdam, Commun Sci, Amsterdam, Netherlands</t>
  </si>
  <si>
    <t>Boumans, J (corresponding author), Univ Amsterdam, Commun Sci, Amsterdam, Netherlands.</t>
  </si>
  <si>
    <t>J.W.Boumans@uva.nl</t>
  </si>
  <si>
    <t>10.1080/1461670X.2017.1338154</t>
  </si>
  <si>
    <t>GX4NL</t>
  </si>
  <si>
    <t>WOS:000447710800005</t>
  </si>
  <si>
    <t>Hunger, S; Paxton, F</t>
  </si>
  <si>
    <t>Hunger, Sophia; Paxton, Fred</t>
  </si>
  <si>
    <t>What's in a buzzword? A systematic review of the state of populism research in political science</t>
  </si>
  <si>
    <t>Text and content analysis; populism; host ideology; radical right; radical left; meta-analysis</t>
  </si>
  <si>
    <t>RADICAL RIGHT; DISCOURSE; DEMOCRACY; CONFLICT; PARTIES; ALWAYS; STYLE; TEXT</t>
  </si>
  <si>
    <t>Although attention to populism is ever-increasing, the concept remains contested. This paper provides a comprehensive overview of populism research and identifies tendencies to a conflation of host ideologies and populism in political science through a two-step analysis. First, we conduct a quantitative review of 884 abstracts from 2004 to 2018 using text-as-data methods. We show that scholars sit at separate tables, divided by geographical foci, methods, and host ideologies. Next, our qualitative analysis of 50 articles finds a common conflation of populism with other ideologies, resulting in the analytical neglect of the former. We, therefore, urge researchers to properly distinguish populism from what it travels with and engage more strongly with the dynamic interlinkages between thin and thick ideologies.</t>
  </si>
  <si>
    <t>[Hunger, Sophia] WZB, Ctr Civil Soc Res, Berlin, Germany; [Paxton, Fred] European Univ Inst, Dept Social &amp; Polit Sci, Fiesole, Italy</t>
  </si>
  <si>
    <t>European University Institute</t>
  </si>
  <si>
    <t>Hunger, S (corresponding author), WZB, Ctr Civil Soc Res, Berlin, Germany.</t>
  </si>
  <si>
    <t>sophia.hunger@wzb.eu</t>
  </si>
  <si>
    <t>Hunger, Sophia/ABF-9781-2020</t>
  </si>
  <si>
    <t>Hunger, Sophia/0000-0002-3859-5674; Paxton, Fred/0000-0001-5635-8448</t>
  </si>
  <si>
    <t>10.1017/psrm.2021.44</t>
  </si>
  <si>
    <t>2C1QB</t>
  </si>
  <si>
    <t>WOS:000792228600001</t>
  </si>
  <si>
    <t>Ringer, C; Nicolaou, MA</t>
  </si>
  <si>
    <t>Ringer, Charles; Nicolaou, Mihalis A.</t>
  </si>
  <si>
    <t>Streaming Behaviour: Livestreaming as a Paradigm for Analysis of Emotional and Social Signals</t>
  </si>
  <si>
    <t>2019 8TH INTERNATIONAL CONFERENCE ON AFFECTIVE COMPUTING AND INTELLIGENT INTERACTION WORKSHOPS AND DEMOS (ACIIW)</t>
  </si>
  <si>
    <t>8th International Conference on Affective Computing and Intelligent Interaction (ACII)</t>
  </si>
  <si>
    <t>SEP 03-06, 2019</t>
  </si>
  <si>
    <t>Cambridge, ENGLAND</t>
  </si>
  <si>
    <t>We argue that video game livestreams constitute an invaluable paradigm towards building multi-view, data-driven models of human behaviour. The interactive setting under which a stream operates is enriched with social signals, conveyed between streamers and viewers via facial expressions, body movement, vocal cues, as well as written language. We consider the data sources involved in a typical broadcast (e.g., camera stream, game footage, text) as data-views that carry inherent correlations, since they all describe events occurring during a stream. We argue that this unique interactive setting facilitates the joint, multi-view analysis of human behaviour in groups, utilizing the various heterogeneous data sources involved in a coherent and self-contained manner. We elaborate on the emergence of social signals in this setting, while discussing close links and potential research directions related to areas such as affective computing, machine learning, computer vision and intelligent game design.</t>
  </si>
  <si>
    <t>[Ringer, Charles] Goldsmiths Univ London, Dept Comp, London, England; [Nicolaou, Mihalis A.] Cyprus Inst, Computat Based Sci &amp; Technol Res Ctr, Aglandjia, Cyprus</t>
  </si>
  <si>
    <t>University of London; Goldsmiths University London</t>
  </si>
  <si>
    <t>Ringer, C (corresponding author), Goldsmiths Univ London, Dept Comp, London, England.</t>
  </si>
  <si>
    <t>978-1-7281-3891-6</t>
  </si>
  <si>
    <t>Computer Science, Artificial Intelligence; Computer Science, Cybernetics; Computer Science, Information Systems; Computer Science, Interdisciplinary Applications</t>
  </si>
  <si>
    <t>BT0ZF</t>
  </si>
  <si>
    <t>WOS:000794297900038</t>
  </si>
  <si>
    <t>Alschner, W; Skougarevskiy, D</t>
  </si>
  <si>
    <t>Rotolo, A</t>
  </si>
  <si>
    <t>Alschner, Wolfgang; Skougarevskiy, Dmitriy</t>
  </si>
  <si>
    <t>Treaty Texts as Data - Developing New Tools for Negotiators and Litigators to Compare Bilateral Investment Treaties</t>
  </si>
  <si>
    <t>28th Annual International Conference on Legal Knowledge and Information Systems (JURIX)</t>
  </si>
  <si>
    <t>DEC 10-11, 2015</t>
  </si>
  <si>
    <t>Univ Minho Law Sch, Braga, PORTUGAL</t>
  </si>
  <si>
    <t>Dutch Fdn Legal Knowledge Syst</t>
  </si>
  <si>
    <t>Univ Minho Law Sch</t>
  </si>
  <si>
    <t>Bilateral investment treaties; international arbitration; text-as-data; q-grams; Jaccard distance</t>
  </si>
  <si>
    <t>Close to 3000 bilateral investment agreements (BITs) have been concluded by 2015 and virtually every country is a signatory. What makes these treaties special is their enforcement mechanism: private investors can sue states directly before international arbitration potentially winning multi-million dollar awards. Given its size and atomized nature, however, practitioners struggle to effectively navigate the BIT universe. To reduce investment law's complexity, this demo introduces a new interactive web-based tool that relies on state-of-the-art technology to allow users to asses similarities and differences between agreements quickly and intuitively. The tool thereby assists investment law practitioners in structuring negotiations around a common denominator in treaty practice or helps litigators to advance their client's case by distinguishing or analogizing treaties.</t>
  </si>
  <si>
    <t>[Alschner, Wolfgang] Grad Inst Int &amp; Dev Studies, Int Law, Geneva, Switzerland; [Alschner, Wolfgang] World Trade Inst, Bern, Switzerland; [Skougarevskiy, Dmitriy] Grad Inst Int &amp; Dev Studies, Int Econ, Geneva, Switzerland; [Skougarevskiy, Dmitriy] European Univ St Petersburg, St Petersburg, Russia</t>
  </si>
  <si>
    <t>European University at Saint Petersburg</t>
  </si>
  <si>
    <t>Alschner, W (corresponding author), Grad Inst Int &amp; Dev Studies IHEID, CTEI, Chemin Eugene Rigot 2, Geneva, Switzerland.</t>
  </si>
  <si>
    <t>wolfgang.alschner@graduateinstitute.ch</t>
  </si>
  <si>
    <t>978-1-61499-609-5; 978-1-61499-608-8</t>
  </si>
  <si>
    <t>10.3233/978-1-61499-609-5-141</t>
  </si>
  <si>
    <t>Computer Science, Artificial Intelligence; Computer Science, Information Systems; Computer Science, Interdisciplinary Applications; Information Science &amp; Library Science; Law</t>
  </si>
  <si>
    <t>BL0PH</t>
  </si>
  <si>
    <t>WOS:000446303300015</t>
  </si>
  <si>
    <t>Vallee-Dubois, F; Godbout, JF; Cochrane, C</t>
  </si>
  <si>
    <t>Vallee-Dubois, Florence; Godbout, Jean-Francois; Cochrane, Christopher</t>
  </si>
  <si>
    <t>Parliamentary Debates in Canada (1901-2015)</t>
  </si>
  <si>
    <t>CANADIAN JOURNAL OF POLITICAL SCIENCE-REVUE CANADIENNE DE SCIENCE POLITIQUE</t>
  </si>
  <si>
    <t>legislative speech; parliamentary procedures; text-as-data; structural topic modelling</t>
  </si>
  <si>
    <t>R-PACKAGE; OPPOSITION; GOVERNMENT; POSITIONS; REFORM; MODEL; VOTE; TIME</t>
  </si>
  <si>
    <t>This article analyzes the effect of procedural rule change on the dynamics of parliamentary speeches in the Canadian House of Commons between 1901 and 2015. During this period, several new rules were introduced to reduce the opportunities for private members to speak during the debates so that the government could get its business done within an acceptable amount of time. Our analysis looks at the impact of these rule changes on the content and orientation of all individual speeches made by members of Parliament. The results indicate that parliamentary rules had an important effect on the topic and duration of debates. Our findings also confirm that procedural changes contributed to a heightening of partisan polarization in the Canadian Parliament over time and disproportionately reduced the influence of government backbenchers in the legislative process.</t>
  </si>
  <si>
    <t>[Vallee-Dubois, Florence; Godbout, Jean-Francois] Univ Montreal, Dept Sci Polit, Pavillon Lionel Groulx,CP 6128, Montreal, PQ H3C 3J7, Canada; [Cochrane, Christopher] Univ Toronto, Dept Polit Sci, 1265 Mil Trail,Highland Hall, Scarborough, ON M1C 1A4, Canada</t>
  </si>
  <si>
    <t>Universite de Montreal; University of Toronto</t>
  </si>
  <si>
    <t>Vallee-Dubois, F (corresponding author), Univ Montreal, Dept Sci Polit, Pavillon Lionel Groulx,CP 6128, Montreal, PQ H3C 3J7, Canada.</t>
  </si>
  <si>
    <t>florence.vallee-dubois@umontreal.ca</t>
  </si>
  <si>
    <t>Vallee-Dubois, Florence/0000-0001-5733-2004; Cochrane, Christopher/0000-0002-0110-5395</t>
  </si>
  <si>
    <t>0008-4239</t>
  </si>
  <si>
    <t>1744-9324</t>
  </si>
  <si>
    <t>CAN J POLIT SCI</t>
  </si>
  <si>
    <t>Can. J. Polit. Sci.-Rev. Can. Sci. Polit.</t>
  </si>
  <si>
    <t>PII S0008423921000718</t>
  </si>
  <si>
    <t>10.1017/S0008423921000718</t>
  </si>
  <si>
    <t>YN0BO</t>
  </si>
  <si>
    <t>WOS:000746933400004</t>
  </si>
  <si>
    <t>Shaffer, R</t>
  </si>
  <si>
    <t>Shaffer, Robert</t>
  </si>
  <si>
    <t>Cognitive load and issue engagement in congressional discourse</t>
  </si>
  <si>
    <t>COGNITIVE SYSTEMS RESEARCH</t>
  </si>
  <si>
    <t>Text-as-data; Public policy; Congress; Financial crisis</t>
  </si>
  <si>
    <t>PSYCHOLOGY</t>
  </si>
  <si>
    <t>Like all human actors, politicians possess limited cognitive capacity. In ordinary interactions, this limitation discourages political decision-makers from addressing high-dimensional policy problems unless incentivized to do so by exogenous focusing events. Public policy researchers have documented this pattern extensively, and have argued that cognitive constraints help explain the stick-slip dynamics that characterize macro-level policymaking. However, data and measurement limitations have prevented these studies from examining individual-level information processing patterns. In this paper, I develop a text-based approach designed to measure diversity of attention at an individual level, which I apply to an original dataset of Congressional hearing transcripts surrounding the 2008-2009 Financial Crisis. I find that individual speakers engaged with a more diverse set of topics during the crisis than before its onset, and became more focused as the crisis subsided. (C) 2017 Elsevier B.V. All rights reserved.</t>
  </si>
  <si>
    <t>[Shaffer, Robert] Univ Texas Austin, 158 W 21st ST,STOP A1800,Batts Hall 2-116, Austin, TX 78712 USA</t>
  </si>
  <si>
    <t>Shaffer, R (corresponding author), Univ Texas Austin, 158 W 21st ST,STOP A1800,Batts Hall 2-116, Austin, TX 78712 USA.</t>
  </si>
  <si>
    <t>rbshaffer@utexas.edu</t>
  </si>
  <si>
    <t>1389-0417</t>
  </si>
  <si>
    <t>COGN SYST RES</t>
  </si>
  <si>
    <t>Cogn. Syst. Res.</t>
  </si>
  <si>
    <t>10.1016/j.cogsys.2017.03.006</t>
  </si>
  <si>
    <t>Computer Science, Artificial Intelligence; Neurosciences; Psychology, Experimental</t>
  </si>
  <si>
    <t>Computer Science; Neurosciences &amp; Neurology; Psychology</t>
  </si>
  <si>
    <t>FB7LP</t>
  </si>
  <si>
    <t>WOS:000406322400007</t>
  </si>
  <si>
    <t>Workman, S; Carlson, D; Bark, T; Bell, E</t>
  </si>
  <si>
    <t>Workman, Samuel; Carlson, Deven; Bark, Tracey; Bell, Elizabeth</t>
  </si>
  <si>
    <t>Measuring interest group agendas in regulatory proposals: a method and the case of US education policy</t>
  </si>
  <si>
    <t>Interest groups; Agenda-setting; Regulatory policy; Education; Measurement; Issue attention</t>
  </si>
  <si>
    <t>HETEROGENEITY; COALITIONS</t>
  </si>
  <si>
    <t>We introduce a new way to measure interest group agendas and demonstrate an approach to extending the CAP topic coding scheme to policy domains at lower levels of analysis. We use public comments on regulatory proposals in US education policy to examine the topics contained in policy arguments. We map the education policy space using a data set of 493 comments and 5315 hand-coded comment paragraphs. A unique measurement model accounts for group and topic diversity and allows us to validate our approach. The findings have implications for measuring topic agendas in lower-level policy domains and understanding group coalitions and competition in education policy. We contribute to text-as-data approaches tracing policy change in the study of public policy. The findings suggest the relationship between issue attention observed by scholars and larger policy reform movements.</t>
  </si>
  <si>
    <t>[Workman, Samuel; Carlson, Deven] Univ Oklahoma, Dept Polit Sci, Dale Hall Tower Room 205,455 W Lindsey, Norman, OK 73019 USA; [Bark, Tracey] Auburn Univ, Dept Polit Sci &amp; Publ Adm, POB 244023, Montgomery, AL 36124 USA; [Bell, Elizabeth] Florida State Univ, Askew Sch Publ Adm &amp; Policy, 113 Collegiate Loop,POB 3062250, Tallahassee, FL 32306 USA</t>
  </si>
  <si>
    <t>University of Oklahoma System; University of Oklahoma - Norman; Auburn University System; Auburn University; State University System of Florida; Florida State University</t>
  </si>
  <si>
    <t>Workman, S (corresponding author), Univ Oklahoma, Dept Polit Sci, Dale Hall Tower Room 205,455 W Lindsey, Norman, OK 73019 USA.</t>
  </si>
  <si>
    <t>samuel.workman@gmail.com</t>
  </si>
  <si>
    <t>Bark, Tracey/0000-0002-2382-7241; Workman, Samuel/0000-0002-3924-2694</t>
  </si>
  <si>
    <t>10.1057/s41309-021-00129-w</t>
  </si>
  <si>
    <t>ZO5KW</t>
  </si>
  <si>
    <t>WOS:000681146400001</t>
  </si>
  <si>
    <t>Rahmah, A; Santoso, HB; Hasibuan, ZA</t>
  </si>
  <si>
    <t>Rahmah, Amalia; Santoso, Harry B.; Hasibuan, Zainal A.</t>
  </si>
  <si>
    <t>Critical Review of Technology-Enhanced Learning using Automatic Content Analysis Case Study of TEL Maturity Assessment Formulation</t>
  </si>
  <si>
    <t>INTERNATIONAL JOURNAL OF ADVANCED COMPUTER SCIENCE AND APPLICATIONS</t>
  </si>
  <si>
    <t>Automatic content analysis; ACA; assessment questionnaire; concept; facet analysis; key terms; Leximancer; systematic literature review; SLR; technology-enhanced learning; TEL; text analysis; theme</t>
  </si>
  <si>
    <t>SOFTWARE</t>
  </si>
  <si>
    <t>Technology learning (TEL) continues to grow gradually while considering a multitude of factors, which underpins the need to develop a TEL maturity assessment as a guideline for this gradual improvement. This study investigates the potential application of TEL's expert knowledge presented in various research articles as qualitative data for developing assessment questionnaires. A mixed-method approach is applied to analyze the qualitative data using systematic literature review (SLR) with automated content analysis (ACA) as quantitative data processing to strengthen the trustworthiness of the findings and reduce researcher bias. This process is carried out six steps: conducting SLR, data processing with ACA using Leximancer, organizing resulting concepts with facet analysis, contextualizing each TEL facet, constructing the assessment questionnaire for each context, and establishing TEL maturity dimensions. This study generates 64 questionnaire statements grouped according to the target respondents, namely students, teachers, or institutions. This set of questions is also grouped into dimensions representing aligned context: student performance, learning process, applied technology, contents, accessibility, teachers and teachings, strategy and regulation. Further research is required to distribute this questionnaire for pilot respondents to design the improvement roadmap and check data patterns to formulate maturity appraisals and scoring methods.</t>
  </si>
  <si>
    <t>[Rahmah, Amalia; Santoso, Harry B.] Univ Indonesia, Fac Comp Sci, Depok, Indonesia; [Hasibuan, Zainal A.] Univ Dian Nuswantoro, Fac Comp Sci, Semarang, Indonesia</t>
  </si>
  <si>
    <t>University of Indonesia; Dian Nuswantoro University</t>
  </si>
  <si>
    <t>Rahmah, A (corresponding author), Univ Indonesia, Fac Comp Sci, Depok, Indonesia.</t>
  </si>
  <si>
    <t>Universitas Indonesia through Pendampingan Publikasi Internasional Q2 (PPI Q2) [NKB-550/UN2.RST/HKP.05.00/2021]</t>
  </si>
  <si>
    <t>Universitas Indonesia through Pendampingan Publikasi Internasional Q2 (PPI Q2)</t>
  </si>
  <si>
    <t>This work is funded by Universitas Indonesia through Pendampingan Publikasi Internasional Q2 (PPI Q2), Grant No. NKB-550/UN2.RST/HKP.05.00/2021.</t>
  </si>
  <si>
    <t>SCIENCE &amp; INFORMATION SAI ORGANIZATION LTD</t>
  </si>
  <si>
    <t>WEST YORKSHIRE</t>
  </si>
  <si>
    <t>19 BOLLING RD, BRADFORD, WEST YORKSHIRE, 00000, ENGLAND</t>
  </si>
  <si>
    <t>2158-107X</t>
  </si>
  <si>
    <t>2156-5570</t>
  </si>
  <si>
    <t>INT J ADV COMPUT SC</t>
  </si>
  <si>
    <t>Int. J. Adv. Comput. Sci. Appl.</t>
  </si>
  <si>
    <t>YY3QC</t>
  </si>
  <si>
    <t>WOS:000754704400001</t>
  </si>
  <si>
    <t>Kennard, A</t>
  </si>
  <si>
    <t>Kennard, Amanda</t>
  </si>
  <si>
    <t>Who Controls the Past: Far-Sighted Bargaining in International Regimes</t>
  </si>
  <si>
    <t>DISPUTE SETTLEMENT; TRADE AGREEMENTS; ACCESSION; INSTITUTIONS; POLITICS; DESIGN</t>
  </si>
  <si>
    <t>How do international regimes change over time? Regimes facilitate cooperation by linking together otherwise ad hoc negotiations. These linkages endogenize the status quo from which subsequent negotiations depart. I develop a theory of endogenous status quo within international regimes: prior outcomes implicitly define the status quo of new negotiations by acting as focal points and by creating inconsistency costs. I test observable implications of the theory in the context of the multilateral trade regime, focusing on new member accession negotiations. These negotiations attract interest from a surprising subset of World Trade Organization members, many with few observable trade ties or other economic incentives to participate. Nonetheless participation enables states to shape the emergent status quo strategically, with potentially far-reaching implications for future bargaining. I employ a text-as-data approach-together with a novel corpus of negotiating documents-finding consistent support for the theory and mechanisms.</t>
  </si>
  <si>
    <t>[Kennard, Amanda] Stanford Univ, Polit Sci, 1616 Jane Stanford Way,Encina Hall West,Room 100, Stanford, CA 94305 USA</t>
  </si>
  <si>
    <t>Kennard, A (corresponding author), Stanford Univ, Polit Sci, 1616 Jane Stanford Way,Encina Hall West,Room 100, Stanford, CA 94305 USA.</t>
  </si>
  <si>
    <t>amanda.kennard@stanford.edu</t>
  </si>
  <si>
    <t>10.1111/ajps.12747</t>
  </si>
  <si>
    <t>5Q5LU</t>
  </si>
  <si>
    <t>WOS:000873873800001</t>
  </si>
  <si>
    <t>Robinson, L; Schulz, J</t>
  </si>
  <si>
    <t>Robinson, Laura; Schulz, Jeremy</t>
  </si>
  <si>
    <t>New Avenues for Sociological Inquiry: Evolving Forms of Ethnographic Practice</t>
  </si>
  <si>
    <t>ethnography; internet; new media</t>
  </si>
  <si>
    <t>This work examines evolving forms of ethnographic practice generated in response to advances in mediated communication. It chronicles phases in the transformation of offline ethnography, beginning with pioneering virtual ethnographies concerned with identity work and deception. Subsequently, analysis illuminates cyberethnographic redefinitions of traditional methodological concerns including fieldwork, participant observation, and text as data. It concludes with an examination of current cyberethnographic practice. The work closes with the argument that the methodological adaptations made by ethnographers indicate the increasing salience of mediated communication in the social world. The research sheds light not only on issues connected to methodology but invites larger methodological and ethical questions that will grow ever more pressing as the information revolution continues to unfold. We suggest that just as ethnographic practice continues to benefit from its encounter with mediated communication, so will other forms of sociological practice be enriched from engagement with new media.</t>
  </si>
  <si>
    <t>[Robinson, Laura] Santa Clara Univ, Dept Sociol, Santa Clara, CA 95053 USA; [Schulz, Jeremy] Univ Calif Berkeley, Berkeley, CA 94720 USA</t>
  </si>
  <si>
    <t>Santa Clara University; University of California System; University of California Berkeley</t>
  </si>
  <si>
    <t>Robinson, L (corresponding author), Santa Clara Univ, Dept Sociol, 500 Camino Real, Santa Clara, CA 95053 USA.</t>
  </si>
  <si>
    <t>lrobinson@scu.edu; jmschulz@berkeley.edu</t>
  </si>
  <si>
    <t>10.1177/0038038509105415</t>
  </si>
  <si>
    <t>479SN</t>
  </si>
  <si>
    <t>WOS:000268681300005</t>
  </si>
  <si>
    <t>van Dalen, A; de Vreese, C; Albaek, E</t>
  </si>
  <si>
    <t>van Dalen, Arjen; de Vreese, Claes; Albaek, Erik</t>
  </si>
  <si>
    <t>Economic News Through the Magnifying Glass: How the media cover economic boom and bust</t>
  </si>
  <si>
    <t>automated content analysis; economic news; media hypes; monitorial citizen; negativity bias; surveillance function; tone; visibility</t>
  </si>
  <si>
    <t>TIME-SERIES ANALYSIS; CONSUMER CONFIDENCE; FINANCIAL-MARKETS; BAD-NEWS; EXPECTATIONS; IMPACT; BIAS; COMMUNICATION; INFORMATION; TELEVISION</t>
  </si>
  <si>
    <t>One of the normative functions of economic news is surveillance, making monitorial citizens aware of significant economic developments. In this light, it is important to look at the way economic news covers periods of recession and economic boom. Previous studies have focused on how the media cover monthly developments of the economy rather than how coverage varies over the course of the economic cycle. Based on parallels between self-reinforcing news waves or media hypes, on the one hand, and coverage of recession and economic boom, on the other, we argue that the media amplify periods of prolonged economic growth or contraction by making the economy more visible and reporting with an overly positive or negative tone. A time-series analysis of the relation between economic developments and the automatically coded tone and visibility of economic news in Danish newspapers (1996-2012) shows that the media functioned as a magnifying glass. During recession, the economy became more negative and visible than economic developments would predict. During economic boom, economic news became more positive, but not more visible. The media adjusted the tone downwards before the economy entered recession. These results are assessed in light of the surveillance function.</t>
  </si>
  <si>
    <t>[van Dalen, Arjen; Albaek, Erik] Univ Southern Denmark, Ctr Journalism, Odense, Denmark; [de Vreese, Claes] Univ Amsterdam, Amsterdam Sch Commun Res ASCoR, Amsterdam, Netherlands</t>
  </si>
  <si>
    <t>van Dalen, A (corresponding author), Univ Southern Denmark, Ctr Journalism, Odense, Denmark.</t>
  </si>
  <si>
    <t>avd@sam.sdu.dk; c.h.devreese@uva.nl; eri@sam.sdu.dk</t>
  </si>
  <si>
    <t>The study was funded by the independent research foundation of VELUX.</t>
  </si>
  <si>
    <t>10.1080/1461670X.2015.1089183</t>
  </si>
  <si>
    <t>EX1TB</t>
  </si>
  <si>
    <t>WOS:000403008000005</t>
  </si>
  <si>
    <t>Buhl, F; Gunther, E; Quandt, T</t>
  </si>
  <si>
    <t>Buhl, Florian; Guenther, Elisabeth; Quandt, Thorsten</t>
  </si>
  <si>
    <t>Bad News Travels Fastest: A Computational Approach to Predictors of Immediacy in Digital Journalism Ecosystems</t>
  </si>
  <si>
    <t>Automated content analysis; computational methods; digital journalism ecosystem; immediacy; news diffusion; news factors; news flows; newswork</t>
  </si>
  <si>
    <t>ONLINE NEWS; DIFFUSION; STORIES; AGENDA; MEDIA; FLOW</t>
  </si>
  <si>
    <t>This paper studies the prevalence of immediacy in digital journalism from an ecosystem perspective. It combines insights into norms and routines in digital newswork with an analytical approach from news diffusion research and the power of computational methods to track story-based news flows at high granularity of time intervals in comprehensive media samples. We ask how attributes of news stories and situational preconditions of their production help explain whether the variety of newsrooms in a digital journalism ecosystem will converge on immediate story coverage so that wide-range bursts will emerge at the start of news diffusion processes. Based on the reconstruction of 95 news diffusion processes among 28 professional online news sites in Germany, we pool first reports from diffusion processes with the same attribute and compare the dynamics of the accumulation of issued first reports by attributes in event history analyses. We find that most news factors made no difference in a recurring pattern of basically fast diffusion dynamics. Only negative news and stories involving prominent personalities further accelerated diffusion processes and spread even faster. In contrast, events characterized by wide reach beyond small groups and the production break of many newsrooms during the night slowed down digital diffusion.</t>
  </si>
  <si>
    <t>[Buhl, Florian; Guenther, Elisabeth; Quandt, Thorsten] Univ Munster, Dept Commun, Munster, Germany</t>
  </si>
  <si>
    <t>Buhl, F (corresponding author), Univ Munster, Dept Commun, Munster, Germany.</t>
  </si>
  <si>
    <t>florian.buhl@uni-muenster.de</t>
  </si>
  <si>
    <t>Quandt, Thorsten/0000-0003-1937-0282; Gunther, Elisabeth/0000-0001-5754-973X; Buhl, Florian/0000-0002-4629-6869</t>
  </si>
  <si>
    <t>German Federal Ministry of Education and Research (Bundeministerium fur Bildung und Forschung) [01UG1232A]</t>
  </si>
  <si>
    <t>German Federal Ministry of Education and Research (Bundeministerium fur Bildung und Forschung)(Federal Ministry of Education &amp; Research (BMBF))</t>
  </si>
  <si>
    <t>This work was partially supported by the German Federal Ministry of Education and Research (Bundeministerium fur Bildung und Forschung) under Grant 01UG1232A.</t>
  </si>
  <si>
    <t>AUG 9</t>
  </si>
  <si>
    <t>10.1080/21670811.2019.1631706</t>
  </si>
  <si>
    <t>JUN 2019</t>
  </si>
  <si>
    <t>JE8ZY</t>
  </si>
  <si>
    <t>WOS:000473633800001</t>
  </si>
  <si>
    <t>Buhl, Florian; Gunther, Elisabeth; Quandt, Thorsten</t>
  </si>
  <si>
    <t>OBSERVING THE DYNAMICS OF THE ONLINE NEWS ECOSYSTEM News diffusion processes among German news sites</t>
  </si>
  <si>
    <t>breaking news; immediacy; machine-based content analysis; news diffusion; news ecosystem; online news</t>
  </si>
  <si>
    <t>JOURNALISM; STORIES; NETWORK; MEDIA; MODEL; FLOW</t>
  </si>
  <si>
    <t>According to previous research, online news production is characterized by the volatility and fast pace of reporting as well as by the interplay of various contributors to news flows within the online news ecosystem. However, as both concepts are challenging to study, research discovering the dynamics of news flows at the ecosystem level is rare. Utilizing techniques of automated content analysis and big databases of online news content, this paper proposes an approach to make the pace and dynamics of news diffusion processes among online news sites observable. It reviews several lines of argument for the fast pace of online news production based on breaking news coverage, immediacy as a norm, and imitation among online news providers. Applying an analytical framework from diffusion of news events research, we find recurring dynamics for the diffusion processes of 95 events among 28 German online news sites. We distinguish three clusters of diffusion processes based on their temporal patterns. On average, it takes only 1.5 hours for a majority of online news sites to report news of the 43 events in the largest cluster. The narrow timing of broadly shared news decisions within the ecosystem reveals a strong potential for abrupt surges or bursts in online news flows.</t>
  </si>
  <si>
    <t>[Buhl, Florian; Gunther, Elisabeth; Quandt, Thorsten] Univ Munster, Dept Commun, Munster, Germany</t>
  </si>
  <si>
    <t>florian.buhl@uni-muenster.de; elisabeth.guenther@uni-muenster.de; thorsten.quandt@uni-muenster.de</t>
  </si>
  <si>
    <t>Quandt, Thorsten/0000-0003-1937-0282; Buhl, Florian/0000-0002-4629-6869; Gunther, Elisabeth/0000-0001-5754-973X</t>
  </si>
  <si>
    <t>German Federal Ministry of Education and Research (Bundesministerium fur Bildung und Forschung) [01UG1232A]</t>
  </si>
  <si>
    <t>German Federal Ministry of Education and Research (Bundesministerium fur Bildung und Forschung)(Federal Ministry of Education &amp; Research (BMBF))</t>
  </si>
  <si>
    <t>This work was partially supported by the German Federal Ministry of Education and Research (Bundesministerium fur Bildung und Forschung) [grant number 01UG1232A].</t>
  </si>
  <si>
    <t>10.1080/1461670X.2016.1168711</t>
  </si>
  <si>
    <t>GA7HE</t>
  </si>
  <si>
    <t>WOS:000428505900006</t>
  </si>
  <si>
    <t>Kumar, R; Thakurta, R</t>
  </si>
  <si>
    <t>Kumar, Rahul; Thakurta, Rahul</t>
  </si>
  <si>
    <t>Exfoliating decision support system: a synthesis of themes using text mining</t>
  </si>
  <si>
    <t>INFORMATION SYSTEMS AND E-BUSINESS MANAGEMENT</t>
  </si>
  <si>
    <t>Decision support systems; DSS research; Text mining; Topic modeling</t>
  </si>
  <si>
    <t>MANAGEMENT; FUTURE; FRAMEWORK; EVOLUTION; WISDOM</t>
  </si>
  <si>
    <t>Decision support systems (DSS) have evolved significantly since the past 50 years. The existing bouquet of DSS contributions offering the prevalent emphasis and future orientations of the field also point towards several shortcomings. The existing conceptualizations of DSS offer a fragmented portrayal of the field, with a demarcation of the academia and the industry. The literature also presented a disjoint representation of the tenets of DSS. We address these concerns in this research by synthesizing the conceptual elements of DSS towards a coherent understanding of the field. We resort to an automated content analysis procedure using text mining in an open-source platform. Lexical analysis, topic modeling, and other data mining techniques were used to unveil the latent elements of DSS. Our findings indicate the three underlying themes of DSS as 'Plan', 'Design', and 'Use'. We further identified the elements of pivotal importance of DSS that helped us in re-conceptualizing the understanding of DSS. Our validation of the notion of DSS based on the practitioner's viewpoints also attended to the issue of the academia-industry divide in terms of the perception of DSS. Further, we propose an extension of the 'Plan-Design-Use' model through a feedback loop based on which we present the future design possibilities in DSS in terms of the reusability of the extant DSS contributions.</t>
  </si>
  <si>
    <t>[Kumar, Rahul] Indian Inst Management IIM Sambalpur, Sambalpur, Odisha, India; [Kumar, Rahul; Thakurta, Rahul] Xavier Inst Management Bhubaneswar XIMB, Bhubaneswar, Odisha, India</t>
  </si>
  <si>
    <t>Indian Institute of Management (IIM System); Indian Institute of Management Sambalpur</t>
  </si>
  <si>
    <t>Kumar, R (corresponding author), Indian Inst Management IIM Sambalpur, Sambalpur, Odisha, India.;Kumar, R (corresponding author), Xavier Inst Management Bhubaneswar XIMB, Bhubaneswar, Odisha, India.</t>
  </si>
  <si>
    <t>rahulk@iimsambalpur.ac.in; rahul@ximb.ac.in</t>
  </si>
  <si>
    <t>Kumar, Rahul/0000-0001-6183-5982; THAKURTA, RAHUL/0000-0002-3583-3905</t>
  </si>
  <si>
    <t>1617-9846</t>
  </si>
  <si>
    <t>1617-9854</t>
  </si>
  <si>
    <t>INF SYST E-BUS MANAG</t>
  </si>
  <si>
    <t>Inf. Syst. E-Bus. Manag.</t>
  </si>
  <si>
    <t>10.1007/s10257-020-00490-4</t>
  </si>
  <si>
    <t>QS3PB</t>
  </si>
  <si>
    <t>WOS:000604144000001</t>
  </si>
  <si>
    <t>Stewart, JA</t>
  </si>
  <si>
    <t>Stewart, Jared Alan</t>
  </si>
  <si>
    <t>In Through the Out Door: Examining the Use of Outsider Appeals in Presidential Debates</t>
  </si>
  <si>
    <t>outsider; presidential election; rhetoric; American politics; presidential debates; text as data</t>
  </si>
  <si>
    <t>RISE</t>
  </si>
  <si>
    <t>A great deal of anecdotal analysis has been devoted to the use of anti-Washington language in presidential campaigns, but no effort has been made to systematically explain what type of candidate uses this language or what factors influence the adoption of outsider rhetoric. This work utilizes debate transcripts from 1976 to 2016. Using a keywords approach that captures outsider appeals, the data show that this rhetoric is not limited to pure outsiders but is employed by a myriad of candidates. Furthermore, the data suggest that the adoption of outsider appeals does not seem to be driven by presidential approval, divided government, or polarization. This work provides a rigorous methodological approach that goes beyond anecdotal explanations of how and why candidates attempt to go outside to get in.</t>
  </si>
  <si>
    <t>[Stewart, Jared Alan] Univ Washington, Seattle, WA 98195 USA</t>
  </si>
  <si>
    <t>Stewart, JA (corresponding author), Univ Washington, Seattle, WA 98195 USA.</t>
  </si>
  <si>
    <t>10.1111/psq.12433</t>
  </si>
  <si>
    <t>FW9GX</t>
  </si>
  <si>
    <t>WOS:000425644800005</t>
  </si>
  <si>
    <t>Lawlor, A</t>
  </si>
  <si>
    <t>Lawlor, Andrea</t>
  </si>
  <si>
    <t>Local and National Accounts of Immigration Framing in a Cross-national Perspective</t>
  </si>
  <si>
    <t>Immigration; Local Media; Framing; National Media</t>
  </si>
  <si>
    <t>PUBLIC-OPINION; MEDIA; NEWS; INTEGRATION; INDICATORS; COVERAGE; VIOLENCE</t>
  </si>
  <si>
    <t>The aim of this article is to identify whether differences exist in local and national news framing of immigration. Using 12 years (2001-2012) of print media data from 15 Canadian and British print media sources, this article presents the first attempt to look for systematic differences in cross-city, within-country and cross-national framing on the subject of immigration. Contextual variables such as change in the unemployment rate and in the rate of foreign-born within cities and countries are introduced to test the robustness of the findings from a computer-automated content analysis. Findings suggest that, contrary to expectations, there is little by way of systematic evidence that national and local newspapers frame immigration according to different concerns. Furthermore, cross-city news coverage does not vary based on local contextual factors such as changes in the unemployment rate or rate of foreign-born. Indeed, it would appear that there is little evidence to support hypotheses that local coverage attends only to the 'local consequences' of immigration such as crime and unemployment, and that national concerns such as border security and broader economic outlook are solely the purview of national media. Rather, there are far fewer differences in the content and tone of immigration framing among print news sources than conventional wisdom might suggest.</t>
  </si>
  <si>
    <t>[Lawlor, Andrea] Univ Calif Berkeley, Inst Govt Studies, Berkeley, CA 94720 USA</t>
  </si>
  <si>
    <t>Lawlor, A (corresponding author), Univ Western Ontario, Kings Univ Coll, Dept Polit Sci, 240 Dante Lenardon,266 Epworth Ave, London, ON, Canada.</t>
  </si>
  <si>
    <t>andrea.lawlor@uwo.ca</t>
  </si>
  <si>
    <t>Canadian Social Sciences and Humanities Research Council</t>
  </si>
  <si>
    <t>Canadian Social Sciences and Humanities Research Council(Social Sciences and Humanities Research Council of Canada (SSHRC))</t>
  </si>
  <si>
    <t>This research was made possible through financial support from the Canadian Social Sciences and Humanities Research Council.</t>
  </si>
  <si>
    <t>MAY 12</t>
  </si>
  <si>
    <t>10.1080/1369183X.2014.1001625</t>
  </si>
  <si>
    <t>CE5UV</t>
  </si>
  <si>
    <t>WOS:000351902100004</t>
  </si>
  <si>
    <t>Hase, V; Engelke, KM; Kieslich, K</t>
  </si>
  <si>
    <t>Hase, Valerie; Engelke, Katherine M.; Kieslich, Kimon</t>
  </si>
  <si>
    <t>The Things We Fear. Combining Automated and Manual Content Analysis to Uncover Themes, Topics and Threats in Fear-Related News</t>
  </si>
  <si>
    <t>News; fear; sensationalism; crisis; automated content analysis; longitudinal analysis</t>
  </si>
  <si>
    <t>TELEVISION-NEWS; BAD-NEWS; SENSATIONALISM; COVERAGE; CULTIVATION; EFFICACY; OPERATIONALIZATIONS; NEGATIVITY; AMERICA; QUALITY</t>
  </si>
  <si>
    <t>Terrorism, poverty, cancer: Citizens fear many things. Some of these fears are fueled by fear-related news as a form of sensational media coverage. As research on the variety of fears depicted in the news is scarce, this study analyzes the construction of fear-related news in the US and the UK from 1990 to 2017. By combining unsupervised machine learning in the form of topic modeling (N = 15,487) and manual content analysis (N = 1013), it explores the prevalence of themes and topics. It also analyzes the fear-inducing presentation of news through the use of fear appeals, specifically which (severe) threats are emphasized by the media. Results indicate that the media do not only concentrate on fears of violence and crime, but also on fears of economic downturn, political unrest, or social fears concerning unemployment. The most prominent threat emphasized across topics is death, followed by political and economic threats. Topic prevalence is highly volatile and coverage has not become more fear-inducing over time. Overall, this study contributes to a better understanding of how news media may foster fear: through mirroring a variety of economic, political and social fears and emphasizing specific threats across them.</t>
  </si>
  <si>
    <t>[Hase, Valerie] Univ Zurich, Dept Commun &amp; Media Res, Zurich, Switzerland; [Engelke, Katherine M.] Univ Munster, Dept Commun, Munster, Germany; [Kieslich, Kimon] Univ Dusseldorf, Dept Social Sci, Dusseldorf, Germany</t>
  </si>
  <si>
    <t>University of Zurich; University of Munster; Heinrich Heine University Dusseldorf</t>
  </si>
  <si>
    <t>Hase, V (corresponding author), Univ Zurich, Dept Commun &amp; Media Res, Zurich, Switzerland.</t>
  </si>
  <si>
    <t>Kieslich, Kimon/AAH-3454-2021; Hase, Valerie/AAF-3430-2019</t>
  </si>
  <si>
    <t>Kieslich, Kimon/0000-0002-6305-2997; Hase, Valerie/0000-0001-6656-4894; Engelke, Katherine M./0000-0002-4532-7125</t>
  </si>
  <si>
    <t>JUL 26</t>
  </si>
  <si>
    <t>10.1080/1461670X.2020.1753092</t>
  </si>
  <si>
    <t>MN0TU</t>
  </si>
  <si>
    <t>WOS:000527581400001</t>
  </si>
  <si>
    <t>Meyer, P</t>
  </si>
  <si>
    <t>Meyer, Philipp</t>
  </si>
  <si>
    <t>Promoted Media Coverage of Court Decisions: Media Gatekeeping of Court Press Releases and the Role of News Values</t>
  </si>
  <si>
    <t>Court communication; court reporting; press releases; open justice; news values; computational text analysis</t>
  </si>
  <si>
    <t>U.S. SUPREME-COURT; PUBLIC AWARENESS; JUSTICE; JOURNALISTS</t>
  </si>
  <si>
    <t>The present study focuses on the effect of court press releases on media gatekeeping, a field that has remained largely uninvestigated to date. Using original data on the German Federal Constitutional Court, the study analyzes when court press releases are reported on in the media. Certain news values (e.g., conflict, political power, continuity/familiarity) are assumed to increase the probability that a press release will be reported on in the news. By using an automated content analysis approach, this study assesses whether 584 press releases were reported on in German newspapers over a period of eight years (2010-2018). Only press releases that promote decisions are used as they are the official information subsidies that the Court disseminates to the public through the media. Findings indicate that only 18% of press releases are reported on in the news. Furthermore, the news values of conflict and political power are found to have no influence on the success of a press release, while press releases that promote decisions with an oral hearing are more likely to be picked up by journalists. Hence, issues that are familiar to the public are more likely to be covered.</t>
  </si>
  <si>
    <t>[Meyer, Philipp] Leibniz Univ Hannover, Dept Polit Sci, Hannover, Germany</t>
  </si>
  <si>
    <t>Leibniz University Hannover</t>
  </si>
  <si>
    <t>Meyer, P (corresponding author), Leibniz Univ Hannover, Dept Polit Sci, Hannover, Germany.</t>
  </si>
  <si>
    <t>p.meyer@ipw.uni-hannover.de</t>
  </si>
  <si>
    <t>Meyer, Philipp/AAV-7313-2020</t>
  </si>
  <si>
    <t>Meyer, Philipp/0000-0002-7986-9432</t>
  </si>
  <si>
    <t>10.1080/1461670X.2020.1819861</t>
  </si>
  <si>
    <t>RW2WI</t>
  </si>
  <si>
    <t>WOS:000646388000002</t>
  </si>
  <si>
    <t>Lynch, CJ; Diallo, SY; Kavak, H; Padilla, JJ</t>
  </si>
  <si>
    <t>Lynch, Christopher J.; Diallo, Saikou Y.; Kavak, Hamdi; Padilla, Jose J.</t>
  </si>
  <si>
    <t>A content analysis-based approach to explore simulation verification and identify its current challenges</t>
  </si>
  <si>
    <t>AS-A-SERVICE; TACTICAL PROBLEMS; VALIDATION; MODELS; SYSTEM; VISUALIZATION; CREDIBILITY; EVOLUTION; TOOL; WEB</t>
  </si>
  <si>
    <t>Verification is a crucial process to facilitate the identification and removal of errors within simulations. This study explores semantic changes to the concept of simulation verification over the past six decades using a data-supported, automated content analysis approach. We collect and utilize a corpus of 4,047 peer-reviewed Modeling and Simulation (M&amp;S) publications dealing with a wide range of studies of simulation verification from 1963 to 2015. We group the selected papers by decade of publication to provide insights and explore the corpus from four perspectives: (i) the positioning of prominent concepts across the corpus as a whole; (ii) a comparison of the prominence of verification, validation, and Verification and Validation (V&amp;V) as separate concepts; (iii) the positioning of the concepts specifically associated with verification; and (iv) an evaluation of verification's defining characteristics within each decade. Our analysis reveals unique characterizations of verification in each decade. The insights gathered helped to identify and discuss three categories of verification challenges as avenues of future research, awareness, and understanding for researchers, students, and practitioners. These categories include conveying confidence and maintaining ease of use; techniques' coverage abilities for handling increasing simulation complexities; and new ways to provide error feedback to model users.</t>
  </si>
  <si>
    <t>[Lynch, Christopher J.; Diallo, Saikou Y.; Padilla, Jose J.] Old Dominion Univ, Virginia Modeling Anal &amp; Simulat Ctr, Suffolk, VA 23435 USA; [Kavak, Hamdi] George Mason Univ, Dept Computat &amp; Data Sci, Fairfax, VA 22030 USA</t>
  </si>
  <si>
    <t>Old Dominion University; George Mason University</t>
  </si>
  <si>
    <t>Lynch, CJ (corresponding author), Old Dominion Univ, Virginia Modeling Anal &amp; Simulat Ctr, Suffolk, VA 23435 USA.</t>
  </si>
  <si>
    <t>cjlynch@odu.edu</t>
  </si>
  <si>
    <t>Lynch, Christopher/ABA-1054-2020</t>
  </si>
  <si>
    <t>Lynch, Christopher/0000-0002-4830-7488; Kavak, Hamdi/0000-0003-4307-2381</t>
  </si>
  <si>
    <t>MAY 13</t>
  </si>
  <si>
    <t>e0232929</t>
  </si>
  <si>
    <t>10.1371/journal.pone.0232929</t>
  </si>
  <si>
    <t>LU0VG</t>
  </si>
  <si>
    <t>WOS:000537481000040</t>
  </si>
  <si>
    <t>Hamborg, F; Zhukova, A; Gipp, B</t>
  </si>
  <si>
    <t>Bonn, M; Wu, D; Downie, SJ; Martaus, A</t>
  </si>
  <si>
    <t>Hamborg, Felix; Zhukova, Anastasia; Gipp, Bela</t>
  </si>
  <si>
    <t>Automated Identification of Media Bias by Word Choice and Labeling in News Articles</t>
  </si>
  <si>
    <t>2019 ACM/IEEE JOINT CONFERENCE ON DIGITAL LIBRARIES (JCDL 2019)</t>
  </si>
  <si>
    <t>ACM-IEEE Joint Conference on Digital Libraries JCDL</t>
  </si>
  <si>
    <t>19th ACM/IEEE Joint Conference on Digital Libraries (JCDL)</t>
  </si>
  <si>
    <t>JUN 02-06, 2019</t>
  </si>
  <si>
    <t>IL</t>
  </si>
  <si>
    <t>IEEE Comp Soc,Assoc Comp Machinery,IEEE</t>
  </si>
  <si>
    <t>News slant; news bias; automated content analysis; automated frame analysis; entity perception; emotions; CAS; CAQDAS; NLP</t>
  </si>
  <si>
    <t>NEWSPAPER COVERAGE; SELECTION; PROTEST</t>
  </si>
  <si>
    <t>Media bias can strongly impact the individual and public perception of news events. One difficult-to-detect, yet powerful form of slanted news coverage is bias by word choice and labeling (WCL). Bias by WCL can occur when journalists refer to the same concept, yet use different terms, which results in different sentiments being sparked in the readers, such as the terms economic migrants vs. refugees. We present an automated approach to identify bias by WCL that employs models and manual analysis approaches from the social sciences, a research domain in which media bias has been studied for decades. This paper makes three contributions. First, we present NewsWCL50, the first open evaluation dataset for the identification of bias by WCL consisting of 8,656 manual annotations in 50 news articles. Second, we propose a method capable of extracting instances of bias by WCL while outperforming state-of-the-art methods, such as coreference resolution, which currently cannot resolve very broadly defined or abstract coreferences used by journalists. We evaluate our method on the NewsWCL50 dataset, achieving an F1=45.7% compared to F1=29.8% achieved by the best performing state-of-the-art technique. Lastly, we present a prototype demonstrating the effectiveness of our approach in finding frames caused by bias by WCL.</t>
  </si>
  <si>
    <t>[Hamborg, Felix; Zhukova, Anastasia] Univ Konstanz, Constance, Germany; [Gipp, Bela] Univ Wuppertal, Wuppertal, Germany</t>
  </si>
  <si>
    <t>University of Konstanz; University of Wuppertal</t>
  </si>
  <si>
    <t>Hamborg, F (corresponding author), Univ Konstanz, Constance, Germany.</t>
  </si>
  <si>
    <t>felix.hamborg@uni-konstanz.de; anastasia.zhukova@uni-konstanz.de; gipp@uni-wuppertal.de</t>
  </si>
  <si>
    <t>Gipp, Bela/0000-0001-6522-3019; Zhukova, Anastasia/0000-0001-9084-2890</t>
  </si>
  <si>
    <t>Carl Zeiss Foundation; Zukunftskolleg program of the University of Konstanz</t>
  </si>
  <si>
    <t>This work was supported by the Carl Zeiss Foundation and the Zukunftskolleg program of the University of Konstanz. We thank Christina Zuber and Karsten Donnay for their support on the creation of NewsWCL50.</t>
  </si>
  <si>
    <t>2575-7865</t>
  </si>
  <si>
    <t>2575-8152</t>
  </si>
  <si>
    <t>978-1-7281-1547-4</t>
  </si>
  <si>
    <t>ACM-IEEE J CONF DIG</t>
  </si>
  <si>
    <t>10.1109/JCDL.2019.00036</t>
  </si>
  <si>
    <t>Computer Science, Information Systems; Computer Science, Interdisciplinary Applications; Computer Science, Theory &amp; Methods; Information Science &amp; Library Science</t>
  </si>
  <si>
    <t>BP5KE</t>
  </si>
  <si>
    <t>WOS:000555928200029</t>
  </si>
  <si>
    <t>Hamad, R; Pomeranz, JL; Siddiqi, A; Basu, S</t>
  </si>
  <si>
    <t>Hamad, Rita; Pomeranz, Jennifer L.; Siddiqi, Arjumand; Basu, Sanjay</t>
  </si>
  <si>
    <t>Large-Scale Automated Analysis of News Media: A Novel Computational Method for Obesity Policy Research</t>
  </si>
  <si>
    <t>OBESITY</t>
  </si>
  <si>
    <t>CHILDHOOD OBESITY; SCIENCE; SUPPORT</t>
  </si>
  <si>
    <t>ObjectiveAnalyzing news media allows obesity policy researchers to understand popular conceptions about obesity, which is important for targeting health education and policies. A persistent dilemma is that investigators have to read and manually classify thousands of individual news articles to identify how obesity and obesity-related policy proposals may be described to the public in the media. A machine learning method called automated content analysis that permits researchers to train computers to read and classify massive volumes of documents was demonstrated. Methods14,302 newspaper articles that mentioned the word obesity during 2011-2012 were identified. Four states that vary in obesity prevalence and policy (Alabama, California, New Jersey, and North Carolina) were examined. The reliability of an automated program to categorize the media's framing of obesity as an individual-level problem (e.g., diet) and/or an environmental-level problem (e.g., obesogenic environment) was tested. ResultsThe automated program performed similarly to human coders. The proportion of articles with individual-level framing (27.7-31.0%) was higher than the proportion with neutral (18.0-22.1%) or environmental-level framing (16.0-16.4%) across all states and over the entire study period (P&lt;0.05). ConclusionsA novel approach to the study of how obesity concepts are communicated and propagated in news media was demonstrated.</t>
  </si>
  <si>
    <t>[Hamad, Rita] Stanford Univ, Div Gen Med Disciplines, Palo Alto, CA 94304 USA; [Pomeranz, Jennifer L.] Temple Univ, Dept Publ Hlth, Ctr Obes Res &amp; Educ, Philadelphia, PA 19122 USA; [Siddiqi, Arjumand] Univ Toronto, Dalla Lana Sch Publ Hlth, Toronto, ON, Canada; [Siddiqi, Arjumand] Univ N Carolina, Gillings Sch Global Publ Hlth, Chapel Hill, NC USA; [Basu, Sanjay] Stanford Univ, Prevent Res Ctr, Stanford, CA 94305 USA; [Basu, Sanjay] London Sch Hyg &amp; Trop Med, Dept Publ Hlth &amp; Policy, London WC1, England</t>
  </si>
  <si>
    <t>Stanford University; Pennsylvania Commonwealth System of Higher Education (PCSHE); Temple University; University of Toronto; University of North Carolina; University of North Carolina Chapel Hill; Stanford University; University of London; London School of Hygiene &amp; Tropical Medicine</t>
  </si>
  <si>
    <t>Hamad, R (corresponding author), Stanford Univ, Div Gen Med Disciplines, Palo Alto, CA 94304 USA.</t>
  </si>
  <si>
    <t>rhamad@stanford.edu</t>
  </si>
  <si>
    <t>Hamad, Rita/0000-0003-0730-4077</t>
  </si>
  <si>
    <t>NCATS NIH HHS [KL2 TR001083] Funding Source: Medline; NATIONAL CENTER FOR ADVANCING TRANSLATIONAL SCIENCES [KL2TR001083] Funding Source: NIH RePORTER</t>
  </si>
  <si>
    <t>NCATS NIH HHS(United States Department of Health &amp; Human ServicesNational Institutes of Health (NIH) - USANIH National Center for Advancing Translational Sciences (NCATS)); NATIONAL CENTER FOR ADVANCING TRANSLATIONAL SCIENCES(United States Department of Health &amp; Human ServicesNational Institutes of Health (NIH) - USANIH National Center for Advancing Translational Sciences (NCATS))</t>
  </si>
  <si>
    <t>1930-7381</t>
  </si>
  <si>
    <t>1930-739X</t>
  </si>
  <si>
    <t>Obesity</t>
  </si>
  <si>
    <t>10.1002/oby.20955</t>
  </si>
  <si>
    <t>Endocrinology &amp; Metabolism; Nutrition &amp; Dietetics</t>
  </si>
  <si>
    <t>CA6QN</t>
  </si>
  <si>
    <t>WOS:000349040400009</t>
  </si>
  <si>
    <t>Castro, R; Vaca, C</t>
  </si>
  <si>
    <t>Gottumukkala, R; Ning, X; Dong, G; Raghavan, V; Aluru, S; Karypis, G; Miele, L; Wu, X</t>
  </si>
  <si>
    <t>Castro, Rodrigo; Vaca, Carmen</t>
  </si>
  <si>
    <t>National leaders' Twitter speech to infer political leaning and election results in 2015 Venezuelan Parliamentary Elections</t>
  </si>
  <si>
    <t>2017 17TH IEEE INTERNATIONAL CONFERENCE ON DATA MINING WORKSHOPS (ICDMW 2017)</t>
  </si>
  <si>
    <t>International Conference on Data Mining Workshops</t>
  </si>
  <si>
    <t>17th IEEE International Conference on Data Mining (ICDMW)</t>
  </si>
  <si>
    <t>NOV 18-21, 2017</t>
  </si>
  <si>
    <t>IEEE,IEEE Comp Soc,Cisco Syst,Citigroup Inc,Natl Sci Fdn</t>
  </si>
  <si>
    <t>politics; political election prediction; social media; Twitter; topic modeling</t>
  </si>
  <si>
    <t>SOCIAL MEDIA</t>
  </si>
  <si>
    <t>The large adoption of Twitter during electioneering has created a valuable opportunity to monitor political deliberation nationwide. Recent work has analyzed online attention to forecast elections results addressing some limitations of opinion polling. However, the reproducibility of such methods remains a challenge given that most of them rely on the number of political parties or candidates mentions. In this study, we propose a method to infer citizens' political alignment in order to predict elections results. To this end, first we collect 750K tweets posted during 2015 Venezuelan Parliamentary election either inside the Venezuela's bounding box or by its political leaders. Second, we build a dictionary characterizing the political leader's speech applying automated content analysis to our corpus. We show that the automatically generated dictionary is an useful tool to improve the accuracy on political election results prediction tasks. Third, using a data set of 1,000 manually-annotated individuals, we show that a support vector machine (SVM) classifier trained on our political dictionary predicts the user political alignment with 87% of accuracy. Finally, using our political dictionary, we design a simple metric to quantify the political lining reflected in a given tweet. We find that the tweets categorized with this metric reflect election results, with 98.72% of accuracy (1.28% mean squared error).</t>
  </si>
  <si>
    <t>[Castro, Rodrigo; Vaca, Carmen] Escuela Super Politecn Litoral, ESPOL, Fac Ingn Elect &amp; Comp, Campus Gustavo Galindo Km 30-5,Via Perimetral, Guayaquil, Ecuador</t>
  </si>
  <si>
    <t>Escuela Superior Politecnica del Litoral</t>
  </si>
  <si>
    <t>Castro, R (corresponding author), Escuela Super Politecn Litoral, ESPOL, Fac Ingn Elect &amp; Comp, Campus Gustavo Galindo Km 30-5,Via Perimetral, Guayaquil, Ecuador.</t>
  </si>
  <si>
    <t>rfcastro@fiec.espol.edu.ec; cvaca@fiec.espol.edu.ec</t>
  </si>
  <si>
    <t>Vaca, Carmen/AAL-4156-2021</t>
  </si>
  <si>
    <t>Vaca Ruiz, Carmen Karina/0000-0002-0474-1901</t>
  </si>
  <si>
    <t>2375-9232</t>
  </si>
  <si>
    <t>978-1-5386-3800-2</t>
  </si>
  <si>
    <t>INT CONF DAT MIN WOR</t>
  </si>
  <si>
    <t>10.1109/ICDMW.2017.118</t>
  </si>
  <si>
    <t>BJ5EP</t>
  </si>
  <si>
    <t>WOS:000425845700115</t>
  </si>
  <si>
    <t>Muller-Hansen, F; Callaghan, MW; Minx, JC</t>
  </si>
  <si>
    <t>Mueller-Hansen, Finn; Callaghan, Max W.; Minx, Jan C.</t>
  </si>
  <si>
    <t>Text as big data: Develop codes of practice for rigorous computational text analysis in energy social science</t>
  </si>
  <si>
    <t>Computational text analysis; Big data; Automated content analysis; Text mining; Topic modeling; Discourse analysis</t>
  </si>
  <si>
    <t>REPRODUCIBLE RESEARCH; CLIMATE-CHANGE; TOOL</t>
  </si>
  <si>
    <t>Augmenting traditional social science methods with computational analysis is crucial if we are to exploit the vast digital archives of text data that have become available over the past two decades. In this journal, Benites-Lazaro et al. [1] showcase this in an application of topic modeling and other computational methods to an actor-specific examination of changes in policy discourse on ethanol in Brazil and point out methodological promises and challenges. However, their contribution also highlights the need for establishing codes of practice for computational text analysis. In this perspective, we discuss five areas for improvement when treating text as big data in light of guiding principles from computational research - transparency, reproducibility and validation - to facilitate rigorous research practice: (1) full transparency over data collection and corpus construction, (2) comprehensive method descriptions that enable reproducibility by other researchers, (3) application of rigorous model validation procedures, (4) results interpretation based on primary text and clear research design and (5) critical discussion and contextualization of main findings. We conclude that the energy social science community needs to develop codes of practice to build on the promising research within the field of computational text analysis and suggest first steps into this direction.</t>
  </si>
  <si>
    <t>[Mueller-Hansen, Finn; Callaghan, Max W.; Minx, Jan C.] Mercator Res Inst Global Commons &amp; Climate Change, EUREF Campus 19,Torgauer Str 12-15, D-10829 Berlin, Germany; [Mueller-Hansen, Finn] Leibniz Assoc, Potsdam Inst Climate Impact Res PIK, POB 60 12 03, D-14412 Potsdam, Germany; [Callaghan, Max W.; Minx, Jan C.] Univ Leeds, Sch Earth &amp; Environm, Priestley Int Ctr Climate, Leeds LS2 9JT, W Yorkshire, England</t>
  </si>
  <si>
    <t>Potsdam Institut fur Klimafolgenforschung; University of Leeds</t>
  </si>
  <si>
    <t>Muller-Hansen, F (corresponding author), Mercator Res Inst Global Commons &amp; Climate Change, EUREF Campus 19,Torgauer Str 12-15, D-10829 Berlin, Germany.</t>
  </si>
  <si>
    <t>mueller-hansen@mcc-berlin.net</t>
  </si>
  <si>
    <t>Callaghan, Max W/I-1769-2019</t>
  </si>
  <si>
    <t>Callaghan, Max W/0000-0001-8292-8758; Muller-Hansen, Finn/0000-0002-0425-1996</t>
  </si>
  <si>
    <t>German Ministry of Research and Education [03EK3046B]; Heinrich Boll Foundation</t>
  </si>
  <si>
    <t>German Ministry of Research and Education(Federal Ministry of Education &amp; Research (BMBF)); Heinrich Boll Foundation</t>
  </si>
  <si>
    <t>This work was developed within the project 'Strategic Scenario Analysis' (START) funded by the German Ministry of Research and Education (grant reference: 03EK3046B). Max Callaghan is supported by a PhD scholarship from the Heinrich Boll Foundation. We thank William Lamb and three anonymous reviewers for helpful comments.</t>
  </si>
  <si>
    <t>10.1016/j.erss.2020.101691</t>
  </si>
  <si>
    <t>PB9HQ</t>
  </si>
  <si>
    <t>WOS:000596623700003</t>
  </si>
  <si>
    <t>Mandjak, T; Lavissiere, A; Hofmann, J; Bouchery, Y; Lavissiere, MC; Faury, O; Sohier, R</t>
  </si>
  <si>
    <t>Mandjak, Tibor; Lavissiere, Alexandre; Hofmann, Julian; Bouchery, Yann; Lavissiere, Mary Catherine; Faury, Olivier; Sohier, Romain</t>
  </si>
  <si>
    <t>Port marketing from a multidisciplinary perspective: A systematic literature review and lexicometric analysis</t>
  </si>
  <si>
    <t>TRANSPORT POLICY</t>
  </si>
  <si>
    <t>Port marketing; Multidisciplinary research; Business-to-business marketing; Lexicometric analysis; Systematic literature review</t>
  </si>
  <si>
    <t>INTERNATIONAL ENTREPRENEURSHIP; METHODOLOGY; FRAMEWORK</t>
  </si>
  <si>
    <t>This paper aims at a systematic analysis of previous academic research on port marketing. First, we posit that port marketing is multidisciplinary by essence, and we analyze whether our assumption is reflected in the academic literature. Second, this paper aims at identifying the theoretical foundations of port marketing in the academic literature. With these two objectives in mind, we first conduct a large systematic literature review, and we identify 369 relevant academic publications over the last 40 years. Second, we implement an automated content analysis - a lexicometric analysis - on the 369 identified articles dealing with port- and marketing-related topics to analyze whether a conceptual field linking port and marketing appears in the literature. Despite the large existing academic research dealing with port marketing, our results do not confirm the expected multidisciplinary embodiment of port marketing (e.g., involving combined work done by researchers from both (per se) independent fields). Hence, considering (theoretical) concepts from the domain of marketing management research might leverage further research on the value creation done by ports. Moreover, our lexicometric analysis highlights the lack of a clear theoretical foundation of port marketing as a holistic concept. We conclude in proposing a pathway towards such a framework and outline specific topics for further research to foster such a holistic port marketing concept.</t>
  </si>
  <si>
    <t>[Mandjak, Tibor; Lavissiere, Alexandre; Hofmann, Julian; Bouchery, Yann; Lavissiere, Mary Catherine; Faury, Olivier; Sohier, Romain] EM Normandie Business Sch, Metis Lab, Le Havre, France</t>
  </si>
  <si>
    <t>Lavissiere, A (corresponding author), 30 Rue Richelieu, F-76600 Le Havre, France.</t>
  </si>
  <si>
    <t>tmandjak@em-normandie.fr; alavissiere@em-normaridie.fr; jhofmann@em-normandie.fr; ybouchery@em-normandie.fr; mclavissiere@em-normandie.fr; ofaury@em-normandie.fr; rsohier@em-normandie.fr</t>
  </si>
  <si>
    <t>Lavissiere, Alexandre/K-4233-2018; Bouchery, Yann/J-2360-2019; MANDJAK, Tibor/Y-3546-2019</t>
  </si>
  <si>
    <t>Lavissiere, Alexandre/0000-0003-2613-4931; Bouchery, Yann/0000-0001-6638-229X; MANDJAK, Tibor/0000-0002-1376-1592</t>
  </si>
  <si>
    <t>0967-070X</t>
  </si>
  <si>
    <t>1879-310X</t>
  </si>
  <si>
    <t>Transp. Policy</t>
  </si>
  <si>
    <t>10.1016/j.tranpol.2018.11.011</t>
  </si>
  <si>
    <t>Economics; Transportation</t>
  </si>
  <si>
    <t>Business &amp; Economics; Transportation</t>
  </si>
  <si>
    <t>JS5ZB</t>
  </si>
  <si>
    <t>WOS:000500383800006</t>
  </si>
  <si>
    <t>Conceptualising tourist experiences with new attractions: the case of escape rooms</t>
  </si>
  <si>
    <t>INTERNATIONAL JOURNAL OF CONTEMPORARY HOSPITALITY MANAGEMENT</t>
  </si>
  <si>
    <t>Leximancer; Netnography; Escape rooms; New attractions; Playful consumption; Tourist experiences</t>
  </si>
  <si>
    <t>CONSUMPTION EXPERIENCE; SERVICE EXPERIENCE; AUTHENTICITY; NETNOGRAPHY; FUTURE; DIMENSIONS; MANAGEMENT; PLAY</t>
  </si>
  <si>
    <t>Purpose - The purpose of this paper is to theoretically and empirically explore tourist experiences with the niche-like, yet global phenomenon of escape room attractions. Design/methodology/approach - An exploratory empirical study of visitors' experiences with selected top-rated escape rooms in the USA and Europe was carried out by means of netnographic research and automated content analysis. Findings - The results show that this attraction provides new, peak, unique and fun experiences through the challenging activities and social component of the game play. The findings provide an insight into both the authenticity of experiences with novel attractions and the group aspects of fun and flow concepts. Research limitations/implications - The findings are restricted to online reviews on the TripAdvisor website and are possibly biased because of the use of a non-random sample. Practical implications - Theoretical implications are discussed and explicated as future research questions. They are relevant for the conceptual development, research and management of playful experiences within urban and special interest tourism. Societal implications are also addressed. Originality/value - This paper is a preliminary in-depth examination of the escape room phenomenon from the customer experience standpoint. It is of relevance for the conceptualisation and improvement of tourist experiences with new and fun attractions.</t>
  </si>
  <si>
    <t>[Kolar, Tomaz] Univ Ljubljana, Fac Econ, Ljubljana, Slovenia</t>
  </si>
  <si>
    <t>University of Ljubljana</t>
  </si>
  <si>
    <t>Kolar, T (corresponding author), Univ Ljubljana, Fac Econ, Ljubljana, Slovenia.</t>
  </si>
  <si>
    <t>0959-6119</t>
  </si>
  <si>
    <t>1757-1049</t>
  </si>
  <si>
    <t>INT J CONTEMP HOSP M</t>
  </si>
  <si>
    <t>Int. J. Contemp. Hosp. Manag.</t>
  </si>
  <si>
    <t>10.1108/IJCHM-12-2015-0687</t>
  </si>
  <si>
    <t>EZ5TP</t>
  </si>
  <si>
    <t>WOS:000404781600003</t>
  </si>
  <si>
    <t>Kuchler, C; Stoll, A; Ziegele, M; Naab, TK</t>
  </si>
  <si>
    <t>Kuechler, Constanze; Stoll, Anke; Ziegele, Marc; Naab, Teresa K.</t>
  </si>
  <si>
    <t>Gender-Related Differences in Online Comment Sections: Findings From a Large-Scale Content Analysis of Commenting Behavior</t>
  </si>
  <si>
    <t>online discussions; user comments; incivility; gender; discrimination; machine learning; word embeddings; automated content analysis; multilevel modeling</t>
  </si>
  <si>
    <t>HATE SPEECH; INCIVILITY; BACKLASH; PARTICIPATION; COMMUNICATION; MOTIVATION; DECEPTION; PATTERNS; FACEBOOK; CIVILITY</t>
  </si>
  <si>
    <t>Comment sections below news articles are public fora in which potentially everyone can engage in equal and fair discussions on political and social issues. Yet, empirical studies have reported that many comment sections are spaces of selective participation, discrimination, and verbal abuse. The current study complements these findings by analyzing gender-related differences in participation and incivility. It uses a sample of 303,342 user comments from 14 German news media Facebook pages. We compare participation rates of female and male users as well as associations between the users' gender, the incivility of their comments, and the incivility of the adjacent replies. To determine the incivility of the comments, we developed a Supervised Machine Learning Model (classifier) using pre-trained word embeddings and word// frequency features. The findings show that, overall, women participate less than men. Comments written by female authors are more civil than comments written by male authors. Women's comments do not receive more uncivil replies than men's comments and women are not punished disproportionately for communicating uncivilly. These findings contribute to the discourse on gender-related differences in online comment sections and provide insights into the dynamics of online discussions.</t>
  </si>
  <si>
    <t>[Kuechler, Constanze; Naab, Teresa K.] Univ Augsburg, Dept Media Knowledge &amp; Commun, Univ Str 10, D-86159 Augsburg, Germany; [Stoll, Anke; Ziegele, Marc] Heinrich Heine Univ Dusseldorf, Dept Social Sci, Jr Res Grp Deliberat Discuss Social Web DEDIS, Dusseldorf, Germany</t>
  </si>
  <si>
    <t>University of Augsburg; Heinrich Heine University Dusseldorf</t>
  </si>
  <si>
    <t>Kuchler, C (corresponding author), Univ Augsburg, Dept Media Knowledge &amp; Commun, Univ Str 10, D-86159 Augsburg, Germany.</t>
  </si>
  <si>
    <t>constanze.kuechler@uni-a.de</t>
  </si>
  <si>
    <t>Ziegele, Marc/0000-0002-2710-0955; Kuchler, Constanze/0000-0002-9406-144X; Naab, Teresa K./0000-0001-7345-2559</t>
  </si>
  <si>
    <t>Ministry of Culture and Science of the German State of North Rhine-Westphalia; Deutsche Forschungsgemeinschaft [NA 1281/1-1, 358324049]</t>
  </si>
  <si>
    <t>Ministry of Culture and Science of the German State of North Rhine-Westphalia; Deutsche Forschungsgemeinschaft(German Research Foundation (DFG))</t>
  </si>
  <si>
    <t>The author(s) disclosed receipt of the following financial support for the research, authorship, and/or publication of this article: This work was supported by the Ministry of Culture and Science of the German State of North Rhine-Westphalia and Deutsche Forschungsgemeinschaft, Grant NA 1281/1-1, project number 358324049.</t>
  </si>
  <si>
    <t>10.1177/08944393211052042</t>
  </si>
  <si>
    <t>ZF5XU</t>
  </si>
  <si>
    <t>WOS:000759641400001</t>
  </si>
  <si>
    <t>Middleton, SE; Krivcovs, V</t>
  </si>
  <si>
    <t>Middleton, Stuart E.; Krivcovs, Vadims</t>
  </si>
  <si>
    <t>Geoparsing and Geosemantics for Social Media: Spatiotemporal Grounding of Content Propagating Rumors to Support Trust and Veracity Analysis during Breaking News</t>
  </si>
  <si>
    <t>ACM TRANSACTIONS ON INFORMATION SYSTEMS</t>
  </si>
  <si>
    <t>Algorithms; Measurement; Performance; Design; Experimentation; Geosemantics; geoparsing; trust; credibility; veracity; social media; news; breaking news; rumors; journalism</t>
  </si>
  <si>
    <t>In recent years, there has been a growing trend to use publicly available social media sources within the field of journalism. Breaking news has tight reporting deadlines, measured in minutes not days, but content must still be checked and rumors verified. As such, journalists are looking at automated content analysis to prefilter large volumes of social media content prior to manual verification. This article describes a real-time social media analytics framework for journalists. We extend our previously published geoparsing approach to improve its scalability and efficiency. We develop and evaluate a novel approach to geosemantic feature extraction, classifying evidence in terms of situatedness, timeliness, confirmation, and validity. Our approach works for new unseen news topics. We report results from four experiments using five Twitter datasets crawled during different English-language news events. One of our datasets is the standard TREC 2012 microblog corpus. Our classification results are promising, with F1 scores varying by class from 0.64 to 0.92 for unseen event types. We lastly report results from two case studies during real-world news stories, showcasing different ways our system can assist journalists filter and cross-check content as they examine the trust and veracity of content and sources.</t>
  </si>
  <si>
    <t>[Middleton, Stuart E.; Krivcovs, Vadims] Univ Southampton, IT Innovat Ctr, Southampton SO9 5NH, Hants, England; [Middleton, Stuart E.; Krivcovs, Vadims] IT Innovat Ctr, Gamma House,Enterprise Rd, Southampton SO16 7NS, Hants, England</t>
  </si>
  <si>
    <t>University of Southampton; University of Southampton</t>
  </si>
  <si>
    <t>Middleton, SE (corresponding author), IT Innovat Ctr, Gamma House,Enterprise Rd, Southampton SO16 7NS, Hants, England.</t>
  </si>
  <si>
    <t>sem@it-innovation.soton.ac.uk; vk@it-innovation.soton.ac.uk</t>
  </si>
  <si>
    <t>Middleton, Stuart/0000-0001-8305-8176</t>
  </si>
  <si>
    <t>European Commission [610928, 611242]</t>
  </si>
  <si>
    <t>European Commission(European CommissionEuropean Commission Joint Research Centre)</t>
  </si>
  <si>
    <t>This work is part of the research and development in the REVEAL project (grant agreement 610928) and SENS4US project (grant agreement 611242), supported by the 7th Framework Program of the European Commission.</t>
  </si>
  <si>
    <t>2 PENN PLAZA, STE 701, NEW YORK, NY 10121-0701 USA</t>
  </si>
  <si>
    <t>1046-8188</t>
  </si>
  <si>
    <t>1558-2868</t>
  </si>
  <si>
    <t>ACM T INFORM SYST</t>
  </si>
  <si>
    <t>ACM Trans. Inf. Syst.</t>
  </si>
  <si>
    <t>10.1145/2842604</t>
  </si>
  <si>
    <t>DL3YE</t>
  </si>
  <si>
    <t>WOS:000375568800003</t>
  </si>
  <si>
    <t>Heidenreich, T; Eberl, JM; Lind, F; Boomgaarden, H</t>
  </si>
  <si>
    <t>Heidenreich, Tobias; Eberl, Jakob-Moritz; Lind, Fabienne; Boomgaarden, Hajo</t>
  </si>
  <si>
    <t>Political migration discourses on social media: a comparative perspective on visibility and sentiment across political Facebook accounts in Europe</t>
  </si>
  <si>
    <t>Migration; social media; Facebook; automated content analysis; comparative; political communication</t>
  </si>
  <si>
    <t>NEWS COVERAGE; IMMIGRATION; ATTITUDES; DEBATE; TRANSLATION; INTEGRATION; TELEVISION; MINORITIES; IMPACT; ISSUES</t>
  </si>
  <si>
    <t>Migration has been dominating media and political discourses in Europe in recent years. Previous studies have mainly mapped migration discourses in traditional media or conventional channels of party communication, often in a single country. Migration-related party communication on social network sites has been largely neglected. This study analyses migration discourses in the Facebook accounts of political actors (n?=?1702) across six European countries (Spain, UK, Germany, Austria, Sweden and Poland). On the basis of automated content analyses, we present new insights into the visibility of migration as a topic and sentiment about migration, revealing country- and party-specific patterns. Migration is a more prominent topic in countries with positive net migration (?receiving countries?) than in countries where net migration is neutral or negative. Although we did not find support for the assumption that right-leaning parties talk more, and more negatively, about migration, our results do suggest a distinct pattern that applies to parties of both the extreme left and the extreme right. Political actors from parties of the extreme left and the extreme right of the political spectrum address migration more frequently and more negatively than more moderate political players.</t>
  </si>
  <si>
    <t>[Heidenreich, Tobias; Eberl, Jakob-Moritz; Lind, Fabienne; Boomgaarden, Hajo] Univ Vienna, Dept Commun, Vienna, Austria</t>
  </si>
  <si>
    <t>Heidenreich, T (corresponding author), Univ Vienna, Dept Commun, Vienna, Austria.</t>
  </si>
  <si>
    <t>tobias.heidenreich@univie.ac.at</t>
  </si>
  <si>
    <t>Eberl, Jakob-Moritz/0000-0002-5613-760X; Heidenreich, Tobias/0000-0001-9070-0550; Boomgaarden, Hajo G./0000-0002-5260-1284; , Fabienne/0000-0002-4978-9415</t>
  </si>
  <si>
    <t>MAY 18</t>
  </si>
  <si>
    <t>10.1080/1369183X.2019.1665990</t>
  </si>
  <si>
    <t>SEP 2019</t>
  </si>
  <si>
    <t>LE0QH</t>
  </si>
  <si>
    <t>WOS:000489429400001</t>
  </si>
  <si>
    <t>Marchi, V; Raschi, A</t>
  </si>
  <si>
    <t>Marchi, Valentina; Raschi, Antonio</t>
  </si>
  <si>
    <t>Measuring destination image of an Italian island: An analysis of online content generated by local operators and tourists</t>
  </si>
  <si>
    <t>ISLAND STUDIES JOURNAL</t>
  </si>
  <si>
    <t>Capraia island; content analysis; destination image; destination marketing; text mining; tourist consumer behaviour</t>
  </si>
  <si>
    <t>MODEL; WEB</t>
  </si>
  <si>
    <t>The understanding of destination image is a key point for tourism enterprises, local authorities, and policy makers. This study explores the case of Capraia, a small island located in Tuscany, to analyze how tourists (tourism demand) and local operators (tourism supply) create and communicate the island's online image. This research quantitatively examines online communication on the two sides of the tourism market to monitor the online destination image of the island of Capraia. To build on previous research in this area, this study adopts a web content mining approach to assess the characteristics of content published online. The main dimensions of destination image (as developed in the literature) are used as a basis to create a dictionary for automated content analysis. A total of 24 tourism promotion websites and 9,180 tourist Instagram posts were analyzed. Findings reveal discrepancies between the image proposed by local operators and that perceived by tourists. Local operators mostly communicate general information to discover the destination, while tourists prioritize communication based on emotional appeal and personal experience on the island. This research aims to provide support for local operators and policy makers in decisions relating to communication and in defining the island image.</t>
  </si>
  <si>
    <t>[Marchi, Valentina; Raschi, Antonio] CNR, Inst BioEcon, Florence, Italy</t>
  </si>
  <si>
    <t>Consiglio Nazionale delle Ricerche (CNR); Istituto per la BioEconomia (IBE-CNR)</t>
  </si>
  <si>
    <t>Marchi, V (corresponding author), CNR, Inst BioEcon, Florence, Italy.</t>
  </si>
  <si>
    <t>valentina.marchi@ibe.cnr.it; antonio.raschi@ibe.cnr.it</t>
  </si>
  <si>
    <t>Marchi, Valentina/GWB-9525-2022</t>
  </si>
  <si>
    <t>Marchi, Valentina/0000-0002-0329-0707</t>
  </si>
  <si>
    <t>Tuscany Region (Italy) under PROSVINT project</t>
  </si>
  <si>
    <t>This work was supported by the Tuscany Region (Italy) under PROSVINT project.</t>
  </si>
  <si>
    <t>UNIV PRINCE EDWARD ISLAND, INST ISLAND STUDIES</t>
  </si>
  <si>
    <t>CHARLOTTETOWN</t>
  </si>
  <si>
    <t>550 UNIV AVE, CHARLOTTETOWN, PE C1A 4P3, CANADA</t>
  </si>
  <si>
    <t>1715-2593</t>
  </si>
  <si>
    <t>ISL STUD J</t>
  </si>
  <si>
    <t>Isl. Stud. J.</t>
  </si>
  <si>
    <t>10.24043/isj.168</t>
  </si>
  <si>
    <t>Geography; Social Sciences, Interdisciplinary</t>
  </si>
  <si>
    <t>Geography; Social Sciences - Other Topics</t>
  </si>
  <si>
    <t>WP1HB</t>
  </si>
  <si>
    <t>WOS:000712890200001</t>
  </si>
  <si>
    <t>Jannidis, F</t>
  </si>
  <si>
    <t>Jannidis, Fotis</t>
  </si>
  <si>
    <t>Perspectives of quantitative studies of the collection of novellas Novellenschatz</t>
  </si>
  <si>
    <t>LILI-ZEITSCHRIFT FUR LITERATURWISSENSCHAFT UND LINGUISTIK</t>
  </si>
  <si>
    <t>Digital Humanities; Quantitative text analysis; PCA; Graph theory; Centrality measures; Distant reading; Character constellation; Paul Heyse; Novellenschatz; Novellas; 19th Century literature</t>
  </si>
  <si>
    <t>When the writers Paul Heyse and Hermann Kurz edited the collection of narrative texts published under the name Novellenschatz (treasure of novellas), in selecting the texts and writing the quite instructive introductions to the texts and the collection they were led by a notion of what a novella is. This essay analyses some aspects of this concept of novella. Starting with the discussion, whether the collection is representative for the German novellas of the 19th Century, three approaches are presented. First a method is presented which allows to determine models for authors in a collection spanning some time. Applying this method to the Novellenschatz yields the rather surprising result, that the romantic writer Eichendoiff is the most influential writer of the corpus. Secondly, a definition of the novellas as having a clear-cut silhouette in comparison to the novel is tested using the character interactions modeled as a graph as proxy. The result shows that there really is a difference between the genres, at least the novellas in the collection and a collection of contemporary novels. Thirdly, using PCA on the hundred most frequent words it can be shown that one of the components is clearly different for the text by female authors in the collection, a closer analysis reveals that the texts by female authors have been selected based on the gender of the protagonist, while the selection of texts by male authors wasn't restricted by gender politics.</t>
  </si>
  <si>
    <t>[Jannidis, Fotis] Univ Wurzburg, Wurzburg, Germany</t>
  </si>
  <si>
    <t>University of Wurzburg</t>
  </si>
  <si>
    <t>Jannidis, F (corresponding author), Univ Wurzburg, Wurzburg, Germany.</t>
  </si>
  <si>
    <t>fotis@jannidis.de</t>
  </si>
  <si>
    <t>Jannidis, Fotis/AHE-2094-2022</t>
  </si>
  <si>
    <t>J B METZLER</t>
  </si>
  <si>
    <t>POSTFACH 10 32 41, D-70028 STUTTGART, GERMANY</t>
  </si>
  <si>
    <t>0049-8653</t>
  </si>
  <si>
    <t>2365-953X</t>
  </si>
  <si>
    <t>LILI</t>
  </si>
  <si>
    <t>Lili-Z. Literaturw. Linguist.</t>
  </si>
  <si>
    <t>10.1007/s41244-017-0050-x</t>
  </si>
  <si>
    <t>Language &amp; Linguistics; Literature</t>
  </si>
  <si>
    <t>Linguistics; Literature</t>
  </si>
  <si>
    <t>EV1EW</t>
  </si>
  <si>
    <t>WOS:000401490500002</t>
  </si>
  <si>
    <t>Heberling, JM; Miller, JT; Noesgaard, D; Weingart, SB; Schigel, D</t>
  </si>
  <si>
    <t>Heberling, J. Mason; Miller, Joseph T.; Noesgaard, Daniel; Weingart, Scott B.; Schigel, Dmitry</t>
  </si>
  <si>
    <t>Data integration enables global biodiversity synthesis</t>
  </si>
  <si>
    <t>biodiversity informatics; community science; Global Biodiversity Information Facility (GBIF); biological collections; scientometrics</t>
  </si>
  <si>
    <t>BIG DATA; COLLECTIONS; SCIENCE; DIGITIZATION; DATABASES; KNOWLEDGE; COVERAGE; ECOLOGY; FUTURE; MODELS</t>
  </si>
  <si>
    <t>The accessibility of global biodiversity information has surged in the past two decades, notably through widespread funding initiatives for museum specimen digitization and emergence of large-scale public participation in community science. Effective use of these data requires the integration of disconnected datasets, but the scientific impacts of consolidated biodiversity data networks have not yet been quantified. To determine whether data integration enables novel research, we carried out a quantitative text analysis and bibliographic synthesis of &gt;4,000 studies published from 2003 to 2019 that use data mediated by the world's largest biodiversity data network, the Global Biodiversity Information Facility (GBIF). Data available through GBIF increased 12-fold since 2007, a trend matched by global data use with roughly two publications using GBIF-mediated data per day in 2019. Data-use patterns were diverse by authorship, geographic extent, taxonomic group, and dataset type. Despite facilitating global authorship, legacies of colonial science remain. Studies involving species distribution modeling were most prevalent (31% of literature surveyed) but recently shifted in focus from theory to application. Topic prevalence was stable across the 17-y period for some research areas (e.g., macroecology), yet other topics proportionately declined (e.g., taxonomy) or increased (e.g., species interactions, disease). Although centered on biological subfields, GBIF-enabled research extends surprisingly across all major scientific disciplines. Biodiversity data mobilization through global data aggregation has enabled basic and applied research use at temporal, spatial, and taxonomic scales otherwise not possible, launching biodiversity sciences into a new era.</t>
  </si>
  <si>
    <t>[Heberling, J. Mason] Carnegie Museum Nat Hist, Sect Bot, Pittsburgh, PA 15213 USA; [Miller, Joseph T.; Noesgaard, Daniel; Schigel, Dmitry] Global Biodivers Informat Facil, DK-2100 Copenhagen O, Denmark; [Weingart, Scott B.] Carnegie Mellon Univ, Univ Lib, Digital Humanities Program, Pittsburgh, PA 15213 USA</t>
  </si>
  <si>
    <t>Carnegie Mellon University</t>
  </si>
  <si>
    <t>Heberling, JM (corresponding author), Carnegie Museum Nat Hist, Sect Bot, Pittsburgh, PA 15213 USA.</t>
  </si>
  <si>
    <t>Heberling, Mason/I-4506-2019; Miller, Joseph/M-2693-2016</t>
  </si>
  <si>
    <t>Heberling, Mason/0000-0003-0756-5090; Noesgaard, Daniel/0000-0002-0407-1805; Miller, Joseph/0000-0002-5788-9010; Schigel, Dmitry/0000-0002-2919-1168</t>
  </si>
  <si>
    <t>GBIF Secretariat</t>
  </si>
  <si>
    <t>This project was funded by GBIF Secretariat (to J.M.H.). We thank J. Waller for assistance with GBIF data and E.R. Ellwood, J. D. Fridley, S. Kuebbing, and the GBIF Science Committee for valuable feedback. We acknowledge the Regents of the University of California, SciTech Strategies, Observatoire des Sciences et des Technologies, and the Cyberinfrastructure for Network Science Center for making the 2010 UCSD map of science and classification system available for this work. We thank anonymous reviewers for helpful comments.</t>
  </si>
  <si>
    <t>FEB 9</t>
  </si>
  <si>
    <t>e2018093118</t>
  </si>
  <si>
    <t>10.1073/pnas.2018093118</t>
  </si>
  <si>
    <t>QG1MR</t>
  </si>
  <si>
    <t>WOS:000617355300053</t>
  </si>
  <si>
    <t>Huedig, M; Laibach, N; Hein, AC</t>
  </si>
  <si>
    <t>Huedig, Meike; Laibach, Natalie; Hein, Anke-Christiane</t>
  </si>
  <si>
    <t>Genome Editing in Crop Plant Research-Alignment of Expectations and Current Developments</t>
  </si>
  <si>
    <t>PLANTS-BASEL</t>
  </si>
  <si>
    <t>genome editing; crops; CRISPR; sustainable development goals</t>
  </si>
  <si>
    <t>QUANTITATIVE TRAIT VARIATION; ABIOTIC STRESS TOLERANCE; DROUGHT TOLERANCE; GRAIN-YIELD; RESISTANCE; GENE; CRISPR/CAS9; DISEASE; MAIZE; EFFICIENCY</t>
  </si>
  <si>
    <t>The rapid development of genome editing and other new genomic techniques (NGT) has evoked manifold expectations on purposes of the application of these techniques to crop plants. In this study, we identify and align these expectations with current scientific development. We apply a semi-quantitative text analysis approach on political, economic, and scientific opinion papers to disentangle and extract expectations towards the application of NGT-based plants. Using the sustainable development goals (SDG) of the 2030 agenda as categories, we identify contributions to food security or adaptation to climatic changes as the most frequently mentioned expectations, accompanied by the notion of sustainable agriculture and food systems. We then link SDG with relevant plant traits and review existing research and commercial field trials for genome-edited crop plants. For a detailed analysis we pick as representative traits drought tolerance and resistance against fungal pathogens. Diverse genetic setscrews for both traits have been identified, modified, and tested under laboratory conditions, although there are only a few in the field. All in all, NGT-plants that can withstand more than one stressor or different environments are not documented in advanced development states. We further conclude that developing new plants with modified traits will not be sufficient to reach food security or adaption to climatic changes in a short time frame. Further scientific development of sustainable agricultural systems will need to play an important role to tackle SDG challenges, as well.</t>
  </si>
  <si>
    <t>[Huedig, Meike] Univ Bonn, Inst Mol Physiol &amp; Biotechnol Plants, Mol Plant Physiol Div, Kirschallee 1, D-53115 Bonn, Germany; [Laibach, Natalie] Ctr Res Agr Genom CRAG, Edifici CRAG Campus UAB, Cerdanyola Del Valles 08193, Spain; [Hein, Anke-Christiane] Fed Agcy Nat Conservat, Assessment Genet Modified Organisms, Konstantinstr 110, D-53179 Bonn, Germany</t>
  </si>
  <si>
    <t>University of Bonn; Consejo Superior de Investigaciones Cientificas (CSIC); Centre de Recerca en Agrigenomica (CRAG); University of Barcelona</t>
  </si>
  <si>
    <t>Huedig, M (corresponding author), Univ Bonn, Inst Mol Physiol &amp; Biotechnol Plants, Mol Plant Physiol Div, Kirschallee 1, D-53115 Bonn, Germany.;Laibach, N (corresponding author), Ctr Res Agr Genom CRAG, Edifici CRAG Campus UAB, Cerdanyola Del Valles 08193, Spain.</t>
  </si>
  <si>
    <t>mhuedig@uni-bonn.de; natalie.laibach@cragenomica.es; anke-christiane.hein@bfn.de</t>
  </si>
  <si>
    <t>Laibach, Natalie/V-8936-2018</t>
  </si>
  <si>
    <t>Laibach, Natalie/0000-0002-2834-285X</t>
  </si>
  <si>
    <t>German Federal Agency for Nature Conservation (BfN) [FKZ 3520532051B]; German Federal Ministry for the Environment, Nature Conservation and Nuclear Safety (BMU)</t>
  </si>
  <si>
    <t>German Federal Agency for Nature Conservation (BfN); German Federal Ministry for the Environment, Nature Conservation and Nuclear Safety (BMU)</t>
  </si>
  <si>
    <t>The project Potentialanalyse Neue Gentechniken (FKZ 3520532051B) was commissioned by the German Federal Agency for Nature Conservation (BfN) with funds from the German Federal Ministry for the Environment, Nature Conservation and Nuclear Safety (BMU).</t>
  </si>
  <si>
    <t>2223-7747</t>
  </si>
  <si>
    <t>Plants-Basel</t>
  </si>
  <si>
    <t>10.3390/plants11020212</t>
  </si>
  <si>
    <t>Plant Sciences</t>
  </si>
  <si>
    <t>ZE1FG</t>
  </si>
  <si>
    <t>WOS:000758635600001</t>
  </si>
  <si>
    <t>Cruz, BDA; Baptista, VF; Dutt-Ross, S; Pimenta, S</t>
  </si>
  <si>
    <t>Cruz, Breno de Paula Andrade; Baptista, Vinicius Ferreira; Dutt-Ross, Steven; Pimenta, Sergio</t>
  </si>
  <si>
    <t>Online Evaluators: Ethics of Conviction versus Ethics of Responsibility in Building Evaluations</t>
  </si>
  <si>
    <t>RBGN-REVISTA BRASILEIRA DE GESTAO DE NEGOCIOS</t>
  </si>
  <si>
    <t>Types of online evaluators; ethics of conviction; ethics of responsibility</t>
  </si>
  <si>
    <t>CUSTOMER SATISFACTION; REVIEWS; FOOD; FAKE; RESTAURANTS; ATTRIBUTES</t>
  </si>
  <si>
    <t>Purpose - In this study, we seek to understand which types of evaluators build their evaluations based on the ethics of conviction and which ones build them based on the ethics of responsibility. Theoretical framework - The concepts of the public sphere from Habermas (1991) and ethics of conviction and ethics of responsibility from Weber (1978; 2004) are used to understand the public responsibility of online evaluations by the types of evaluators who produce them (whether real or false).Design/methodology/approach - A cluster analysis with 6,344 evaluations identified four groups of evaluators (speculators, pseudo experts, amateur critics, and real experts). A Spearman correlation matrix is used to verify the correlation between some variables and these groups. Using the quantitative text analysis technique, bigrams (word associations) were identified.Findings - (i) Speculators and pseudo experts tend to present only one score, exercising the act of evaluating using clear ethics of conviction; and (ii) amateurs critics and real experts associate responsibility and experience in the dynamics of translating the gastronomic experience, emphasizing the ethics of responsibility. Practical &amp; social implications of research - As the study by Cruz et al. (2021) presented the types of online evaluators, we characterized them by understanding (i) whether they act based on the ethics of conviction or ethics of responsibility and (ii) the form and content of fake online reviews. Originality/value - We discuss the public responsibility of online reviews - particularly of people who acted as diners.</t>
  </si>
  <si>
    <t>[Cruz, Breno de Paula Andrade] Fed Univ Rio Janeiro, Dept Gastron, Rio De Janeiro, RJ, Brazil; [Baptista, Vinicius Ferreira] Fed Rural Univ Rio Janeiro, Dept Publ Policy, Seropedica, RJ, Brazil; [Dutt-Ross, Steven] Fed Univ Rio Janeiro, Dept Quantitat Method, Rio De Janeiro, RJ, Brazil; [Pimenta, Sergio] Fed Univ Rio Janeiro, Graduating Gastron, Rio De Janeiro, Brazil</t>
  </si>
  <si>
    <t>Universidade Federal Rural do Rio de Janeiro (UFRRJ); Universidade Federal do Rio de Janeiro</t>
  </si>
  <si>
    <t>Cruz, BDA (corresponding author), Fed Univ Rio Janeiro, Dept Gastron, Rio De Janeiro, RJ, Brazil.</t>
  </si>
  <si>
    <t>brenocruz@gastronomia.ufrj.br; viniciusferbap@ufrrj.br; steven.ross@uniriotec.br; sergioorlz@gmail.com</t>
  </si>
  <si>
    <t>FUND ESCOLA COMERCIO ALVARES PENTEADO-FECAP</t>
  </si>
  <si>
    <t>SAO PAULO SP</t>
  </si>
  <si>
    <t>AV DA LIBERDADE 532, SAO PAULO SP, CEP01502-001, BRAZIL</t>
  </si>
  <si>
    <t>1806-4892</t>
  </si>
  <si>
    <t>1983-0807</t>
  </si>
  <si>
    <t>RBGN-REV BRAS GEST N</t>
  </si>
  <si>
    <t>RBGN-Rev. Bras. Gest. Negocios</t>
  </si>
  <si>
    <t>JUL-SEP</t>
  </si>
  <si>
    <t>10.7819/rbgn.v24i3.4189</t>
  </si>
  <si>
    <t>5Y6VO</t>
  </si>
  <si>
    <t>WOS:000879420000001</t>
  </si>
  <si>
    <t>Vidacak, I</t>
  </si>
  <si>
    <t>Vidacak, Igor</t>
  </si>
  <si>
    <t>Beyond Usual Suspects? Inclusion and Influence of Non-State Actors in Online Public Consultations in Croatia</t>
  </si>
  <si>
    <t>SOCIAL SCIENCES-BASEL</t>
  </si>
  <si>
    <t>e-consultations; policymaking; citizens; interest groups; inclusion; influence; participation; stakeholder engagement; government responsiveness; Croatia</t>
  </si>
  <si>
    <t>QUANTITATIVE TEXT ANALYSIS; BIAS; EU</t>
  </si>
  <si>
    <t>Despite the increasing use of various e-democracy tools in shaping new policies, there is still a general lack of empirical studies on the influence of non-state actors in online public consultations. This article addresses this gap in the academic literature by focusing on the case of Croatia, which may have relevant broader practical and theoretical implications due to the legally binding rules of institutional responsiveness to individual policy inputs received during e-consultations and the growing interest of citizens and various interest groups to get engaged in this form of policy dialogue. Drawing on the novel data set that includes the responses of 39 government bodies to 51,250 policy inputs of interest groups and individual citizens to online consultations during the first three years since the launch of the government consultation platform, the paper seeks to analyse the influence of different types of non-state actors on the outcomes of government-led online public consultations. Contrary to general expectations about the predominance of more resourceful interest groups, it is argued that individual citizens exert a noticeable influence on the results of online policy consultations of Croatian government bodies. It is also claimed that the specific design and patterns of online public consultations, especially improved responsiveness of government bodies, contribute to the pluralisation of interests, equalizing political representation, and empowering individual citizens and other new actors, beyond traditional interest groups and usual suspects in national decision-making processes.</t>
  </si>
  <si>
    <t>[Vidacak, Igor] Univ Zagreb, Fac Polit Sci, Zagreb 10000, Croatia</t>
  </si>
  <si>
    <t>University of Zagreb; University of Zagreb, School of Dental Medicine</t>
  </si>
  <si>
    <t>Vidacak, I (corresponding author), Univ Zagreb, Fac Polit Sci, Zagreb 10000, Croatia.</t>
  </si>
  <si>
    <t>igor.vidacak@fpzg.hr</t>
  </si>
  <si>
    <t>Vidačak, Igor/GRR-7085-2022</t>
  </si>
  <si>
    <t>Vidačak, Igor/0000-0003-2532-7504</t>
  </si>
  <si>
    <t>2076-0760</t>
  </si>
  <si>
    <t>SOC SCI-BASEL</t>
  </si>
  <si>
    <t>Soc. Sci.-Basel</t>
  </si>
  <si>
    <t>10.3390/socsci11100436</t>
  </si>
  <si>
    <t>5T5WS</t>
  </si>
  <si>
    <t>WOS:000875937000001</t>
  </si>
  <si>
    <t>Grandia, J; Kruyen, PM</t>
  </si>
  <si>
    <t>Grandia, J. (Jolien); Kruyen, P. M. (Peter)</t>
  </si>
  <si>
    <t>Assessing the implementation of sustainable public procurement using quantitative text-analysis tools: A large-scale analysis of Belgian public procurement notices</t>
  </si>
  <si>
    <t>JOURNAL OF PURCHASING AND SUPPLY MANAGEMENT</t>
  </si>
  <si>
    <t>Text mining; Public procurement; Sustainable public procurement</t>
  </si>
  <si>
    <t>SUPPLY CHAIN MANAGEMENT; FRAMEWORK; SECTOR</t>
  </si>
  <si>
    <t>Public organizations are using sustainable public procurement (SPP) as a policy tool to address societal and environmental issues. Having a policy on SPP however does not guarantee implementation. Several barriers have for example been identified that prevent public procurers from implementing SPP in their procurement projects, such as financial constraints, lack of knowledge or motivation. The question therefore arises how much SPP public organizations actually implement in their procurement projects. However, existing studies often focus on the environmental part of SPP and often rely on using interviews or surveys to assess the perceived degree of SPP (which have been accused of being subject to social desirability bias and low response rates). Little is therefore known about what SPP is in practice, and how frequently it is implemented. In this study, we therefore provide a detailed operationalization of SPP that encompasses the full concept. We subsequently assess the implementation of SPP in practice using text mining techniques to analyse over 140.000 Belgian public procurement notices that were published between 2011 and 2016. The research shows that in more than 70% of the notices (with an annex) SPP is implemented, but there appears to be a downward trend. It seems that SPP is implemented less over time, rather than more. Environmentally friendly procurement was, relative to other types of SPP, prevalent over time and across regions. For SPP to live up to its potential there are thus still barriers to be overcome.</t>
  </si>
  <si>
    <t>[Grandia, J. (Jolien)] Erasmus Univ, Dept Publ Adm &amp; Sociol, Rotterdam, Netherlands; [Kruyen, P. M. (Peter)] Radboud Univ Nijmegen, Inst Management Res, Nijmegen, Netherlands</t>
  </si>
  <si>
    <t>Erasmus University Rotterdam; Radboud University Nijmegen</t>
  </si>
  <si>
    <t>Grandia, J (corresponding author), Erasmus Univ, Dept Publ Adm &amp; Sociol, Rotterdam, Netherlands.</t>
  </si>
  <si>
    <t>grandia@essb.eur.nl; p.m.kruyen@fm.ru.nl</t>
  </si>
  <si>
    <t>Grandia, Jolien/B-4143-2014</t>
  </si>
  <si>
    <t>Grandia, Jolien/0000-0003-0663-8606</t>
  </si>
  <si>
    <t>'Federaal instituut voor Duurzame Ontwikkeling' (FIDO - Federal Institute for Sustainable Development) of the Belgian Federal Government; FIDO</t>
  </si>
  <si>
    <t>The research was funded and commissioned by the 'Federaal instituut voor Duurzame Ontwikkeling' (FIDO - Federal Institute for Sustainable Development) of the Belgian Federal Government. The authors wish to thank the FIDO for their trust and support. The authors also wish to thank the anonymous reviewers for their constructive comments.</t>
  </si>
  <si>
    <t>1478-4092</t>
  </si>
  <si>
    <t>1873-6505</t>
  </si>
  <si>
    <t>J PURCH SUPPLY MANAG</t>
  </si>
  <si>
    <t>J. Purch. Supply Manag.</t>
  </si>
  <si>
    <t>10.1016/j.pursup.2020.100627</t>
  </si>
  <si>
    <t>NU4ST</t>
  </si>
  <si>
    <t>WOS:000573633900002</t>
  </si>
  <si>
    <t>Bischof, D; Senninger, R</t>
  </si>
  <si>
    <t>Bischof, Daniel; Senninger, Roman</t>
  </si>
  <si>
    <t>Simple politics for the people? Complexity in campaign messages and political knowledge</t>
  </si>
  <si>
    <t>party competition; populism; campaigns; voter knowledge; quantitative text analysis</t>
  </si>
  <si>
    <t>ELECTORAL CONSEQUENCES; PARTY ORGANIZATION; MEASURING POPULISM; ISSUE OWNERSHIP; POLICY SHIFTS; ELECTIONS; VOTERS; GOVERNMENT; POSITIONS; DEMOCRACY</t>
  </si>
  <si>
    <t>Which parties use simple language in their campaign messages, and do simple campaign messages resonate with voters' information about parties? This study introduces a novel link between the language applied during election campaigns and citizens' ability to position parties in the ideological space. To this end, how complexity of campaign messages varies across parties as well as how it affects voters' knowledge about party positions is investigated. Theoretically, it is suggested that populist parties are more likely to simplify their campaign messages to demarcate themselves from mainstream competitors. In turn, voters should perceive and process simpler campaign messages better and, therefore, have more knowledge about the position of parties that communicate simpler campaign messages. The article presents and validates a measure of complexity and uses it to assess the language of manifestos in Austria and Germany in the period 1945-2013. It shows that political parties, in general, use barely comprehensible language to communicate their policy positions. However, differences between parties exist and support is found for the conjecture about populist parties as they employ significantly less complex language in their manifestos. Second, evidence is found that individuals are better able to place parties in the ideological space if parties use less complex campaign messages. The findings lead to greater understanding of mass-elite linkages during election campaigns and have important consequences for the future analysis of manifesto data.</t>
  </si>
  <si>
    <t>[Bischof, Daniel] Univ Zurich, Zurich, Switzerland; [Senninger, Roman] Aarhus Univ, Aarhus, Denmark</t>
  </si>
  <si>
    <t>University of Zurich; Aarhus University</t>
  </si>
  <si>
    <t>Bischof, D (corresponding author), Univ Zurich, Dept Polit Sci, Affolternstr 56, CH-8050 Zurich, Switzerland.</t>
  </si>
  <si>
    <t>bischof@ipz.uzh.ch</t>
  </si>
  <si>
    <t>Bischof, Daniel/AAB-4061-2019</t>
  </si>
  <si>
    <t>Bischof, Daniel/0000-0001-9400-1001; Senninger, Roman/0000-0003-2254-145X</t>
  </si>
  <si>
    <t>10.1111/1475-6765.12235</t>
  </si>
  <si>
    <t>GC1KR</t>
  </si>
  <si>
    <t>WOS:000429541200010</t>
  </si>
  <si>
    <t>Cunningham, JW; Hiebert, EH; Mesmer, HA</t>
  </si>
  <si>
    <t>Cunningham, James W.; Hiebert, Elfrieda H.; Mesmer, Heidi Anne</t>
  </si>
  <si>
    <t>Investigating the validity of two widely used quantitative text tools</t>
  </si>
  <si>
    <t>READING AND WRITING</t>
  </si>
  <si>
    <t>Quantitative text analysis; Readability; Text complexity; Text difficulty</t>
  </si>
  <si>
    <t>READING-COMPREHENSION; READABILITY FORMULAS; DIFFICULTY; COMPLEXITY; KNOWLEDGE; ABILITY; CLOZE; STATE; MODEL</t>
  </si>
  <si>
    <t>In recent years, readability formulas have gained new prominence as a basis for selecting texts for learning and assessment. Variables that quantitative tools count (e.g., word frequency, sentence length) provide valid measures of text complexity insofar as they accurately predict representative and high-quality criteria. The longstanding consensus of text researchers has been that such criteria will measure readers' comprehension of sample texts. This study used Bormuth's (1969) rigorously developed criterion measure to investigate two of today's most widely used quantitative text tools-the Lexile Framework and the Flesch-Kincaid Grade-Level formula. Correlations between the two tools' complexity scores and Bormuth's measured difficulties of criterion passages were only moderately high in light of the literature and new high stakes uses for such tools. These correlations declined a small amount when passages from the University grade band of use were removed. The ability of these tools to predict measured text difficulties within any single grade band below University was low. Analyses showed that word complexity made a larger contribution relative to sentence complexity when each tool's predictors were regressed on the Bormuth criterion rather than their original criteria. When the criterion was texts' grade band of use instead of mean cloze scores, neither tool classified texts well and errors disproportionally placed texts from higher grade bands into lower ones. Results suggest these two text tools may lack adequate validity for their current uses in educational settings.</t>
  </si>
  <si>
    <t>[Cunningham, James W.] Univ North Carolina Chapel Hill, Chapel Hill, NC 27599 USA; [Hiebert, Elfrieda H.] TextProject, Santa Cruz, CA USA; [Mesmer, Heidi Anne] Virginia Tech, Blacksburg, VA USA</t>
  </si>
  <si>
    <t>University of North Carolina; University of North Carolina Chapel Hill; University of North Carolina School of Medicine; Virginia Polytechnic Institute &amp; State University</t>
  </si>
  <si>
    <t>Cunningham, JW (corresponding author), Univ North Carolina Chapel Hill, Chapel Hill, NC 27599 USA.</t>
  </si>
  <si>
    <t>jwcunnin@email.unc.edu</t>
  </si>
  <si>
    <t>0922-4777</t>
  </si>
  <si>
    <t>1573-0905</t>
  </si>
  <si>
    <t>READ WRIT</t>
  </si>
  <si>
    <t>Read. Writ.</t>
  </si>
  <si>
    <t>10.1007/s11145-017-9815-4</t>
  </si>
  <si>
    <t>FY4PP</t>
  </si>
  <si>
    <t>WOS:000426807300003</t>
  </si>
  <si>
    <t>Sterling, J; Jost, JT; Bonneau, R</t>
  </si>
  <si>
    <t>Sterling, Joanna; Jost, John T.; Bonneau, Richard</t>
  </si>
  <si>
    <t>Political Psycholinguistics: A Comprehensive Analysis of the Language Habits of Liberal and Conservative Social Media Users</t>
  </si>
  <si>
    <t>JOURNAL OF PERSONALITY AND SOCIAL PSYCHOLOGY</t>
  </si>
  <si>
    <t>political ideology; psycholinguistics; quantitative text analysis; social cognition; social media</t>
  </si>
  <si>
    <t>BASIC PERSONAL VALUES; SYSTEM JUSTIFICATION; IDEOLOGICAL ASYMMETRIES; INTEGRATIVE COMPLEXITY; DOMINANCE ORIENTATION; COLLEGE SOPHOMORES; PSYCHOLOGY VIEW; COGNITIVE-STYLE; SHARED REALITY; MOTIVATION</t>
  </si>
  <si>
    <t>For nearly a century social scientists have sought to understand left-right ideological differences in values, motives, and thinking styles. Much progress has been made, but-as in other areas of research-this work has been criticized for relying on small and statistically unrepresentative samples and the use of reactive, self-report measures that lack ecological validity. In an effort to overcome these limitations, we employed automated text analytic methods to investigate the spontaneous, naturally occurring use of language in nearly 25,000 Twitter users. We derived 27 hypotheses from the literature on political psychology and tested them using 32 individual dictionaries. In 23 cases, we observed significant differences in the linguistic styles of liberals and conservatives. For instance, liberals used more language that conveyed benevolence, whereas conservatives used more language pertaining to threat, power, tradition, resistance to change, certainty, security, anger, anxiety, and negative emotion in general. In 17 cases, there were also significant effects of ideological extremity. For instance, moderates used more benevolent language, whereas extremists used more language pertaining to inhibition, tentativeness, affiliation, resistance to change, certainty, security, anger, anxiety, negative affect, swear words, and death-related language. These research methods, which are easily adaptable, open up new and unprecedented opportunities for conducting unobtrusive research in psycholinguistics and political psychology with large and diverse samples.</t>
  </si>
  <si>
    <t>[Sterling, Joanna] Princeton Univ, Dept Psychol, Princeton, NJ 08544 USA; [Jost, John T.] NYU, Dept Psychol, Meyer Hall,6 Washington Pl,6th Floor, New York, NY 10003 USA; [Bonneau, Richard] NYU, Ctr Genom &amp; Syst Biol, New York, NY 10003 USA</t>
  </si>
  <si>
    <t>Princeton University; New York University; New York University</t>
  </si>
  <si>
    <t>Jost, JT (corresponding author), NYU, Dept Psychol, Meyer Hall,6 Washington Pl,6th Floor, New York, NY 10003 USA.</t>
  </si>
  <si>
    <t>john.jost@nyu.edu</t>
  </si>
  <si>
    <t>Bonneau, Richard/GZL-2900-2022; Bonneau, Richard/ABD-6737-2021</t>
  </si>
  <si>
    <t>Jost, John/0000-0002-2844-4645</t>
  </si>
  <si>
    <t>INSPIRE program of the National Science Foundation [SES-1248077, SES-1248077-001]; Global Institute for Advanced Study (GIAS) at New York University; Research Investment Fund (RIF) at New York University; National Science Foundation Award [BCS-1627691]</t>
  </si>
  <si>
    <t>INSPIRE program of the National Science Foundation; Global Institute for Advanced Study (GIAS) at New York University; Research Investment Fund (RIF) at New York University; National Science Foundation Award(National Science Foundation (NSF))</t>
  </si>
  <si>
    <t>This article is based on a doctoral dissertation submitted to the Department of Psychology at New York University by Joanna Sterling under the supervision of John T. Jost. We thank the other members of the dissertation committee, namely Eric Knowles, Patrick Shrout, and Jay Van Bavel. This research was supported by the INSPIRE program of the National Science Foundation (Awards #SES-1248077 and #SES-1248077-001) as well as the Global Institute for Advanced Study (GIAS) and Research Investment Fund (RIF) at New York University. John T. Jost also gratefully acknowledges support from National Science Foundation Award #BCS-1627691. We thank Duncan Penfold-Brown, Jonathan Ronen, and Yvan Scher for their invaluable assistance with computer programming and data procurement. Study materials and code for data analysis have been made accessible on the Open Science Framework. The data provided have been deidentified per Twitter's terms of service: https://osf.io/4fsva/.</t>
  </si>
  <si>
    <t>0022-3514</t>
  </si>
  <si>
    <t>1939-1315</t>
  </si>
  <si>
    <t>J PERS SOC PSYCHOL</t>
  </si>
  <si>
    <t>J. Pers. Soc. Psychol.</t>
  </si>
  <si>
    <t>10.1037/pspp0000275</t>
  </si>
  <si>
    <t>KT1YA</t>
  </si>
  <si>
    <t>WOS:000518808000011</t>
  </si>
  <si>
    <t>Becker, L; Coussement, K; Buttgen, M; Weber, E</t>
  </si>
  <si>
    <t>Becker, Laura; Coussement, Kristof; Buettgen, Marion; Weber, Ellen</t>
  </si>
  <si>
    <t>Leadership in innovation communities: The impact of transformational leadership language on member participation</t>
  </si>
  <si>
    <t>JOURNAL OF PRODUCT INNOVATION MANAGEMENT</t>
  </si>
  <si>
    <t>innovation communities; language; text analysis; transformational leadership; user participation</t>
  </si>
  <si>
    <t>LINGUISTIC STYLE MATCHES; TRANSACTIONAL LEADERSHIP; ORGANIZATIONAL INNOVATION; MEDIATING ROLE; MOTIVATING LANGUAGE; TEAM PERFORMANCE; IDEA GENERATION; MODERATING ROLE; TEXT ANALYSIS; BLACK-BOX</t>
  </si>
  <si>
    <t>Many organizations seek to establish online innovation communities (ICs) to obtain valuable knowledge and innovative ideas, though both research and practice suggest that they also struggle to sustain continued, high-quality member participation. Designated IC moderators might be able to stimulate IC members to participate regularly and make high-quality contributions. In response to calls to integrate organizational behavior and IC research, this study addresses the impact of community moderators' uses of transformational leadership (TFL) language on member participation. By operationalizing the TFL dimensions-charisma, individualized consideration, and intellectual stimulation-with language cues, this article uses an automated text analysis approach to review 64 firm-hosted ICs with 538,805 posts, analyzed with two hierarchical linear models. The findings show that moderators' charismatic language cues enhance members' participation quality and quantity. Although individualized consideration and intellectual stimulation increase participation quality, they decrease participation quantity. Organizations thus should assign moderators to lead ICs by using TFL language strategically, in accordance with the focal IC goals, in terms of the quality and quantity of member contributions to their innovation processes. This article contributes to the literature by exploring how leadership language in online communities can facilitate the development of innovative ideas. In addition, this study offers a more nuanced view on the effects of TFL by revealing both positive and negative outcomes in firm-hosted online ICs and it introduces a new, objective measure of TFL built on linguistic markers. This article also includes specific guidelines for how moderators can achieve effective leadership through their language use, as well as managerial implications for the effective selection, training, and support of IC moderators.</t>
  </si>
  <si>
    <t>[Becker, Laura; Buettgen, Marion; Weber, Ellen] Univ Hohenheim, Corp Management, Inst Mkt &amp; Management, Schwerzstr 42, D-70599 Stuttgart, Germany; [Coussement, Kristof] Univ Lille, CNRS, UMR LEM Lille Econ Management 9221, IESEG Sch Management, Lille, France</t>
  </si>
  <si>
    <t>University Hohenheim; Centre National de la Recherche Scientifique (CNRS); IESEG School of Management; Universite de Lille - ISITE; Universite de Lille</t>
  </si>
  <si>
    <t>Buttgen, M (corresponding author), Univ Hohenheim, Corp Management, Inst Mkt &amp; Management, Schwerzstr 42, D-70599 Stuttgart, Germany.</t>
  </si>
  <si>
    <t>m.buettgen@uni-hohenheim.de</t>
  </si>
  <si>
    <t>Becker, Laura/0000-0002-4978-2205; Buttgen, Marion/0000-0002-9409-8701; Weber, Ellen/0000-0003-3652-2284</t>
  </si>
  <si>
    <t>0737-6782</t>
  </si>
  <si>
    <t>1540-5885</t>
  </si>
  <si>
    <t>J PROD INNOVAT MANAG</t>
  </si>
  <si>
    <t>J. Prod. Innov. Manage.</t>
  </si>
  <si>
    <t>10.1111/jpim.12588</t>
  </si>
  <si>
    <t>Business; Engineering, Industrial; Management</t>
  </si>
  <si>
    <t>Business &amp; Economics; Engineering</t>
  </si>
  <si>
    <t>0V3GI</t>
  </si>
  <si>
    <t>WOS:000677806200001</t>
  </si>
  <si>
    <t>Ben-Sasson, A; Robins, DL; Yom-Tov, E</t>
  </si>
  <si>
    <t>Ben-Sasson, Ayelet; Robins, Diana L.; Yom-Tov, Elad</t>
  </si>
  <si>
    <t>Risk Assessment for Parents Who Suspect Their Child Has Autism Spectrum Disorder: Machine Learning Approach</t>
  </si>
  <si>
    <t>autistic disorder; early diagnosis; screening; parents; child; expression of concern; technology; machine learning</t>
  </si>
  <si>
    <t>M-CHAT-R/F; MODIFIED CHECKLIST; TODDLERS; INTERNET; DIAGNOSIS; AGE; IDENTIFICATION; INFORMATION; SAMPLE</t>
  </si>
  <si>
    <t>Background: Parents are likely to seek Web-based communities to verify their suspicions of autism spectrum disorder markers in their child. Automated tools support human decisions in many domains and could therefore potentially support concerned parents. Objective: The objective of this study was to test the feasibility of assessing autism spectrum disorder risk in parental concerns from Web-based sources, using automated text analysis tools and minimal standard questioning. Methods: Participants were 115 parents with concerns regarding their child's social-communication development. Children were 16- to 30-months old, and 57.4% (66/115) had a family history of autism spectrum disorder. Parents reported their concerns online, and completed an autism spectrum disorder-specific screener, the Modified Checklist for Autism in Toddlers-Revised, with Follow-up (M-CHAT-R/F), and a broad developmental screener, the Ages and Stages Questionnaire (ASQ). An algorithm predicted autism spectrum disorder risk using a combination of the parent's text and a single screening question, selected by the algorithm to enhance prediction accuracy. Results: Screening measures identified 58% (67/115) to 88% (101/115) of children at risk for autism spectrum disorder. Children with a family history of autism spectrum disorder were 3 times more likely to show autism spectrum disorder risk on screening measures. The prediction of a child's risk on the ASQ or M-CHAT-R was significantly more accurate when predicted from text combined with an M-CHAT-R question selected (automatically) than from the text alone. The frequently automatically selected M-CHAT-R questions that predicted risk were: following a point, make-believe play, and concern about deafness. Conclusions: The internet can be harnessed to prescreen for autism spectrum disorder using parental concerns by administering a few standardized screening questions to augment this process.</t>
  </si>
  <si>
    <t>[Ben-Sasson, Ayelet] Univ Haifa, Fac Social Welf &amp; Hlth Sci, Dept Occupat Therapy, Aba Khoushy Ave 199, IL-3498838 Haifa, Israel; [Robins, Diana L.] Drexel Univ, AJ Drexel Autism Inst, Philadelphia, PA 19104 USA; [Yom-Tov, Elad] Microsoft Res, Herzliyya, Israel</t>
  </si>
  <si>
    <t>University of Haifa; Drexel University</t>
  </si>
  <si>
    <t>Ben-Sasson, A (corresponding author), Univ Haifa, Fac Social Welf &amp; Hlth Sci, Dept Occupat Therapy, Aba Khoushy Ave 199, IL-3498838 Haifa, Israel.</t>
  </si>
  <si>
    <t>asasson@univ.haifa.ac.il</t>
  </si>
  <si>
    <t>Robins, Diana/HCI-3026-2022</t>
  </si>
  <si>
    <t>Yom-Tov, Elad/0000-0002-2380-4584; Ben-Sasson, Ayelet/0000-0003-2677-9414</t>
  </si>
  <si>
    <t>Caesarea Rothschild Institute</t>
  </si>
  <si>
    <t>The authors received financial support for the research of this paper from the Caesarea Rothschild Institute.</t>
  </si>
  <si>
    <t>59 WINNERS CIRCLE, TORONTO, ON M4L 3Y7, CANADA</t>
  </si>
  <si>
    <t>e134</t>
  </si>
  <si>
    <t>10.2196/jmir.9496</t>
  </si>
  <si>
    <t>GE3XY</t>
  </si>
  <si>
    <t>WOS:000431147400001</t>
  </si>
  <si>
    <t>Tvinnereim, E; Flottum, K; Gjerstad, O; Johannesson, MP; Nordo, AD</t>
  </si>
  <si>
    <t>Tvinnereim, Endre; Flottum, Kjersti; Gjerstad, Oyvind; Johannesson, Mikael Poul; Nordo, Asta Dyrnes</t>
  </si>
  <si>
    <t>Citizens' preferences for tackling climate change. Quantitative and qualitative analyses of their freely formulated solutions</t>
  </si>
  <si>
    <t>climate change; public opinion; quantitative text analysis; qualitative text analysis; climate change mitigation; climate change adaptation</t>
  </si>
  <si>
    <t>WILLINGNESS-TO-PAY; SUPPORT; PERCEPTIONS; POLICY</t>
  </si>
  <si>
    <t>Tackling climate change requires both policy and individual action. Mobilizing such action can be made more optimal with knowledge about how the public views climate change solutions and what they think needs to be done in the face of climate change. Yet most public opinion research to date uses either closed questions about agreement with various pre-determined statements (such as views on science, worry, and support for given policy options) or use open-ended questions eliciting generic associations with climate change. This article uses an open-ended survey question in a probability-based Internet survey panel in Norway, analyzing 4634 textual responses to the question of what should be done about climate change. Using structural topic modeling (STM), we induce seven topics: Transportation, energy transition, attribution of climate change, emission reduction, the international dimension, lifestyle/consumption and government measures. We find that Norwegians strongly emphasize mitigation over adaptation, as few responses mention the latter topic. Also, men seem to externalize the solutions to climate change, emphasizing energy policies, the international dimension, and discussions about the causes of climate change, while women to a larger extent understand climate action as an issue involving individual behavior, calling for better public transportation and lifestyle changes. Overall, our results suggest a willingness to accept stronger mitigation action, but also that central and local governments need to facilitate low-carbon choices, bridging policy and individual action to mitigate climate change.</t>
  </si>
  <si>
    <t>[Tvinnereim, Endre] Uni Res Rokkan Ctr, Bergen, Norway; [Flottum, Kjersti; Gjerstad, Oyvind] Univ Bergenb, Dept Foreign Languages, Bergen, Norway; [Johannesson, Mikael Poul; Nordo, Asta Dyrnes] Univ Bergen, Dept Comparat Polit, Bergen, Norway</t>
  </si>
  <si>
    <t>Tvinnereim, E (corresponding author), Uni Res Rokkan Ctr, Bergen, Norway.</t>
  </si>
  <si>
    <t>Bergen Research Foundation [BFS2015DIG]; Research Council of Norway under the project Lingclim [220654]; Research Council of Norway under the project JPI European Perceptions of Climate Change [244904]</t>
  </si>
  <si>
    <t>Bergen Research Foundation; Research Council of Norway under the project Lingclim(Research Council of Norway); Research Council of Norway under the project JPI European Perceptions of Climate Change(Research Council of Norway)</t>
  </si>
  <si>
    <t>The research was funded by grants from the Bergen Research Foundation (grant no. BFS2015DIG) and the Research Council of Norway under the projects Lingclim (grant no. 220654) and JPI European Perceptions of Climate Change (grant no. 244904). We would like to thank Lise Bjanesoy, Ottar Hellevik, and the participants of the Norwegian Citizen Panel Workshops of June 2016 and December 2015 for help and feedback at various stages of the manuscript.</t>
  </si>
  <si>
    <t>10.1016/j.gloenvcha.2017.06.005</t>
  </si>
  <si>
    <t>FK3JN</t>
  </si>
  <si>
    <t>WOS:000413381500004</t>
  </si>
  <si>
    <t>Manchaiah, V; Swanepoel, D; Bailey, A; Pennebaker, JW; Bennett, RJ</t>
  </si>
  <si>
    <t>Manchaiah, Vinaya; Swanepoel, De Wet; Bailey, Abram; Pennebaker, James W.; Bennett, Rebecca J.</t>
  </si>
  <si>
    <t>Hearing Aid Consumer Reviews: A Linguistic Analysis in Relation to Benefit and Satisfaction Ratings</t>
  </si>
  <si>
    <t>AMERICAN JOURNAL OF AUDIOLOGY</t>
  </si>
  <si>
    <t>DAILY-LIFE; IMPACT; TECHNOLOGY; OUTCOMES; INFODEMIOLOGY; WORDS</t>
  </si>
  <si>
    <t>Purpose: Online reviews have been used by hearing aid owners to share their experiences and to provide suggestions to potential hearing aid buyers, although they have not been systematically examined. The study was aimed at examining the hearing aid consumer reviews using automated linguistic analysis, and how the linguistic variables relate to self-reported hearing aid benefit and satisfaction ratings. Method: The study used a cross- sectional design. One thousand three hundred seventy-eight consumer hearing aid reviews ( i.e., text response to open-ended question), self-reported benefit and satisfaction ratings on hearing aids in a 5-point scale with meta-data (e.g., hearing aid brand, technology level) extracted from the Hearing Tracker website were analyzed using automated text analysis method known as the Linguistic Inquiry and Word Count. Results: Self-reported hearing aid benefit and satisfaction ratings were high (i.e., mean rating of 4.04 in a 5-point scale). Examining the association between overall rating and the key linguistic variables point to two broad findings. First, the more people were personally, socially, and emotionally engaged with the hearing device experience, the higher they rated their hearing device( s). Second, a minimal occurrence of clinic-visit language dimensions points to factors that likely affect benefit and satisfaction ratings. For example, if people mention paying too much money (money), their overall ratings are generally lower. Conversely, if people write about their health or home, the ratings were higher. There was no significant difference in linguistic analysis across different hearing aid brands and technology levels. Conclusions: Hearing aid consumers are generally satisfied with their hearing device(s), and their online reviews contain information about social/emotional dimensions as well as clinic-visit related aspects that have bearing toward hearing aid benefit and satisfaction ratings. These results suggest that the natural language used by consumers provide insights on their perceived benefit/satisfaction from their hearing device.</t>
  </si>
  <si>
    <t>[Manchaiah, Vinaya] Lamar Univ, Dept Speech &amp; Hearing Sci, Beaumont, TX 77705 USA; [Manchaiah, Vinaya] Manipal Univ, Sch Allied Hlth Sci, Dept Speech &amp; Hearing, Manipal, India; [Swanepoel, De Wet] Univ Pretoria, Dept Speech Language Pathol &amp; Audiol, Gauteng, South Africa; [Swanepoel, De Wet; Bennett, Rebecca J.] Ear Sci Inst Australia, Subiaco, WA, Australia; [Swanepoel, De Wet; Bennett, Rebecca J.] Univ Western Australia, Ear Sci Ctr, Sch Surg, Nedlands, WA, Australia; [Bailey, Abram] Hearing Tracker Inc, Austin, TX USA; [Pennebaker, James W.] Univ Texas Austin, Dept Psychol, Austin, TX 78712 USA</t>
  </si>
  <si>
    <t>Texas State University System; Lamar University; Manipal Academy of Higher Education (MAHE); University of Pretoria; Ear Science Institute Australia; University of Western Australia; University of Texas System; University of Texas Austin</t>
  </si>
  <si>
    <t>Manchaiah, V (corresponding author), Lamar Univ, Dept Speech &amp; Hearing Sci, Beaumont, TX 77705 USA.;Manchaiah, V (corresponding author), Manipal Univ, Sch Allied Hlth Sci, Dept Speech &amp; Hearing, Manipal, India.</t>
  </si>
  <si>
    <t>vmanchaiah@lamar.edu</t>
  </si>
  <si>
    <t>Pennebaker, James/GLR-6058-2022; Manchaiah, Vinaya/I-1824-2014</t>
  </si>
  <si>
    <t>Manchaiah, Vinaya/0000-0002-1254-8407; Swanepoel, De Wet/0000-0001-8313-1636; Bennett, Rebecca/0000-0001-9427-5539</t>
  </si>
  <si>
    <t>AMER SPEECH-LANGUAGE-HEARING ASSOC</t>
  </si>
  <si>
    <t>ROCKVILLE</t>
  </si>
  <si>
    <t>2200 RESEARCH BLVD, #271, ROCKVILLE, MD 20850-3289 USA</t>
  </si>
  <si>
    <t>1059-0889</t>
  </si>
  <si>
    <t>1558-9137</t>
  </si>
  <si>
    <t>AM J AUDIOL</t>
  </si>
  <si>
    <t>Am. J. Audiol.</t>
  </si>
  <si>
    <t>10.1044/2021_AJA-21-00061</t>
  </si>
  <si>
    <t>Audiology &amp; Speech-Language Pathology; Otorhinolaryngology</t>
  </si>
  <si>
    <t>UP2OA</t>
  </si>
  <si>
    <t>WOS:000695223000025</t>
  </si>
  <si>
    <t>Munnes, S; Harsch, C; Knobloch, M; Vogel, JS; Hipp, L; Schilling, E</t>
  </si>
  <si>
    <t>Munnes, Stefan; Harsch, Corinna; Knobloch, Marcel; Vogel, Johannes S.; Hipp, Lena; Schilling, Erik</t>
  </si>
  <si>
    <t>Examining Sentiment in Complex Texts. A Comparison of Different Computational Approaches</t>
  </si>
  <si>
    <t>sentiment analysis; German literature; dictionary; word embeddings; automated text analysis; computer-assisted text analysis; scaling method</t>
  </si>
  <si>
    <t>DISCOURSE; POSITIONS; EVOLUTION; TOPICS; LACLAU; MOUFFE; WORDS</t>
  </si>
  <si>
    <t>Can we rely on computational methods to accurately analyze complex texts? To answer this question, we compared different dictionary and scaling methods used in predicting the sentiment of German literature reviews to the gold standard  of human-coded sentiments. Literature reviews constitute a challenging text corpus for computational analysis as they not only contain different text levels-for example, a summary of the work and the reviewer's appraisal-but are also characterized by subtle and ambiguous language elements. To take the nuanced sentiments of literature reviews into account, we worked with a metric rather than a dichotomous scale for sentiment analysis. The results of our analyses show that the predicted sentiments of prefabricated dictionaries, which are computationally efficient and require minimal adaption, have a low to medium correlation with the human-coded sentiments (r between 0.32 and 0.39). The accuracy of self-created dictionaries using word embeddings (both pre-trained and self-trained) was considerably lower (r between 0.10 and 0.28). Given the high coding intensity and contingency on seed selection as well as the degree of data pre-processing of word embeddings that we found with our data, we would not recommend them for complex texts without further adaptation. While fully automated approaches appear not to work in accurately predicting text sentiments with complex texts such as ours, we found relatively high correlations with a semiautomated approach (r of around 0.6)-which, however, requires intensive human coding efforts for the training dataset. In addition to illustrating the benefits and limits of computational approaches in analyzing complex text corpora and the potential of metric rather than binary scales of text sentiment, we also provide a practical guide for researchers to select an appropriate method and degree of pre-processing when working with complex texts.</t>
  </si>
  <si>
    <t>[Munnes, Stefan; Harsch, Corinna; Knobloch, Marcel; Vogel, Johannes S.; Hipp, Lena] WZB Berlin Social Sci Ctr, Berlin, Germany; [Vogel, Johannes S.; Hipp, Lena] Univ Potsdam, Fac Econ &amp; Social Sci, Chair Inequal Res &amp; Social Stratificat Anal, Potsdam, Germany; [Schilling, Erik] Ludwig Maximilian Univ Munich, Inst German Philol, Munich, Germany</t>
  </si>
  <si>
    <t>University of Potsdam; University of Munich</t>
  </si>
  <si>
    <t>Munnes, S (corresponding author), WZB Berlin Social Sci Ctr, Berlin, Germany.</t>
  </si>
  <si>
    <t>munnes@wzb.eu</t>
  </si>
  <si>
    <t>Junge Akademie; Leibniz Association</t>
  </si>
  <si>
    <t>This research was partly funded by Junge Akademie. The publication of this article was funded by the Open Access Fund of the Leibniz Association.</t>
  </si>
  <si>
    <t>10.3389/fdata.2022.886362</t>
  </si>
  <si>
    <t>1J2TN</t>
  </si>
  <si>
    <t>WOS:000797774400001</t>
  </si>
  <si>
    <t>Konoplev, D</t>
  </si>
  <si>
    <t>Viktorovna, ZM</t>
  </si>
  <si>
    <t>Konoplev, Dmitry</t>
  </si>
  <si>
    <t>INFORMATION CASCADE IN NEWS AGGREGATORS AS MECHANISM FOR FALSE ECONOMIC AGENDA CREATION</t>
  </si>
  <si>
    <t>III POST MASS MEDIA IN THE MODERN INFORMATIONAL SOCIETY (PMMIS 2019) JOURNALISTIC TEXT IN A NEW TECHNOLOGICAL ENVIRONMENT: ACHIEVEMENTS AND PROBLEMS</t>
  </si>
  <si>
    <t>European Proceedings of Social and Behavioural Sciences</t>
  </si>
  <si>
    <t>3rd Conference on Post Mass Media in the Modern Informational Society (PMMIS) - Journalistic Text in a New Technological Environment - Achievements and Problems</t>
  </si>
  <si>
    <t>MAR 28-29, 2019</t>
  </si>
  <si>
    <t>Chelyabinsk State Univ, Dept Journalism &amp; Mass Commun, Chelyabinsk, RUSSIA</t>
  </si>
  <si>
    <t>Chelyabinsk State Univ, Dept Journalism &amp; Mass Commun</t>
  </si>
  <si>
    <t>Yandex news; information cascade; news aggregators; economic thinking; journalism</t>
  </si>
  <si>
    <t>As media companies pursue an unimportant news proliferation strategy, they are increasingly relying on developing news aggregators' capabilities to interact and influence with their audience. Albeit, many lack an understanding of what consequences an unimportant news proliferation in aggregators may have. How out of unimportant news arise information cascades? How these cascades are dive into the news agenda of aggregators? How is the topic considered in information cascades reflected in the media after these cascades become irrelevant? How long is the life cycle for information cascades in news aggregators? To address these questions, the study builds on qualitative data from manual and automated content analysis to conceptualize three underlying subcomponents of information cascades, namely, subject groups, timeframes, and distribution scenarios. The study also addresses the issue of the active formation of so-called news spam and its impact on informational cascades in news aggregators. The study identifies and explains how information cascades enable unimportant news co-creation with aggregators through information occasions' intentional design and automatic processing mechanisms. Research also identifies possible options for the media and aggregators that can help solve the problem with the dissemination of unimportant news. This study contributes to the journalism theory by showcasing how information cascades are enabling false economic agenda creation in automated news aggregators contrary to the declared purposes of the latter. (c) 2019 Published by Future Academy www.FutureAcademy.org.UK</t>
  </si>
  <si>
    <t>[Konoplev, Dmitry] Chelyabinsk State Univ, Br Kashyrinykh 129, Chelyabinsk 454001, Russia</t>
  </si>
  <si>
    <t>Chelyabinsk State University</t>
  </si>
  <si>
    <t>Konoplev, D (corresponding author), Chelyabinsk State Univ, Br Kashyrinykh 129, Chelyabinsk 454001, Russia.</t>
  </si>
  <si>
    <t>dmitrijkonoplev@ya.ru</t>
  </si>
  <si>
    <t>Konoplev, Dmitry/AAE-5428-2019</t>
  </si>
  <si>
    <t>Konoplev, Dmitry/0000-0003-1350-4163</t>
  </si>
  <si>
    <t>FUTURE ACAD</t>
  </si>
  <si>
    <t>NICOSIA</t>
  </si>
  <si>
    <t>PO BOX 24333, NICOSIA, 1703, CYPRUS</t>
  </si>
  <si>
    <t>2357-1330</t>
  </si>
  <si>
    <t>EUR PROC SOC BEHAV</t>
  </si>
  <si>
    <t>10.15405/epsbs.2019.08.02.4</t>
  </si>
  <si>
    <t>Behavioral Sciences; Communication; Film, Radio, Television; Psychology; Psychology, Multidisciplinary</t>
  </si>
  <si>
    <t>Behavioral Sciences; Communication; Film, Radio &amp; Television; Psychology</t>
  </si>
  <si>
    <t>BO0XZ</t>
  </si>
  <si>
    <t>WOS:000493895300004</t>
  </si>
  <si>
    <t>Agostino, D; Brambilla, M; Pavanetto, S; Riva, P</t>
  </si>
  <si>
    <t>Agostino, Deborah; Brambilla, Marco; Pavanetto, Silvio; Riva, Paola</t>
  </si>
  <si>
    <t>The Contribution of Online Reviews for Quality Evaluation of Cultural Tourism Offers: The Experience of Italian Museums</t>
  </si>
  <si>
    <t>online user reviews; visitor perception; museum quality dimensions; user-driven quality dimensions; text modelling; online text analytics; user-generated content; data science; text mining; cultural tourism</t>
  </si>
  <si>
    <t>SATISFACTION; HOSPITALITY</t>
  </si>
  <si>
    <t>In the cultural tourism field, there has been an increasing interest in adopting data-driven approaches that are aimed at measuring the service quality dimensions through online reviews. To date, studies measuring quality dimensions in cultural tourism settings through content analysis of online user-generated reviews are mainly based on manual approaches. When the content analysis is automated, these studies do not compare different analytical approaches. Our paper enters this field by comparing two different automated content analysis approaches to evaluate which of the two is more adequate for assessing the quality dimensions through user-generated reviews in an empirical setting of 100 Italian museums. Specifically, we compare a 'top-down' content analysis approach that is based on a supervised classification built on policy makers' guidelines and a 'bottom-up' approach that is based on an unsupervised topic model of the online words of reviewers. The resulting museum quality dimensions are compared, showing that the 'bottom-up' approach reveals additional quality dimensions compared with those obtained through the 'top-down' approach. The misalignment of the results of the 'top-down' and 'bottom-up' approaches to quality evaluation for museums enhances the critical discussion on the contribution that data analytics can offer to support decision making in cultural tourism.</t>
  </si>
  <si>
    <t>[Agostino, Deborah; Riva, Paola] Politecn Milan, Dept Management, Econ &amp; Ind Engn, Via Lambruschini 4-b, I-20156 Milan, Italy; [Brambilla, Marco] Politecn Milan, Dipartimento Elettron, Data Sci Lab, Informaz &amp; Bioingn, Via Ponzio 34-5, I-20133 Milan, Italy; [Pavanetto, Silvio] Politecn Milan, Dipartimento Elettron, Informaz &amp; Bioingn, Via Ponzio 34-5, I-20133 Milan, Italy</t>
  </si>
  <si>
    <t>Polytechnic University of Milan; Polytechnic University of Milan; Polytechnic University of Milan</t>
  </si>
  <si>
    <t>Riva, P (corresponding author), Politecn Milan, Dept Management, Econ &amp; Ind Engn, Via Lambruschini 4-b, I-20156 Milan, Italy.</t>
  </si>
  <si>
    <t>deborah.agostino@polimi.it; marco.brambilla@polimi.it; silvio.pavanetto@polimi.it; paola.riva@polimi.it</t>
  </si>
  <si>
    <t>Brambilla, Marco/M-4748-2015</t>
  </si>
  <si>
    <t>Brambilla, Marco/0000-0002-8753-2434; AGOSTINO, DEBORAH/0000-0002-4921-4953; RIVA, PAOLA/0000-0003-2151-0467</t>
  </si>
  <si>
    <t>10.3390/su132313340</t>
  </si>
  <si>
    <t>XV7DT</t>
  </si>
  <si>
    <t>WOS:000735098800001</t>
  </si>
  <si>
    <t>Zou, WT; Hu, X; Pan, ZL; Li, CL; Cai, Y; Liu, M</t>
  </si>
  <si>
    <t>Zou, Wenting; Hu, Xiao; Pan, Zilong; Li, Chenglu; Cai, Ying; Liu, Min</t>
  </si>
  <si>
    <t>Exploring the relationship between social presence and learners ' prestige in MOOC discussion forums using automated content analysis and social network analysis</t>
  </si>
  <si>
    <t>Massive open online courses; Social presence; Discussion forums; Natural language processing; Content analysis; Social network analysis</t>
  </si>
  <si>
    <t>TEACHER IMMEDIACY BEHAVIORS; LEARNING-PERFORMANCE; COMMUNITY; PARTICIPATION; ENGAGEMENT; MOTIVATION; INTENTION; ANALYTICS</t>
  </si>
  <si>
    <t>Research has repeatedly proven the importance of social interactions in online learning contexts such as Massive Open Online Courses (MOOCs), where learners often reported isolation and a lack of peer support. Previous studies of social presence suggested that the ways learners present themselves socially online affect their learning outcomes. In order to further understand the role of learners' social presence, this study attempts to examine the relationship between social presence and learners' prestige in the learner network of a MOOC. An automated text classification model based on the latest machine learning techniques was developed to identify different social presence indicators from forum posts, while two metrics (in-degree and authority score) in social network analysis (SNA) were used to measure learners' prestige in the learner network. Results revealed that certain social presence indicators such as Asking questions, Expressing gratitude, Self-disclosure, Sharing resources and Using Vocatives have positive correlations with learners' prestige, while the expressions of Disagreement/ doubts/criticism and Negative emotions were counterproductive to learners' prestige. The findings not only reinforce the importance of social presence in online learning, but also shed light on the strategies of leveraging social presence to improve individual's prestige in social learning contexts like MOOCs.</t>
  </si>
  <si>
    <t>[Zou, Wenting; Pan, Zilong; Li, Chenglu; Cai, Ying; Liu, Min] Univ Texas Austin, Learning Technol Program, 1912 Speedway Stop,D5700, Austin, TX 78712 USA; [Hu, Xiao] Univ Hong Kong, Human Commun Dev &amp; Informat Sci, Pok Fu Lam, Peoples R China</t>
  </si>
  <si>
    <t>University of Texas System; University of Texas Austin; University of Hong Kong</t>
  </si>
  <si>
    <t>Zou, WT (corresponding author), Univ Texas Austin, Learning Technol Program, 1912 Speedway Stop,D5700, Austin, TX 78712 USA.</t>
  </si>
  <si>
    <t>ellenzou@utexas.edu</t>
  </si>
  <si>
    <t>Hu, Xiao/A-7645-2013</t>
  </si>
  <si>
    <t>10.1016/j.chb.2020.106582</t>
  </si>
  <si>
    <t>PK3DM</t>
  </si>
  <si>
    <t>WOS:000602330200005</t>
  </si>
  <si>
    <t>Daviy, A</t>
  </si>
  <si>
    <t>Daviy, Anna</t>
  </si>
  <si>
    <t>Does the regional environment matter in ERP system adoption? Evidence from Russia</t>
  </si>
  <si>
    <t>JOURNAL OF ENTERPRISE INFORMATION MANAGEMENT</t>
  </si>
  <si>
    <t>Technology adoption; ERP adoption; Firm productivity; Regional environment; Regional infrastructure</t>
  </si>
  <si>
    <t>RESOURCE-BASED VIEW; INFORMATION-TECHNOLOGY; FIRM PERFORMANCE; EMPIRICAL-EVIDENCE; CLOUD ERP; ORGANIZATION; CAPABILITY; SOFTWARE; DETERMINANTS; PRODUCTIVITY</t>
  </si>
  <si>
    <t>Purpose This paper explores the effect the regional technological environment has on technology-driven performance, measured by enterprise resource planning (ERP). Design/methodology/approach This study specifies a productivity-based production function driven by ERP system adoption. Employing a quasi-experimental research design, the author disentangles two effects - the average effect of ERP adoption and the moderation effect of the regional technological environment. The novelty of this study is that it merges publicly available information retrieved via text-mining tools and official financial reports published by companies. Findings The total effect of technology adoption on productivity varies from almost 3%-9% in different technological environments. Moreover, this study's results revealed that the regional technological environment could enhance the effect of adopting different ERP systems. Originality/value While some papers investigate the relationship between ERP adoption and firm performance regarding the environmental context of a firm, the effect of the regional technological environment on the relationship between technology adoption and firm performance is understudied. Thus, this research tries to contribute to a deeper understanding of the regional context's impact on technology-driven performance. The authors used automated content analysis to collect data on technology adoption; by doing so, this study contributes to the growing body of research utilising the text-mining approach to extract data stored in Internet-based information sources.</t>
  </si>
  <si>
    <t>[Daviy, Anna] Natl Res Univ, Higher Sch Econ, St Petersburg, Russia</t>
  </si>
  <si>
    <t>HSE University (National Research University Higher School of Economics)</t>
  </si>
  <si>
    <t>Daviy, A (corresponding author), Natl Res Univ, Higher Sch Econ, St Petersburg, Russia.</t>
  </si>
  <si>
    <t>adaviy@hse.ru</t>
  </si>
  <si>
    <t>Daviy, Anna/J-3220-2015</t>
  </si>
  <si>
    <t>Daviy, Anna/0000-0002-8050-6487</t>
  </si>
  <si>
    <t>Russian Science Foundation [18-18-00270]</t>
  </si>
  <si>
    <t>Russian Science Foundation(Russian Science Foundation (RSF))</t>
  </si>
  <si>
    <t>This study comprises research findings from the Project No. 18-18-00270 supported by the Russian Science Foundation.</t>
  </si>
  <si>
    <t>1741-0398</t>
  </si>
  <si>
    <t>1758-7409</t>
  </si>
  <si>
    <t>J ENTERP INF MANAG</t>
  </si>
  <si>
    <t>J. Enterp. Inf. Manag.</t>
  </si>
  <si>
    <t>10.1108/JEIM-11-2021-0488</t>
  </si>
  <si>
    <t>Computer Science, Interdisciplinary Applications; Information Science &amp; Library Science; Management</t>
  </si>
  <si>
    <t>5L8CK</t>
  </si>
  <si>
    <t>WOS:000870636200001</t>
  </si>
  <si>
    <t>Huang, KY; Chengalur-Smith, I; Pinsonneault, A</t>
  </si>
  <si>
    <t>Huang, Kuang-Yuan; Chengalur-Smith, InduShobha; Pinsonneault, Alain</t>
  </si>
  <si>
    <t>SHARING IS CARING: SOCIAL SUPPORT PROVISION AND COMPANIONSHIP ACTIVITIES IN HEALTHCARE VIRTUAL SUPPORT COMMUNITIES</t>
  </si>
  <si>
    <t>MIS QUARTERLY</t>
  </si>
  <si>
    <t>Social capital theory; social support; healthcare virtual support communities; HVSCs; automated content analysis; text mining; emotional support; informational support; companionship activity</t>
  </si>
  <si>
    <t>COMPUTER-MEDIATED COMMUNICATION; PROSTATE-CANCER ONLINE; COMMON METHOD VARIANCE; GROUP SELF-ESTEEM; BREAST-CANCER; VOLUNTARY PARTICIPATION; KNOWLEDGE CONTRIBUTION; INFORMATION-SYSTEMS; EMOTIONAL SUPPORT; DISTINCT ASPECTS</t>
  </si>
  <si>
    <t>Individuals increasingly rely on healthcare virtual support communities (HVSCs) for social support and companionship. While research provides interesting insights into the drivers of informational support in knowledge-sharing virtual communities, there is limited research on the antecedents of emotional support provision and companionship activities in HVSCs. The unique characteristics of HVSCs also justify the need to reexamine members' voluntary provisions of help in such communities. This paper develops a model that examines the relationships between the structural, relational, and cognitive dimensions of social capital and the provision of informational and emotional support, and engagement in companionship activities in HVSCs. The model is tested based on data generated through an automated method that classifies and analyzes user-generated text in three healthcare virtual support communities (breast, prostate, and colorectal cancer). The results show that all three dimensions of social capital impact the provision of emotional support; both structural and relational capital facilitate engagement in companionship activities; and only cognitive capital enables the provision of informational support. Research and practical implications on the need to facilitate informational and emotional support provision and companionship activities in healthcare virtual support communities are discussed.</t>
  </si>
  <si>
    <t>[Huang, Kuang-Yuan] Colorado State Univ, Hasan Sch Business, 2200 Bonforte Blvd, Pueblo, CO 81001 USA; [Chengalur-Smith, InduShobha] SUNY Albany, Sch Business, 1400 Washington Ave, Albany, NY 12222 USA; [Pinsonneault, Alain] McGill Univ, Desautel Fac Management, 1001 Sherbrooke St West, Montreal, PQ H3A 1G5, Canada</t>
  </si>
  <si>
    <t>Colorado State University; State University of New York (SUNY) System; State University of New York (SUNY) Albany; McGill University</t>
  </si>
  <si>
    <t>Huang, KY (corresponding author), Colorado State Univ, Hasan Sch Business, 2200 Bonforte Blvd, Pueblo, CO 81001 USA.</t>
  </si>
  <si>
    <t>kuangyuan.huang@csupueblo.edu; shobha@albany.edu; alain.pinsonneault@mcgill.ca</t>
  </si>
  <si>
    <t>Social Science and Humanities Research Council of Canada (SSHRC); Fonds de Recherche du Quebec-Societe et Culture (FRQSC)</t>
  </si>
  <si>
    <t>Social Science and Humanities Research Council of Canada (SSHRC)(Social Sciences and Humanities Research Council of Canada (SSHRC)); Fonds de Recherche du Quebec-Societe et Culture (FRQSC)</t>
  </si>
  <si>
    <t>Financial support was provided by the Social Science and Humanities Research Council of Canada (SSHRC) and the Fonds de Recherche du Quebec-Societe et Culture (FRQSC). We gratefully acknowledge the senior editor, the associate editor and the reviewers for their constructive feedback, thoughtful guidance, and support.</t>
  </si>
  <si>
    <t>SOC INFORM MANAGE-MIS RES CENT</t>
  </si>
  <si>
    <t>MINNEAPOLIS</t>
  </si>
  <si>
    <t>UNIV MINNESOTA-SCH MANAGEMENT 271 19TH AVE SOUTH, MINNEAPOLIS, MN 55455 USA</t>
  </si>
  <si>
    <t>0276-7783</t>
  </si>
  <si>
    <t>MIS QUART</t>
  </si>
  <si>
    <t>MIS Q.</t>
  </si>
  <si>
    <t>10.25300/MISQ/2019/13225</t>
  </si>
  <si>
    <t>IJ4RQ</t>
  </si>
  <si>
    <t>WOS:000475891800003</t>
  </si>
  <si>
    <t>Ahmad, M; Junus, K; Santoso, HB</t>
  </si>
  <si>
    <t>Ahmad, Mubarik; Junus, Kasiyah; Santoso, Harry Budi</t>
  </si>
  <si>
    <t>Automatic content analysis of asynchronous discussion forum transcripts: A systematic literature review</t>
  </si>
  <si>
    <t>EDUCATION AND INFORMATION TECHNOLOGIES</t>
  </si>
  <si>
    <t>Asynchronous discussion forums; Automatic content analysis; Machine learning; Online learning; Systematic literature review; Transcript analysis</t>
  </si>
  <si>
    <t>ONLINE DISCUSSIONS; LEARNING ANALYTICS; COGNITIVE PRESENCE; MOOC; EDUCATION; ENGAGEMENT; KNOWLEDGE</t>
  </si>
  <si>
    <t>In recent years, the use of asynchronous discussion forums in online learning has increased rapidly. In earlier studies, content analysis is the most-used research method in exploring the discussion transcripts. However, conventional content analysis is a time-consuming task and requires experienced coders. There is a need for an automated approach to analyse the online discussion transcripts to help instructors optimise the learners' learning experiences. This article presents a systematic literature review of the automated content analysis approach in online discussion transcripts. Fifty-four relevant peer-reviewed conference and journal papers were found between January 2016 and October 2021, using the PRISMA and snowball methods. Eight measurement dimensions were studied from online learning transcripts: cognitive, social, relevance/importance, summary, pattern, behaviour, topic, and learning resources. Six theoretical frameworks were used in the selected studies, namely the Community of Inquiry, Stump's Post Classification, Arguello's Speech Acts, ICAP, Wise's Speaking Behaviour, and Bloom's Taxonomy. All selected studies are experimental, with 93% using machine learning to analyse discussion transcripts. English is the most-used language dataset, used in 78% of studies. These studies reported promising results in accuracy and precision. However, this research area still has room for improvement, especially in the reliability and generalisability of cross-domain context.</t>
  </si>
  <si>
    <t>[Ahmad, Mubarik; Junus, Kasiyah; Santoso, Harry Budi] Univ Indonesia, Fac Comp Sci, Digital Lib, Depok Campus, Depok 16424, Jawa Barat, Indonesia; [Ahmad, Mubarik; Junus, Kasiyah; Santoso, Harry Budi] Univ Indonesia, Fac Comp Sci, Distance Learning Lab, Depok Campus, Depok 16424, Jawa Barat, Indonesia</t>
  </si>
  <si>
    <t>University of Indonesia; University of Indonesia</t>
  </si>
  <si>
    <t>Junus, K (corresponding author), Univ Indonesia, Fac Comp Sci, Digital Lib, Depok Campus, Depok 16424, Jawa Barat, Indonesia.;Junus, K (corresponding author), Univ Indonesia, Fac Comp Sci, Distance Learning Lab, Depok Campus, Depok 16424, Jawa Barat, Indonesia.</t>
  </si>
  <si>
    <t>mubarik.ahmad91@ai.ac.id; kasiyah@cs.ui.ac.id; harrybs@cs.ui.ac.id</t>
  </si>
  <si>
    <t>Ahmad, Mubarik/L-5555-2019</t>
  </si>
  <si>
    <t>Ahmad, Mubarik/0000-0003-2377-2006; Junus, kasiyah/0000-0001-6391-7439</t>
  </si>
  <si>
    <t>Indonesia Endowment Fund For Education (LPDP), Republic of Indonesia</t>
  </si>
  <si>
    <t>Authors sincerely thank Indonesia Endowment Fund For Education (LPDP), Republic of Indonesia for supporting this research through the Indonesian Education Scholarship program.</t>
  </si>
  <si>
    <t>1360-2357</t>
  </si>
  <si>
    <t>1573-7608</t>
  </si>
  <si>
    <t>EDUC INF TECHNOL</t>
  </si>
  <si>
    <t>Educ. Inf. Technol.</t>
  </si>
  <si>
    <t>10.1007/s10639-022-11065-w</t>
  </si>
  <si>
    <t>5N0UV</t>
  </si>
  <si>
    <t>WOS:000791636100001</t>
  </si>
  <si>
    <t>de Oliveira, MG; Azevedo, G; Oliveira, J</t>
  </si>
  <si>
    <t>de Oliveira, Michele Gendelsky; Azevedo, Graca; Oliveira, Jonas</t>
  </si>
  <si>
    <t>The Relationship between the Company's Value and the Tone of the Risk-Related Narratives: The Case of Portugal</t>
  </si>
  <si>
    <t>ECONOMIES</t>
  </si>
  <si>
    <t>risk reporting; risk disclosure; impression management</t>
  </si>
  <si>
    <t>INTELLECTUAL CAPITAL DISCLOSURE; IMPRESSION MANAGEMENT; INFORMATION ASYMMETRY; VOLUNTARY DISCLOSURE; FIRM; QUALITY; PERFORMANCE; DETERMINANTS; GOVERNANCE; LEGITIMACY</t>
  </si>
  <si>
    <t>The present study aims to identify the impact of the tone of risk reporting narratives on company market value. The paper uses a sample of 34 Portuguese non-finance companies with shares traded at the Euronext Lisbon stock exchange market. The paper conducts an automated content analysis of the risk reporting narratives included in the risk and risk management sections of the annual reports for 2018 by using the software DICTION 7 (Digitext, Inc., Austin, TX, USA) to retrieve the speech tone. Main findings indicate that the tone category activity is associated negatively with the company's market value. This result shows that investors misprice risk information that incorporates traces of overconfidence, narcissistic self-confidence and heroic leadership. The present study extends prior literature by analyzing the economic incentives of the tone of risk reporting narratives, not yet studied. Findings are both relevant to investors to support their decision-making processes and managers to strategically manage their risk communication tactics and benefit from the advantages emanated from them. Limitations related to the research setting do not undermine the generalization of findings because the automated algorithm provided by DICTION assures the content analysis's reliability. The sample used corresponds to the population of the Portuguese non-finance listed companies.</t>
  </si>
  <si>
    <t>[de Oliveira, Michele Gendelsky] Univ Aveiro, Dept Econ Management Ind Engn &amp; Tourism Degeit, P-3810193 Aveiro, Portugal; [Azevedo, Graca] Univ Aveiro, Inst Higher Learning Accounting &amp; Adm, P-3810193 Aveiro, Portugal; [Azevedo, Graca] IPCA, Researh Ctr Accounting &amp; Taxat, P-4750810 Barcelos, Portugal; [Oliveira, Jonas] Inst Univ Lisboa ISCTE IUL, Business Res Unit BRU IUL, P-1649026 Lisbon, Portugal</t>
  </si>
  <si>
    <t>Universidade de Aveiro; Universidade de Aveiro; Instituto Politecnico do Cavado e do Ave - IPCA; Instituto Universitario de Lisboa</t>
  </si>
  <si>
    <t>de Oliveira, MG (corresponding author), Univ Aveiro, Dept Econ Management Ind Engn &amp; Tourism Degeit, P-3810193 Aveiro, Portugal.</t>
  </si>
  <si>
    <t>michele85@ua.pt; graca.azevedo@ua.pt; jonas.silva.oliveira@iscte-iul.pt</t>
  </si>
  <si>
    <t>Azevedo, Graça/AAF-9306-2019</t>
  </si>
  <si>
    <t>Azevedo, Graça/0000-0002-6346-4035; Gendelsky de Oliveira, Michele/0000-0001-7387-062X</t>
  </si>
  <si>
    <t>2227-7099</t>
  </si>
  <si>
    <t>Economies</t>
  </si>
  <si>
    <t>10.3390/economies9020070</t>
  </si>
  <si>
    <t>SX4MX</t>
  </si>
  <si>
    <t>WOS:000665182100001</t>
  </si>
  <si>
    <t>Chiang, J; Arons, A; Pomeranz, JL; Siddiqi, A; Hamad, R</t>
  </si>
  <si>
    <t>Chiang, Jonathan; Arons, Abigail; Pomeranz, Jennifer L.; Siddiqi, Arjumand; Hamad, Rita</t>
  </si>
  <si>
    <t>Geographic and Longitudinal Trends in Media Framing of Obesity in the United States</t>
  </si>
  <si>
    <t>PUBLIC-HEALTH; NEWS MEDIA; PERSONAL RESPONSIBILITY; CHILDHOOD OBESITY; POLICY; COVERAGE; CONSTRUCTION; EVOLUTION; ADVOCACY</t>
  </si>
  <si>
    <t>Objective The media's framing of public health issues is closely linked to public opinion on these issues and support for interventions to address them. This study characterized geographic and temporal variation in the US media's framing of obesity across states from 2006 to 2015. Methods Newspaper articles that mentioned the term obesity were drawn from Access World News (NewsBank, Inc., Naples, Florida), a comprehensive online database (N = 364,288). This study employed automated content analysis, a machine learning technique, to categorize articles as (1) attributing obesity to individual-level causes (e.g., lifestyle behaviors), (2) attributing obesity to environmental/systemic causes (e.g., neighborhood walkability), (3) attributing obesity to both individual-level causes and environmental/systemic causes, or (4) articles without any such attribution framework. Results Nationwide across all years, a higher proportion of articles focused on individual-level attribution of obesity than environmental-level attribution or both. Missouri and Idaho had the highest proportions of articles with an individual framework, and Nevada, Arkansas, and Wisconsin had the highest proportions of articles with an environmental framework. Conclusions This analysis demonstrates that US media sources heavily focus on an individual framing of obesity, which may be informing public perceptions of obesity. By highlighting differences in obesity media portrayal, this study could inform research to understand why particular states represent outliers and how this may affect obesity policy making.</t>
  </si>
  <si>
    <t>[Chiang, Jonathan] Stanford Univ, Dept Med, Stanford, CA 94305 USA; [Arons, Abigail] Univ Calif Los Angeles, Dept Internal Med, Los Angeles, CA USA; [Arons, Abigail] Univ Calif Los Angeles, Dept Pediat, Los Angeles, CA 90024 USA; [Pomeranz, Jennifer L.] NYU, Coll Global Publ Hlth, Dept Publ Hlth Policy &amp; Management, New York, NY USA; [Siddiqi, Arjumand] Univ Toronto, Dalla Lana Sch Publ Hlth, Div Epidemiol, Toronto, ON, Canada; [Siddiqi, Arjumand] Univ N Carolina, Dept Hlth Behav, Gillings Sch Global Publ Hlth, Chapel Hill, NC 27515 USA; [Hamad, Rita] Univ Calif San Francisco, Dept Family &amp; Community Med, Philip R Lee Inst Hlth Policy Studies, San Francisco, CA 94143 USA</t>
  </si>
  <si>
    <t>Stanford University; University of California System; University of California Los Angeles; University of California System; University of California Los Angeles; New York University; University of Toronto; University of North Carolina; University of North Carolina Chapel Hill; University of California System; University of California San Francisco</t>
  </si>
  <si>
    <t>Hamad, R (corresponding author), Univ Calif San Francisco, Dept Family &amp; Community Med, Philip R Lee Inst Hlth Policy Studies, San Francisco, CA 94143 USA.</t>
  </si>
  <si>
    <t>rita.hamad@ucsf.edu</t>
  </si>
  <si>
    <t>Hamad, Rita/0000-0003-0730-4077; Arons, Abigail/0000-0002-9140-2130</t>
  </si>
  <si>
    <t>Stanford Child Health Research Institute; Lucile Packard Foundation for Children's Health; Stanford Clinical and Translational Science Award [UL1 TR001085]; National Heart, Lung, and Blood Institute [K08 HL132106]</t>
  </si>
  <si>
    <t>Stanford Child Health Research Institute; Lucile Packard Foundation for Children's Health; Stanford Clinical and Translational Science Award; National Heart, Lung, and Blood Institute(United States Department of Health &amp; Human ServicesNational Institutes of Health (NIH) - USANIH National Heart Lung &amp; Blood Institute (NHLBI))</t>
  </si>
  <si>
    <t>This research was supported by the Stanford Child Health Research Institute and the Lucile Packard Foundation for Children's Health, as well as the Stanford Clinical and Translational Science Award (grant number UL1 TR001085). RH is supported by a grant from the National Heart, Lung, and Blood Institute (grant number K08 HL132106). The funders had no role in study design, data collection and analysis, decision to publish, or preparation of the manuscript.</t>
  </si>
  <si>
    <t>10.1002/oby.22845</t>
  </si>
  <si>
    <t>MA1KS</t>
  </si>
  <si>
    <t>WOS:000536369500001</t>
  </si>
  <si>
    <t>Sachdeva, S; Emery, MR; Hurley, PT</t>
  </si>
  <si>
    <t>Sachdeva, Sonya; Emery, Marla R.; Hurley, Patrick T.</t>
  </si>
  <si>
    <t>Depiction of Wild Food Foraging Practices in the Media: Impact of the Great Recession</t>
  </si>
  <si>
    <t>SOCIETY &amp; NATURAL RESOURCES</t>
  </si>
  <si>
    <t>Automated content analyses; economic trends; foraging; the great recession; wild foods</t>
  </si>
  <si>
    <t>EDIBLE PLANTS; URBAN FOREST; ATTENTION; COVERAGE; HEALTH; VALUES</t>
  </si>
  <si>
    <t>The practice of gathering and harvesting wild foods has seen renewed interest in recent decades. In addition to contributing to food security and food sovereignty, foraging plays a role in promoting socioecological resilience and creating communities of belonging. However, foraging is generally prohibited by regulations governing public lands in the United States and elsewhere. The growth in food forests suggests public policymakers and land managers' may be interested in reconsidering this broad prohibition of foraging but require an information base to do so. While a body of research on foraging exists, news media coverage of foraging represents an additional, readily available source of input. As a consequence, framings of foraging in media coverage likely influence managers' deliberations on this practice. The current paper uses automated content analysis to understand how the practice of gathering and consuming wild foods is framed in print and digital news media, and how these depictions have varied in a 15-year period that includes the Great Recession. Our results show that prevalent framings of foraging represent it variously as a self-provisioning practice or a source of luxury commodities and experiences, with economic uncertainty appearing to affect the frequency of each framing by news media sources. Given managers' ease of access to them, these distinct framings may influence future regulatory landscapes of foraging.</t>
  </si>
  <si>
    <t>[Sachdeva, Sonya] Northern Res Stn, Evanston, IL USA; [Emery, Marla R.] Northern Res Stn, Burlington, VT USA; [Hurley, Patrick T.] Ursinus Coll, Environm Studies, Collegeville, PA 19426 USA</t>
  </si>
  <si>
    <t>Sachdeva, S (corresponding author), US Forest Serv, Northern Res Stn, USDA, 1033 Univ Pl,Ste 360, Evanston, IL 60201 USA.</t>
  </si>
  <si>
    <t>sonyasachdeva@fs.fed.us</t>
  </si>
  <si>
    <t>0894-1920</t>
  </si>
  <si>
    <t>1521-0723</t>
  </si>
  <si>
    <t>SOC NATUR RESOUR</t>
  </si>
  <si>
    <t>Soc. Nat. Resour.</t>
  </si>
  <si>
    <t>10.1080/08941920.2018.1450914</t>
  </si>
  <si>
    <t>Development Studies; Environmental Studies; Regional &amp; Urban Planning; Sociology</t>
  </si>
  <si>
    <t>Development Studies; Environmental Sciences &amp; Ecology; Public Administration; Sociology</t>
  </si>
  <si>
    <t>GD3VS</t>
  </si>
  <si>
    <t>WOS:000430432500007</t>
  </si>
  <si>
    <t>Boukes, M; van de Velde, B; Araujo, T; Vliegenthart, R</t>
  </si>
  <si>
    <t>Boukes, Mark; van de Velde, Bob; Araujo, Theo; Vliegenthart, Rens</t>
  </si>
  <si>
    <t>What?s the Tone? Easy Doesn?t Do It: Analyzing Performance and Agreement Between Off-the-Shelf Sentiment Analysis Tools</t>
  </si>
  <si>
    <t>TIME-SERIES ANALYSIS; MEDIA COVERAGE; ECONOMIC-NEWS; BAD-NEWS; PUBLIC-OPINION; COMMUNICATION; STOCK; AGE</t>
  </si>
  <si>
    <t>This article scrutinizes the method of automated content analysis to measure the tone of news coverage. We compare a range of off-the-shelf sentiment analysis tools to manually coded economic news as well as examine the agreement between these dictionary approaches themselves. We assess the performance of five off-the-shelf sentiment analysis tools and two tailor-made dictionary-based approaches. The analyses result in five conclusions. First, there is little overlap between the off-the-shelf tools; causing wide divergence in terms of tone measurement. Second, there is no stronger overlap with manual coding for short texts (i.e., headlines) than for long texts (i.e., full articles). Third, an approach that combines individual dictionaries achieves a comparably good performance.?Fourth, precision may increase to acceptable levels at higher levels of granularity. Fifth, performance of dictionary approaches depends more on the number of relevant keywords in the dictionary than on the number of valenced words as such; a small tailor-made lexicon was not inferior to large established dictionaries. Altogether, we conclude that off-the-shelf sentiment analysis tools are mostly unreliable and unsuitable for research purposes ? at least in the context of Dutch economic news ? and manual validation for the specific language, domain, and genre of the research project at hand is always warranted.</t>
  </si>
  <si>
    <t>[Boukes, Mark; van de Velde, Bob; Araujo, Theo; Vliegenthart, Rens] Univ Amsterdam, Amsterdam Sch Commun Res, Nieuwe Achtergracht 166, NL-1018 WV Amsterdam, Netherlands</t>
  </si>
  <si>
    <t>Boukes, M (corresponding author), Univ Amsterdam, Amsterdam Sch Commun Res, Nieuwe Achtergracht 166, NL-1018 WV Amsterdam, Netherlands.</t>
  </si>
  <si>
    <t>markboukes@gmail.com</t>
  </si>
  <si>
    <t>Boukes, Mark/0000-0002-3377-6281; Araujo, Theo/0000-0002-4633-9339</t>
  </si>
  <si>
    <t>Nederlandse Organisatie voor Wetenschappelijk Onderzoek (Netherlands Organisation for Scientific Research (NWO)) [016.145.369]</t>
  </si>
  <si>
    <t>Nederlandse Organisatie voor Wetenschappelijk Onderzoek (Netherlands Organisation for Scientific Research (NWO))(Netherlands Organization for Scientific Research (NWO))</t>
  </si>
  <si>
    <t>This study has been made possible by a VIDI grant (project number 016.145.369) from the Nederlandse Organisatie voor Wetenschappelijk Onderzoek (Netherlands Organisation for Scientific Research (NWO)). Data collection of the online news was carried out via INCA on the Dutch national e-infrastructure with support of the SURF Cooperative.</t>
  </si>
  <si>
    <t>10.1080/19312458.2019.1671966</t>
  </si>
  <si>
    <t>NS1MN</t>
  </si>
  <si>
    <t>WOS:000490999500001</t>
  </si>
  <si>
    <t>Thomas, M; Harell, A; Rijkhoff, SAM; Gosselin, T</t>
  </si>
  <si>
    <t>Thomas, Melanee; Harell, Allison; Rijkhoff, Sanne A. M.; Gosselin, Tania</t>
  </si>
  <si>
    <t>Gendered News Coverage and Women as Heads of Government</t>
  </si>
  <si>
    <t>Women-led governments; gendered coverage; leader evaluations; Lexicoder; Canada</t>
  </si>
  <si>
    <t>NEWSPAPER COVERAGE; MEDIA COVERAGE; POLITICAL-LEADERSHIP; FEMALE CANDIDATES; PARTY; BIAS; MPS</t>
  </si>
  <si>
    <t>Women politicians have long faced a gendered media environment, where their novelty, potential (in)competence, family, and appearance have been over-emphasized in comparison to men. Much of this literature has focused on politicians running for office and women who hold legislative office. Little research investigates gendered news media presentations of women as heads of government. While the literature predicts that women heads of government should experience gendered differences in news coverage, there is also good reason to expect that news about government operations should not vary based on the gender of the government leader. Using their first year of online news coverage (N = 11,675), we build a series of dictionaries and use automated content analysis to assess how frequently heads of government's uniqueness, gender, family, appearance, sexual orientation, character, and competence are presented. We also assess the tone of news about each head of government. Results show that gendered coverage exists for women heads of government in potentially surprising ways. Fewer new stories are written about them, on average, than men. Women's coverage features more feminine and masculine gendered identifies, as well as more coverage about their clothing. We find little evidence for increased personalization, and women's character and competence are presented more positively than men's. Though blunt, this analysis shows that news about heads of government remains gendered.</t>
  </si>
  <si>
    <t>[Thomas, Melanee] Univ Calgary, Polit Sci, Calgary, AB, Canada; [Harell, Allison; Gosselin, Tania] Univ Quebec Montreal, Polit Sci, Montreal, PQ, Canada; [Rijkhoff, Sanne A. M.] Texas A&amp;M Univ Corpus Christi, Corpus Christi, TX USA</t>
  </si>
  <si>
    <t>University of Calgary; University of Quebec; University of Quebec Montreal; Texas A&amp;M University System; Texas A&amp;M University Corpus Christi</t>
  </si>
  <si>
    <t>Thomas, M (corresponding author), Univ Calgary, Calgary, AB T2N 1N4, Canada.</t>
  </si>
  <si>
    <t>thomasm@ucalgary.ca</t>
  </si>
  <si>
    <t>Thomas, Melanee/EKV-5365-2022; Thomas, Melanee/F-2752-2019; Thomas, Matthew/I-6181-2018</t>
  </si>
  <si>
    <t>Thomas, Melanee/0000-0002-3912-3855; Thomas, Melanee/0000-0002-3912-3855; Thomas, Matthew/0000-0001-8854-4907</t>
  </si>
  <si>
    <t>Social Sciences and Humanities Research Council of Canada [435-2015-1155]</t>
  </si>
  <si>
    <t>This work was supported by the Social Sciences and Humanities Research Council of Canada [435-2015-1155].</t>
  </si>
  <si>
    <t>10.1080/10584609.2020.1784326</t>
  </si>
  <si>
    <t>TC6FF</t>
  </si>
  <si>
    <t>WOS:000573148700001</t>
  </si>
  <si>
    <t>Bailey, A; Schonhardt-Bailey, C</t>
  </si>
  <si>
    <t>Bailey, Andrew; Schonhardt-Bailey, Cheryl</t>
  </si>
  <si>
    <t>Does Deliberation Matter in FOMC Monetary Policymaking? The Volcker Revolution of 1979</t>
  </si>
  <si>
    <t>Annual Meeting of the American-Political-Science-Association</t>
  </si>
  <si>
    <t>AUG 31-SEP 03, 2006</t>
  </si>
  <si>
    <t>Philadelphia, PA</t>
  </si>
  <si>
    <t>Amer Polit Sci Assoc</t>
  </si>
  <si>
    <t>DISCOURSE ANALYSIS; POSITIONS; RULES</t>
  </si>
  <si>
    <t>In monetary policy, decision makers seek to influence the expectations of agents in ways that can avoid making abrupt, dramatic, and unexpected decisions. Yet in October 1979, Chairman Paul Volcker led the Federal Reserve's Federal Open Market Committee (FOMC) unanimously to shift its course in managing U.S. monetary policy, which in turn eventually brought the era of high inflation to an end. Although some analysts argue that the presence and influence of one individual-025EFnamely, Volcker-025EFis sufficient to explain the policy shift, this overlooks an important feature of monetary policymaking. FOMC chairmen-025EFhowever, omnipotent they may appear-025EFdo not act alone. They require the agreement of other committee members, and in the 1979 revolution, the decision was unanimous. How, then, did Chairman Volcker manage to bring a previously divided committee to a consensus in October 1979, and moreover, how did he retain the support of the committee throughout the following year in the face of mounting political and economic pressure against the Fed? We use automated content analysis to examine the discourse of the FOMC (with this discourse recorded in the verbatim transcripts of meetings). In applying this methodology, we assess the force of the arguments used by Chairman Volcker and find that deliberation in the FOMC did indeed matter both in 1979 and 1980. Specifically, Volcker led his colleagues in coming to understand and apply the idea of credible commitment in U.S. monetary policymaking.</t>
  </si>
  <si>
    <t>[Schonhardt-Bailey, Cheryl] London Sch Econ, Dept Govt, London WC2A 2AE, England</t>
  </si>
  <si>
    <t>C.M.Schonhardt-Bailey@lse.ac.uk</t>
  </si>
  <si>
    <t>10.1093/pan/mpn005</t>
  </si>
  <si>
    <t>WOS:000263835100004</t>
  </si>
  <si>
    <t>Ghermandi, A; Sinclair, M; Fichtman, E; Gish, M</t>
  </si>
  <si>
    <t>Ghermandi, Andrea; Sinclair, Michael; Fichtman, Edna; Gish, Moshe</t>
  </si>
  <si>
    <t>Novel insights on intensity and typology of direct human-nature interactions in protected areas through passive crowdsourcing</t>
  </si>
  <si>
    <t>Cultural ecosystem services; Heritage tourism; Israel; Nature-based recreation; Protected areas; Social media</t>
  </si>
  <si>
    <t>CULTURAL ECOSYSTEM SERVICES; SOCIAL-MEDIA DATA; VOLUNTEERED GEOGRAPHIC INFORMATION; NATIONAL-PARKS; VISITATION; VALUES; ENVIRONMENT; SCIENCE; PHOTOS</t>
  </si>
  <si>
    <t>Recent advances in geotagging, sharing and automatically analyzing online content from Social Networking Sites (SNS) offer unprecedented opportunities for the analysis of human-nature interactions. Previous studies in this field, however, offer limited insights regarding the benefits of automated content analysis especially at large scales, biases arising from the selection of SNS sources, and the predictive power of visitation models based on SNS data. We explore quantitative and qualitative aspects related to intensity, interests and sentiments associated with on-site experiences in 568 protected areas in Israel and the Palestinian Authority. We analyze counts and content of &gt;100,000 photographs and tweets from four different SNSs, calibrate visitation models and predict visitation in unmonitored sites, cluster sites based on the typology of human-nature interactions reflected in online photographs, and characterize the polarity of sentiments associated with experiences in individual sites and clusters thereof. We find benefits in combining data from multiple sources and controlling for biases related to sites' photogenicity and type of human-nature interactions. Our results suggest that current best estimates of visitation in unmonitored sites underestimate by 39% the actual number of visits. We discuss how the techniques and findings in this study are applicable in the broader context of the management and conservation of sites of environmental or cultural interest.</t>
  </si>
  <si>
    <t>[Ghermandi, Andrea; Sinclair, Michael; Fichtman, Edna; Gish, Moshe] Univ Haifa, Dept Nat Resources &amp; Environm Management, 199 Aba Khushy Ave, IL-3498838 Haifa, Israel; [Ghermandi, Andrea; Sinclair, Michael] Univ Haifa, Nat Resource &amp; Environm Res Ctr, Haifa, Israel</t>
  </si>
  <si>
    <t>University of Haifa; University of Haifa</t>
  </si>
  <si>
    <t>Ghermandi, A (corresponding author), Univ Haifa, Dept Nat Resources &amp; Environm Management, 199 Aba Khushy Ave, IL-3498838 Haifa, Israel.</t>
  </si>
  <si>
    <t>aghermand@univ.haifa.ac.il</t>
  </si>
  <si>
    <t>Ghermandi, Andrea/AAI-1254-2019</t>
  </si>
  <si>
    <t>Ghermandi, Andrea/0000-0002-9403-4265</t>
  </si>
  <si>
    <t>Israel Science Foundation within the ISF-UGC joint research program framework [2751/16]</t>
  </si>
  <si>
    <t>Israel Science Foundation within the ISF-UGC joint research program framework</t>
  </si>
  <si>
    <t>This research (Grant No. 2751/16) was supported by the Israel Science Foundation within the ISF-UGC joint research program framework. We are grateful to Amir Shmulik and Alon Lotan for their assistance and input at various stages of the present research.</t>
  </si>
  <si>
    <t>10.1016/j.gloenvcha.2020.102189</t>
  </si>
  <si>
    <t>PL0JP</t>
  </si>
  <si>
    <t>WOS:000602819700003</t>
  </si>
  <si>
    <t>Liebman, BL; Roberts, ME; Stern, RE; Wang, AZ</t>
  </si>
  <si>
    <t>Liebman, Benjamin L.; Roberts, Margaret E.; Stern, Rachel E.; Wang, Alice Z.</t>
  </si>
  <si>
    <t>Mass Digitization of Chinese Court Decisions How to Use Text as Data in the Field of Chinese Law</t>
  </si>
  <si>
    <t>ADMINISTRATIVE LITIGATION; TRANSPARENCY; POWER</t>
  </si>
  <si>
    <t>Since 2014, Chinese courts have placed tens of millions of court judgments online. We analyze the promise and pitfalls of using this new data source, highlighting takeaways for readers facing similar issues using other collections of legal texts. Drawing on 1,058,986 documents from Henan Province, we identify problems with missing data and call on scholars to treat variation in court disclosure rates as an urgent research question. We also outline strategies for learning from a corpus that is vast and incomplete. Using a topic model of administrative litigation in Henan, we complicate conventional wisdom that administrative lawsuits are an extension of contentious politics that give Chinese citizens an opportunity to challenge the state. Instead, we find a high prevalence of administrative cases that reflect an underlying dispute between two private parties, suggesting that administrative lawsuits are often an attempt to enlist help from the state in resolving an underlying civil dispute.</t>
  </si>
  <si>
    <t>[Liebman, Benjamin L.; Wang, Alice Z.] Columbia Law Sch, New York, NY 10027 USA; [Roberts, Margaret E.] Univ Calif San Diego, San Diego, CA 92103 USA; [Stern, Rachel E.] Univ Calif Berkeley, Berkeley, CA 94720 USA</t>
  </si>
  <si>
    <t>Columbia University; University of California System; University of California San Diego; University of California System; University of California Berkeley</t>
  </si>
  <si>
    <t>Liebman, BL (corresponding author), Columbia Law Sch, New York, NY 10027 USA.</t>
  </si>
  <si>
    <t>BL2075@columbia.edu</t>
  </si>
  <si>
    <t>Stern, Rachel/0000-0001-9745-3433</t>
  </si>
  <si>
    <t>National Science Foundation RIDIR program [1738411]</t>
  </si>
  <si>
    <t>National Science Foundation RIDIR program</t>
  </si>
  <si>
    <t>We are grateful to a large number of commentators in both China and the United States whose feedback helped improve this article and to the many research assistants at Berkeley, Columbia, and the University of California, San Diego, who worked on various stages of this project. Particular thanks to Kevin Coakley, Subhasis Dasgupta, Amarnath Gupta, Haoshen Hong, and Kai Lin at the San Diego Supercomputer and Xiaohan Wu at Columbia Law for their help with the data. This work was partially funded by the National Science Foundation RIDIR program, award 1738411.</t>
  </si>
  <si>
    <t>SEP 1</t>
  </si>
  <si>
    <t>10.1086/709916</t>
  </si>
  <si>
    <t>OJ3CO</t>
  </si>
  <si>
    <t>WOS:000583843000001</t>
  </si>
  <si>
    <t>Choucri, N; Agarwal, G</t>
  </si>
  <si>
    <t>Choucri, Nazli; Agarwal, Gaurav</t>
  </si>
  <si>
    <t>Analytics for Smart Grid Cybersecurity</t>
  </si>
  <si>
    <t>2017 IEEE INTERNATIONAL SYMPOSIUM ON TECHNOLOGIES FOR HOMELAND SECURITY (HST)</t>
  </si>
  <si>
    <t>IEEE International Symposium on Technologies for Homeland Security (HST)</t>
  </si>
  <si>
    <t>APR 25-26, 2017</t>
  </si>
  <si>
    <t>Waltham, MA</t>
  </si>
  <si>
    <t>Cyber-physical systems; National security; Smart grids; System of systems</t>
  </si>
  <si>
    <t>Guidelines, directives, and policy statements are usually presented in linear text form - word after word, page after page. However necessary, this practice impedes full understanding, obscures feedback dynamics, hides mutual dependencies and cascading effects and the like, -- even when augmented with tables and diagrams. The net result is often a checklist response as an end in itself. All this creates barriers to intended realization of guidelines and undermines potential effectiveness. We present a solution strategy using text as data, transforming text into a structured model, and generate a network views of the text(s), that we then can use for vulnerability mapping, risk assessments and control point analysis. We apply this approach using two NIST reports on cybersecurity of smart grid, more than 600 pages of text. Here we provide a synopsis of approach, methods, and tools. (Elsewhere we consider (a) system-wide level, (b) aviation e-Iandscape, (c) electric vehicles, and (d) SCADA for smart grid).</t>
  </si>
  <si>
    <t>[Choucri, Nazli] MIT, Polit Sci, 77 Massachusetts Ave, Cambridge, MA 02139 USA; [Agarwal, Gaurav] MIT, 77 Massachusetts Ave, Cambridge, MA 02139 USA</t>
  </si>
  <si>
    <t>Massachusetts Institute of Technology (MIT); Massachusetts Institute of Technology (MIT)</t>
  </si>
  <si>
    <t>Choucri, N (corresponding author), MIT, Polit Sci, 77 Massachusetts Ave, Cambridge, MA 02139 USA.</t>
  </si>
  <si>
    <t>nchoucri@mit.edu; gauravag@mit.edu</t>
  </si>
  <si>
    <t>Masdar Institute of Science and Technology (Masdar Institute), Abu Dhabi, UAE [02/MI/MIT/CP/11/07633/GEN/G/00]; Massachusetts Institute of Technology (MIT), Cambridge, MA, USA [02/MI/MIT/CP/11/07633/GEN/G/00]</t>
  </si>
  <si>
    <t>Masdar Institute of Science and Technology (Masdar Institute), Abu Dhabi, UAE; Massachusetts Institute of Technology (MIT), Cambridge, MA, USA</t>
  </si>
  <si>
    <t>This work was funded, in part, by the Cooperative Agreement between the Masdar Institute of Science and Technology (Masdar Institute), Abu Dhabi, UAE and the Massachusetts Institute of Technology (MIT), Cambridge, MA, USA - 02/MI/MIT/CP/11/07633/GEN/G/00.</t>
  </si>
  <si>
    <t>978-1-5090-6356-7</t>
  </si>
  <si>
    <t>BI2CH</t>
  </si>
  <si>
    <t>WOS:000408273100073</t>
  </si>
  <si>
    <t>Balluff, P; Lind, F; Boomgaarden, HG; Waldherr, A</t>
  </si>
  <si>
    <t>Balluff, Paul; Lind, Fabienne; Boomgaarden, Hajo G.; Waldherr, Annie</t>
  </si>
  <si>
    <t>Mapping the European media landscape - Meteor, a curated and community-coded inventory of news sources</t>
  </si>
  <si>
    <t>News sources inventory; text as data; European Media Systems; open data; research infrastructure</t>
  </si>
  <si>
    <t>JOURNALISM; TRANSFORMATION; SYSTEMS</t>
  </si>
  <si>
    <t>We present Meteor, a new inventory for European news sources (i.e. EU + UK, CH, NO, IL): https://wp3.opted.eu/. This inventory will facilitate researchers' efforts to select sources across platforms and gather related textual data. It contains the names of print and online news sources, social media accounts, news blogs, and alternative news media sources, as well as rich meta-information for each entry (e.g. language, audience size, topical focus, ownership structures, access to full-text archives, secondary data, related research). Meteor accounts for the fuzziness of hybrid media systems through an interlinked knowledge graph. Entries are submitted by researchers, validated, continuously updated, and openly accessible to the public. Our inventory allows users to find various European news sources based on a wide range of criteria, putting scholars in a better position to navigate the European media landscape.</t>
  </si>
  <si>
    <t>[Balluff, Paul; Lind, Fabienne; Boomgaarden, Hajo G.; Waldherr, Annie] Univ Vienna, Dept Commun, Kolingasse 14-16, A-1010 Vienna, Austria</t>
  </si>
  <si>
    <t>Balluff, P (corresponding author), Univ Vienna, Dept Commun, Kolingasse 14-16, A-1010 Vienna, Austria.</t>
  </si>
  <si>
    <t>paul.balluff@univie.ac.at</t>
  </si>
  <si>
    <t>Balluff, Paul/0000-0001-9548-3225; Boomgaarden, Hajo G./0000-0002-5260-1284</t>
  </si>
  <si>
    <t>European Union [951832]</t>
  </si>
  <si>
    <t>The author(s) disclosed receipt of the following financial support for the research, authorship, and/or publication of this article: This project has received funding from the European Union's Horizon 2020 research &amp; innovation programme under grant agreement No 951832. The document reflects only the authors' views. The European Union is not liable for any use that may be made of the information contained herein.</t>
  </si>
  <si>
    <t>10.1177/02673231221112006</t>
  </si>
  <si>
    <t>3L1UB</t>
  </si>
  <si>
    <t>WOS:000834552300001</t>
  </si>
  <si>
    <t>Casas, A; Wilkerson, J</t>
  </si>
  <si>
    <t>Casas, Andreu; Wilkerson, John</t>
  </si>
  <si>
    <t>A Delicate Balance: Party Branding During the 2013 Government Shutdown</t>
  </si>
  <si>
    <t>AMERICAN POLITICS RESEARCH</t>
  </si>
  <si>
    <t>party brand; government shutdown; social media; text-as-data; political communication</t>
  </si>
  <si>
    <t>BETA REGRESSION; CANDIDATE; VALENCE</t>
  </si>
  <si>
    <t>Strong party brands help congressional parties elect candidates, maintain or gain majority control, and advance their policy agendas. Because successful branding efforts depend on consistent messaging, party leaders try to choose issues that most members are willing to promote. But what do leaders do when a party majority pressures them to take up issues that harm the brand for others? We investigate the 2013 government shutdown as a branding event. House Republican leaders instigated the shutdown after learning that a majority of Republicans would not vote for a clean funding bill. However, instead of highlighting the issues that led to the shutdown, they publicized the party's efforts to resolve it. Party leaders sought to exploit the fact that party brands have both position and valence components to simultaneously address the demands of the party base and the electoral concerns of members representing competitive districts.</t>
  </si>
  <si>
    <t>[Casas, Andreu] Univ Washington, 101 Gowen Hall,Box 353530, Seattle, WA 98195 USA; [Wilkerson, John] Univ Washington, Polit Sci, Seattle, WA 98195 USA</t>
  </si>
  <si>
    <t>University of Washington; University of Washington Seattle; University of Washington; University of Washington Seattle</t>
  </si>
  <si>
    <t>Casas, A (corresponding author), Univ Washington, 101 Gowen Hall,Box 353530, Seattle, WA 98195 USA.</t>
  </si>
  <si>
    <t>acasas2@uw.edu</t>
  </si>
  <si>
    <t>National Science Foundation [1243917]; La Caixa Fellowship Program</t>
  </si>
  <si>
    <t>National Science Foundation(National Science Foundation (NSF)); La Caixa Fellowship Program</t>
  </si>
  <si>
    <t>The author(s) disclosed receipt of the following financial support for the research, authorship, and/or publication of this article: This research was partially supported by the National Science Foundation under Grant No. 1243917. Andreu Casas gratefully acknowledges support from the La Caixa Fellowship Program.</t>
  </si>
  <si>
    <t>1532-673X</t>
  </si>
  <si>
    <t>1552-3373</t>
  </si>
  <si>
    <t>AM POLIT RES</t>
  </si>
  <si>
    <t>Am. Polit. Res.</t>
  </si>
  <si>
    <t>10.1177/1532673X16688458</t>
  </si>
  <si>
    <t>FC8RA</t>
  </si>
  <si>
    <t>WOS:000407107300003</t>
  </si>
  <si>
    <t>Hoyland, B; Soyland, MG</t>
  </si>
  <si>
    <t>Hoyland, Bjorn; Soyland, Martin G.</t>
  </si>
  <si>
    <t>Electoral Reform and Parliamentary Debates</t>
  </si>
  <si>
    <t>electoral reform; parliamentary debates; text-as-data</t>
  </si>
  <si>
    <t>LEGISLATIVE BEHAVIOR; INSTITUTIONS; REPRESENTATION; PRINCIPALS; ELECTIONS; ADOPTION; PARTIES; BALLOT</t>
  </si>
  <si>
    <t>The early twentieth century saw many democracies adopt proportional representative systems. The textbook explanation, pioneered by Rokkan, emphasize between-party electoral competition; the rise of the Socialist vote share made Bourgeois parties prefer PR systems to maximize their seat share. While appealing, this account is not entirely compelling. Consequently, scholars are investigating within-party explanations of support for such reforms. Particularly, Cox, Fiva, and Smith show how list PR enable party leaders to discipline members and build cohesive parties. Relying on roll-call votes across the Norwegian 1919 electoral reform from two-round single-member plurality to closed-list PR, they show that the internal party cohesion increased following the reform. We investigate how the Norwegian electoral reform changed the content of parliamentary speeches. Comparing speeches from MPs present both before and after the reform, we show how parties become more cohesive in parliamentary debates under list PR than they were under the single-member-district system.</t>
  </si>
  <si>
    <t>[Hoyland, Bjorn] Univ Oslo, Polit Sci, Oslo, Norway; [Soyland, Martin G.] Univ Oslo, Oslo, Norway</t>
  </si>
  <si>
    <t>University of Oslo; University of Oslo</t>
  </si>
  <si>
    <t>Hoyland, B (corresponding author), Univ Oslo, Polit Sci, Oslo, Norway.</t>
  </si>
  <si>
    <t>bjorn.hoyland@stv.uio.no; martin.g.soyland@stv.uio.no</t>
  </si>
  <si>
    <t>Soyland, Martin/0000-0002-2463-8469; Hoyland, Bjorn/0000-0002-7406-9348</t>
  </si>
  <si>
    <t>10.1111/lsq.12237</t>
  </si>
  <si>
    <t>WOS:000494507700003</t>
  </si>
  <si>
    <t>Ishima, H</t>
  </si>
  <si>
    <t>Ishima, Hideo</t>
  </si>
  <si>
    <t>How electoral reform alters legislative speech: Evidence from the parliament of Victoria, Australia 1992-2017</t>
  </si>
  <si>
    <t>Electoral reform; Political representation; Difference-in-Differences; Text-as-Data</t>
  </si>
  <si>
    <t>DISTRICT MAGNITUDE; REPRESENTATION; INCENTIVES; BUNDESTAG; RULES; TEXT</t>
  </si>
  <si>
    <t>Does changing single-member district (SMD) systems to proportional representation (PR) systems affect politicians' behavior? Previous studies, which have utilized cross-sectional or temporal variation in electoral systems, fail to estimate their effects. In contrast, we employ a difference-in-differences design and text analysis to estimate the causal effect of an electoral reform on politicians' issue attention. In particular, we estimate the causal effect of the electoral reform in the Parliament of Victoria in Australia, which changed the electoral systems of the Legislative Council from SMD to PR while holding the system of the Legislative Assembly constant. We analyzed a newly collected dataset of legislators' inaugural speeches from 1992 to 2017 using a topic model. The results show the electoral reform increased politicians' attention to new economic issues but did not decrease attention to local interests such as promoting primary industries.</t>
  </si>
  <si>
    <t>[Ishima, Hideo] Kyoto Univ, Grad Sch Law, Sakyo Ku, Kyoto, Japan</t>
  </si>
  <si>
    <t>Kyoto University</t>
  </si>
  <si>
    <t>Ishima, H (corresponding author), Kyoto Univ, Grad Sch Law, Sakyo Ku, Kyoto, Japan.</t>
  </si>
  <si>
    <t>ishima.hideo.3r@kyoto-u.ac.jp</t>
  </si>
  <si>
    <t>Ishima, Hideo/0000-0002-8777-1902</t>
  </si>
  <si>
    <t>Japan Society for the Promotion of Science, Japan KAKENHI [20K13400, 18J10229]</t>
  </si>
  <si>
    <t>Japan Society for the Promotion of Science, Japan KAKENHI</t>
  </si>
  <si>
    <t>This work is supported by Japan Society for the Promotion of Science, Japan KAKENHI Grant Number 18J10229 and 20K13400. I would like to thank Rieko Kage, Kazunori Inamasu, Naofumi Fujimura and participants at the annual conference of Japanese Association of Electoral Studies and Kyoto University Political Science Workshop for giving kind suggestion. I also thank three anonymous reviewers for giving helpful and constructive comments.</t>
  </si>
  <si>
    <t>10.1016/j.electstud.2020.102192</t>
  </si>
  <si>
    <t>NZ4NQ</t>
  </si>
  <si>
    <t>WOS:000577072500004</t>
  </si>
  <si>
    <t>Denny, MJ; Spirling, A</t>
  </si>
  <si>
    <t>Denny, Matthew J.; Spirling, Arthur</t>
  </si>
  <si>
    <t>Text Preprocessing For Unsupervised Learning: Why It Matters, When It Misleads, And What To Do About It</t>
  </si>
  <si>
    <t>statistical analysis of texts; unsupervised learning; descriptive statistics</t>
  </si>
  <si>
    <t>MODEL; POSITIONS; SELECTION; SUPPORT; WORDS</t>
  </si>
  <si>
    <t>Despite the popularity of unsupervised techniques for political science text-as-data research, the importance and implications of preprocessing decisions in this domain have received scant systematic attention. Yet, as we show, such decisions have profound effects on the results of real models for real data. We argue that substantive theory is typically too vague to be of use for feature selection, and that the supervised literature is not necessarily a helpful source of advice. To aid researchers working in unsupervised settings, we introduce a statistical procedure and software that examines the sensitivity of findings under alternate preprocessing regimes. This approach complements a researcher's substantive understanding of a problem by providing a characterization of the variability changes in preprocessing choices may induce when analyzing a particular dataset. In making scholars aware of the degree to which their results are likely to be sensitive to their preprocessing decisions, it aids replication efforts.</t>
  </si>
  <si>
    <t>[Denny, Matthew J.] Penn State Univ, 203 Pond Lab, University Pk, PA 16802 USA; [Spirling, Arthur] NYU, Off 405,19 West 4th St, New York, NY 10012 USA</t>
  </si>
  <si>
    <t>Pennsylvania Commonwealth System of Higher Education (PCSHE); Pennsylvania State University; Pennsylvania State University - University Park; New York University</t>
  </si>
  <si>
    <t>Denny, MJ (corresponding author), Penn State Univ, 203 Pond Lab, University Pk, PA 16802 USA.</t>
  </si>
  <si>
    <t>mdenny@psu.edu; arthur.spirling@nyu.edu</t>
  </si>
  <si>
    <t>National Science Foundation under IGERT Grant [DGE-1144860]</t>
  </si>
  <si>
    <t>National Science Foundation under IGERT Grant</t>
  </si>
  <si>
    <t>This research was supported by the National Science Foundation under IGERT Grant DGE-1144860.</t>
  </si>
  <si>
    <t>10.1017/pan.2017.44</t>
  </si>
  <si>
    <t>GE7IH</t>
  </si>
  <si>
    <t>WOS:000431406300003</t>
  </si>
  <si>
    <t>Kostovicova, D; Kerr, R; Sokolic, I; Fairey, T; Redwood, H; Subotic, J</t>
  </si>
  <si>
    <t>Kostovicova, Denisa; Kerr, Rachel; Sokolic, Ivor; Fairey, Tiffany; Redwood, Henry; Subotic, Jelena</t>
  </si>
  <si>
    <t>The Digital Turn in Transitional Justice Research: Evaluating Image and Text as Data in the Western Balkans</t>
  </si>
  <si>
    <t>COMPARATIVE SOUTHEAST EUROPEAN STUDIES</t>
  </si>
  <si>
    <t>transitional justice; digital turn; data; ethics; methods</t>
  </si>
  <si>
    <t>ETHICAL-CONSIDERATIONS; FACEBOOK; VIOLENCE; RETHINKING; CHALLENGES; ARCHIVES; BOSNIA</t>
  </si>
  <si>
    <t>The digital turn has transformed the landscape of transitional justice research. A wealth of data has been created through social media channels, and new digitisation tools have made existing data more easily accessible. This article discusses the ethical and methodological dimensions of using digital data and novel technologies in transitional justice research based on innovative research using digital archives, digitised transcripts, social media (Facebook) content and digital images. The authors review and evaluate how, in each of these domains, new digital technologies have enabled scholars to expand empirical evidence to understand the mechanics of transitional justice by analysing how data is produced and curated, to interrogate ethical dilemmas involved in those processes and to shift the focus from the ability of transitional justice to fulfil normative goals to how transitional justice is enacted and articulated as a process.</t>
  </si>
  <si>
    <t>[Kostovicova, Denisa] London Sch Econ &amp; Polit Sci, European Inst, London, England; [Kerr, Rachel] Kings Coll London, Dept War Studies, London, England; [Sokolic, Ivor] Univ Hertfordshire, Sch Humanities, Hatfield, Herts, England; [Fairey, Tiffany] Kings Coll London, Dept War Studies, London, England; [Redwood, Henry] London South Bank Univ, London, England; [Subotic, Jelena] Georgia State Univ, Dept Polit Sci, Atlanta, GA 30303 USA</t>
  </si>
  <si>
    <t>University of London; London School Economics &amp; Political Science; University of London; King's College London; University of Hertfordshire; University of London; King's College London; London South Bank University; University System of Georgia; Georgia State University</t>
  </si>
  <si>
    <t>Kostovicova, D (corresponding author), London Sch Econ &amp; Polit Sci, European Inst, London, England.</t>
  </si>
  <si>
    <t>d.kostovicova@lse.ac.uk; rachel.kerr@kcl.ac.uk; i.sokolic@herts.ac.uk; tiffany.fairey@kcl.ac.uk; henry.redwood@lsbu.ac.uk; jsubotic@gsu.edu</t>
  </si>
  <si>
    <t>Redwood, Henry/0000-0002-8086-6917; Subotic, Jelena/0000-0002-8790-7363; Kostovicova, Denisa/0000-0002-6243-4379; Fairey, Tiffany/0000-0001-8668-1940</t>
  </si>
  <si>
    <t>Arts and Humanities Research Council [AH/P005365/1]</t>
  </si>
  <si>
    <t>Arts and Humanities Research Council(UK Research &amp; Innovation (UKRI)Arts &amp; Humanities Research Council (AHRC))</t>
  </si>
  <si>
    <t>This work was supported by the Arts and Humanities Research Council (AH/P005365/1: Art and Reconciliation: Conflict, Culture and Community). The authors thank the anonymous reviewers for their useful comments, Tom Paskhalis for being generous with helpful insights and Melina Ackermann for editorial assistance.</t>
  </si>
  <si>
    <t>2701-8199</t>
  </si>
  <si>
    <t>2701-8202</t>
  </si>
  <si>
    <t>COMP SE EUR STUD</t>
  </si>
  <si>
    <t>Comp. Southeast Eur. Stud.</t>
  </si>
  <si>
    <t>MAR 28</t>
  </si>
  <si>
    <t>10.1515/soeu-2021-0055</t>
  </si>
  <si>
    <t>2E6IH</t>
  </si>
  <si>
    <t>Green Accepted, gold</t>
  </si>
  <si>
    <t>WOS:000812330100002</t>
  </si>
  <si>
    <t>Widmann, T</t>
  </si>
  <si>
    <t>Widmann, Tobias</t>
  </si>
  <si>
    <t>How Emotional Are Populists Really? Factors Explaining Emotional Appeals in the Communication of Political Parties</t>
  </si>
  <si>
    <t>discrete emotions; populist communication; political communication; text analysis; text as data</t>
  </si>
  <si>
    <t>ANXIETY; ANGER; MEDIA; FEAR; UNDERPINNINGS; IMMIGRATION; PERCEPTIONS; ENTHUSIASM; OPPOSITION; RESPONSES</t>
  </si>
  <si>
    <t>Are populists really more emotional than mainstream parties? The alleged link between populism and emotional communication has barely been subject to systematic empirical scrutiny. I use literature on populist communication and appraisal theory to generate expectations about which political parties use which emotional appeals. I test these claims by applying a novel emotional dictionary to a large set of text data including more than 700,000 press releases and tweets from three European countries. As expected, I find that populist parties use significantly more negative emotional appeals (anger, fear, disgust, sadness) and less positive emotional appeals (joy, enthusiasm, pride, hope) than mainstream parties. Furthermore, I find that political actors adapt the usage of emotional appeals to different purposes depending on the communication medium and the politicians' status level. This study entails important implications for the research on emotional appeals in politics and populist communication.</t>
  </si>
  <si>
    <t>[Widmann, Tobias] European Univ Inst, Fiesole, Italy</t>
  </si>
  <si>
    <t>Widmann, T (corresponding author), European Univ Inst, Dept Polit &amp; Social Sci, Via Badia dei Roccettini 9, I-50014 Florence, Italy.</t>
  </si>
  <si>
    <t>tobias.widmann@eui.eu</t>
  </si>
  <si>
    <t>Widmann, Tobias/0000-0003-1692-3101</t>
  </si>
  <si>
    <t>10.1111/pops.12693</t>
  </si>
  <si>
    <t>PQ4QT</t>
  </si>
  <si>
    <t>WOS:000572809700001</t>
  </si>
  <si>
    <t>Huang, L; Perry, PO; Spirling, A</t>
  </si>
  <si>
    <t>Huang, Leslie; Perry, Patrick O.; Spirling, Arthur</t>
  </si>
  <si>
    <t>A General Model of Author Style with Application to the UK House of Commons, 1935-2018</t>
  </si>
  <si>
    <t>House of Commons; stylometry; text as data; regression</t>
  </si>
  <si>
    <t>DYADIC REPRESENTATION; BRITISH; ELECTIONS; TESTS; VOTE</t>
  </si>
  <si>
    <t>We consider evidence for the assertion that backbench members of parliament (MPs) in the UK have become less distinctive from one another in terms of their speech. Noting that this claim has considerable normative and substantive implications, we review theory and findings in the area, which are ultimately ambiguous on this question. We then provide a new statistical model of distinctiveness that extends traditional efforts to statistically characterize the style of authors and apply it to a corpus of Hansard speeches from 1935 to 2018. In the aggregate, we find no evidence for the claim of more homogeneity. But this hides intriguing covariate effects: at the MP-level, panel regression results demonstrate that on average, more senior backbenchers tend to be less different in speech terms. We also show, however, that this pattern is changing: in recent times, it is more experienced MPs who speak most distinctively.</t>
  </si>
  <si>
    <t>[Huang, Leslie; Perry, Patrick O.] NYU, Ctr Data Sci, 60 Fifth Ave, New York, NY 10011 USA; [Spirling, Arthur] New York Univ, Polit &amp; Data Sci, 19 W4th St, New York, NY 10012 USA</t>
  </si>
  <si>
    <t>New York University; New York University</t>
  </si>
  <si>
    <t>Huang, L (corresponding author), NYU, Ctr Data Sci, 60 Fifth Ave, New York, NY 10011 USA.</t>
  </si>
  <si>
    <t>lesliehuang@nyu.edu; pperry@stern.hyu.edu; arthur.spirling@nyu.edu</t>
  </si>
  <si>
    <t>Spirling, Arthur/0000-0001-9959-1805</t>
  </si>
  <si>
    <t>PII S1047198719000494</t>
  </si>
  <si>
    <t>10.1017/pan.2019.49</t>
  </si>
  <si>
    <t>WOS:000537176300007</t>
  </si>
  <si>
    <t>Schwalbach, J</t>
  </si>
  <si>
    <t>Schwalbach, Jan</t>
  </si>
  <si>
    <t>Talking to the Populist Radical Right: A Comparative Analysis of Parliamentary Debates</t>
  </si>
  <si>
    <t>RIGHT PARTIES; OPPOSITION; GOVERNMENT; POLICY; IMMIGRATION; STRATEGIES; POSITIONS; SUCCESS; TIME</t>
  </si>
  <si>
    <t>In many Western European states, right-wing populist parties made it into the national parliaments. This presents the established parties with the challenge of how to behave towards the new party. While the scholarly literature has focused more on the interaction with the populist radical right in the electoral arena, we know little about how it functions in an institutionally constrained arena such as parliament. This study asks in what way these structures affect the position taking and confrontation in speeches. Using different text-as-data approaches, I analyze parliamentary debates in four Western European parliaments after the entry of right-wing populist parties. The results show that government-opposition dynamics continue to structure parliamentary debates by and large, but right-wing populist parties succeed in polarizing debates on immigration. They also become the center of attention in these debates. These results have important implications for the analysis of strategic party interaction in the parliamentary context.</t>
  </si>
  <si>
    <t>[Schwalbach, Jan] Univ Cologne, Cologne, Germany; [Schwalbach, Jan] GESIS Leibniz Inst Social Sci, Mannheim, Germany</t>
  </si>
  <si>
    <t>University of Cologne; Leibniz Institut fur Sozialwissenschaften (GESIS)</t>
  </si>
  <si>
    <t>Schwalbach, J (corresponding author), Univ Cologne, Cologne, Germany.;Schwalbach, J (corresponding author), GESIS Leibniz Inst Social Sci, Mannheim, Germany.</t>
  </si>
  <si>
    <t>janschwal@gmail.com</t>
  </si>
  <si>
    <t>Schwalbach, Jan/AGZ-0297-2022</t>
  </si>
  <si>
    <t>Schwalbach, Jan/0000-0002-6990-8098</t>
  </si>
  <si>
    <t>I would like to thank the three anonymous reviewers and the editor for their detailed and extremely helpful comments and suggestions. Furthermore, I would like to thank Ingo Rohlfing and Sven-Oliver Proksch for comments on earlier versions of this paper. Open Access funding enabled and organized by Projekt DEAL.</t>
  </si>
  <si>
    <t>10.1111/lsq.12397</t>
  </si>
  <si>
    <t>3P5AR</t>
  </si>
  <si>
    <t>WOS:000837551800001</t>
  </si>
  <si>
    <t>Bridgman, A; Ciobanu, C; Erlich, A; Bohonos, D; Ross, C</t>
  </si>
  <si>
    <t>Bridgman, Aengus; Ciobanu, Costin; Erlich, Aaron; Bohonos, Danielle; Ross, Christopher</t>
  </si>
  <si>
    <t>Unveiling: An Unexpected Mid-campaign Court Ruling's Consequences and the Limits of Following the Leader</t>
  </si>
  <si>
    <t>campaign effects; immigration; natural experiment; media effects; Canada</t>
  </si>
  <si>
    <t>Strong evidence exists that major campaign-relevant events can have substantial impacts on vote intentions. We know less about how information about such events diffuses and why only some events become salient. We posit that voters often become aware of such exogenous events via a media mechanism. As the salience of the policy issue in the media increases, we argue that, under certain conditions, the media primes the voters to defect from their party and its leader. We investigate these processes by studying an unexpected court ruling during the 2015 Canadian federal election campaign. Based on difference-in-differences and text-as-data approaches, we find that an exogenous court ruling related to immigrant integration led to between a 5 and 11 percentage point decline in the leading party's support. Beyond modeling how campaign-relevant events become salient through the media, we provide evidence about circumstances where leaders should not expect party loyalty to override crystallized opinions.</t>
  </si>
  <si>
    <t>[Bridgman, Aengus; Ciobanu, Costin; Erlich, Aaron; Bohonos, Danielle; Ross, Christopher] McGill Univ, Montreal, PQ H3A 2T7, Canada; [Bridgman, Aengus; Ciobanu, Costin; Erlich, Aaron] Ctr Study Democrat Citizenship, Montreal, PQ H3A 2T7, Canada</t>
  </si>
  <si>
    <t>McGill University</t>
  </si>
  <si>
    <t>Erlich, A (corresponding author), McGill Univ, Montreal, PQ H3A 2T7, Canada.;Erlich, A (corresponding author), Ctr Study Democrat Citizenship, Montreal, PQ H3A 2T7, Canada.</t>
  </si>
  <si>
    <t>aaron.erlich@mcgill.ca</t>
  </si>
  <si>
    <t>Bridgman, Aengus/AAO-4143-2020; Ciobanu, Costin/GYD-3748-2022</t>
  </si>
  <si>
    <t>Bridgman, Aengus/0000-0003-1130-1258; Ciobanu, Costin/0000-0002-7140-9458</t>
  </si>
  <si>
    <t>10.1086/711177</t>
  </si>
  <si>
    <t>SX4MN</t>
  </si>
  <si>
    <t>WOS:000652323700001</t>
  </si>
  <si>
    <t>Stede, M; Patz, R</t>
  </si>
  <si>
    <t>Stede, Manfred; Patz, Ronny</t>
  </si>
  <si>
    <t>The Climate Change Debate and Natural Language Processing</t>
  </si>
  <si>
    <t>NLP4POSIMPACT 2021: THE 1ST WORKSHOP ON NLP FOR POSITIVE IMPACT</t>
  </si>
  <si>
    <t>1st Workshop on Natural Language Processing for Programming (NLP4Prog)</t>
  </si>
  <si>
    <t>AUG 05-06, 2021</t>
  </si>
  <si>
    <t>MEDIA; TEXT</t>
  </si>
  <si>
    <t>The debate around climate change (CC)-its extent, its causes, and the necessary responses-is intense and of global importance. Yet, in the natural language processing (NLP) community, this domain has so far received little attention. In contrast, it is of enormous prominence in various social science disciplines, and some of that work follows the text-as-data paradigm, seeking to employ quantitative methods for analyzing large amounts of CC-related text. Other research is qualitative in nature and studies details, nuances, actors, and motivations within CC discourses. Coming from both NLP and Political Science, and reviewing key works in both disciplines, we discuss how social science approaches to CC debates can inform advances in text-mining/NLP, and how, in return, NLP can support policy-makers and activists in making sense of large-scale and complex CC discourses across multiple genres, channels, topics, and communities. This is paramount for their ability to make rapid and meaningful impact on the discourse, and for shaping the necessary policy change.</t>
  </si>
  <si>
    <t>[Stede, Manfred] Univ Potsdam, Appl Computat Linguist, Potsdam, Germany; [Patz, Ronny] Hertie Sch, Berlin, Germany</t>
  </si>
  <si>
    <t>University of Potsdam</t>
  </si>
  <si>
    <t>Stede, M (corresponding author), Univ Potsdam, Appl Computat Linguist, Potsdam, Germany.</t>
  </si>
  <si>
    <t>stede@uni-potsdam.de; patz@hertie-school.de</t>
  </si>
  <si>
    <t>978-1-954085-69-5</t>
  </si>
  <si>
    <t>Computer Science, Artificial Intelligence; Computer Science, Interdisciplinary Applications; Linguistics</t>
  </si>
  <si>
    <t>Computer Science; Linguistics</t>
  </si>
  <si>
    <t>BS1UR</t>
  </si>
  <si>
    <t>WOS:000696679700002</t>
  </si>
  <si>
    <t>Bayram, AB; Ta, V</t>
  </si>
  <si>
    <t>Bayram, A. Burcu; Ta, Vivian</t>
  </si>
  <si>
    <t>Measuring common knowledge: Latent semantic analysis, linguistic synchrony, and common knowledge in international relations</t>
  </si>
  <si>
    <t>common knowledge; international cooperation; methodology; text-as-data</t>
  </si>
  <si>
    <t>INFORMATION; POLITICS; WAR; SOCIALIZATION; COMMUNICATION; INSTITUTIONS; DISCOURSE; DYNAMICS; BEHAVIOR; PROMISE</t>
  </si>
  <si>
    <t>Common knowledge, also called intersubjectivity, is a core theme in the study of international cooperation and diplomacy. Yet International Relations (IR) lacks a method to systematically measure the degree of common knowledge. Drawing from research in computational linguistics, psychology, and communication, we introduce latent semantic analysis (LSA) to measure common knowledge in specific communicative exchanges between actors. We argue that the extent to which speaking partners use words in the same way and get in synch linguistically can be used to measure the degree of common knowledge, and this can be measured by the LSA method. We outline several ways LSA can be valuable to IR scholars and provide an empirical illustration of using this method in the case of Bretton Woods negotiations. The LSA method promises to help IR scholars seize the research opportunities offered by the digital age and build a bridge between qualitative and quantitative methods.</t>
  </si>
  <si>
    <t>[Bayram, A. Burcu] Univ Arkansas, Polit Sci, Fayetteville, AR 72701 USA; [Ta, Vivian] Lake Forest Coll, Psychol, Lake Forest, IL 60045 USA</t>
  </si>
  <si>
    <t>University of Arkansas System; University of Arkansas Fayetteville</t>
  </si>
  <si>
    <t>Bayram, AB (corresponding author), Univ Arkansas, Dept Polit Sci, 428 Old Main, Fayetteville, AR 72701 USA.</t>
  </si>
  <si>
    <t>bayram@uark.edu</t>
  </si>
  <si>
    <t>Bayram, A. Burcu/0000-0003-0538-9791</t>
  </si>
  <si>
    <t>10.1177/0047117819871996</t>
  </si>
  <si>
    <t>LW9NE</t>
  </si>
  <si>
    <t>WOS:000485588400001</t>
  </si>
  <si>
    <t>Adammer, P; Schussler, RA</t>
  </si>
  <si>
    <t>Adaemmer, Philipp; Schuessler, Rainer A.</t>
  </si>
  <si>
    <t>Forecasting the Equity Premium: Mind the News!</t>
  </si>
  <si>
    <t>REVIEW OF FINANCE</t>
  </si>
  <si>
    <t>Topic modeling; Big data; Return predictability; Text as data</t>
  </si>
  <si>
    <t>STOCK RETURN PREDICTABILITY; SENTIMENT; MODEL; RISK; REGRESSION; SELECTION; LANGUAGE; SAMPLE; POLICY; MEDIA</t>
  </si>
  <si>
    <t>We introduce a novel strategy to predict monthly equity premia that is based on extracted news from more than 700,000 newspaper articles, which were published in The New York Times and Washington Post between 1980 and 2018. We propose a flexible data-adaptive switching approach to map a large set of different news-topics into forecasts of aggregate stock returns. The information that is embedded in our extracted news is not captured by established economic predictors. Compared with the prevailing historical mean between 1999 and 2018, we find large out-of-sample (OOS) gains with an R-OOS(2) of 6.52% and sizeable utility gains for a mean-variance investor. The empirical results indicate that geopolitical news are at times more valuable than economic news to predict the equity premium and we also find that forecasting gains arise in down markets.</t>
  </si>
  <si>
    <t>[Adaemmer, Philipp] Helmut Schmidt Univ, Hamburg, Germany; [Schuessler, Rainer A.] Univ Rostock, Rostock, Germany; [Schuessler, Rainer A.] Tech Univ Dortmund, Dortmund, Germany</t>
  </si>
  <si>
    <t>Helmut Schmidt University; University of Rostock; Dortmund University of Technology</t>
  </si>
  <si>
    <t>Adammer, P (corresponding author), Helmut Schmidt Univ, Hamburg, Germany.</t>
  </si>
  <si>
    <t>Schussler, Rainer Alexander/0000-0003-3574-3608</t>
  </si>
  <si>
    <t>1572-3097</t>
  </si>
  <si>
    <t>1573-692X</t>
  </si>
  <si>
    <t>REV FINANC</t>
  </si>
  <si>
    <t>Rev. Financ.</t>
  </si>
  <si>
    <t>10.1093/rof/rfaa007</t>
  </si>
  <si>
    <t>OX2JC</t>
  </si>
  <si>
    <t>WOS:000593396600005</t>
  </si>
  <si>
    <t>Mitts, T</t>
  </si>
  <si>
    <t>Mitts, Tamar</t>
  </si>
  <si>
    <t>Countering Violent Extremism and Radical Rhetoric</t>
  </si>
  <si>
    <t>INTERNATIONAL ORGANIZATION</t>
  </si>
  <si>
    <t>Terrorism; violent extremism; social media; Islamic State; text as data</t>
  </si>
  <si>
    <t>COLLECTIVE ACTION; ENGAGEMENT; LESSONS; MEDIA</t>
  </si>
  <si>
    <t>How do extremist sympathizers respond to counter-radicalization efforts? Over the past decade, programs to counter violent extremism have mushroomed around the world, but little is known of their effectiveness. This study uses social media data to examine how counter-radicalization efforts shape engagement with extremist groups in the online world. Matching geolocated Twitter data on Islamic State sympathizers with granular information on counter-extremism activities in the United States, I find that, rather than deradicalizing, these efforts led Islamic State sympathizers to act strategically to avoid detection. After counter-extremism activities, the group's supporters on Twitter who were in the vicinity of these events began self-censoring expressions of support for the Islamic State, altered profile images and screen names, and encouraged followers to migrate to Telegram, an encrypted network not viewable by the public. These findings reveal previously unknown patterns in the effects of counter-extremism programs in the digital era.</t>
  </si>
  <si>
    <t>[Mitts, Tamar] Columbia Univ, Int &amp; Publ Affairs, New York, NY 10027 USA</t>
  </si>
  <si>
    <t>Mitts, T (corresponding author), Columbia Univ, Int &amp; Publ Affairs, New York, NY 10027 USA.</t>
  </si>
  <si>
    <t>tm2630@columbia.edu</t>
  </si>
  <si>
    <t>Mitts, Tamar/0000-0002-3348-8490</t>
  </si>
  <si>
    <t>0020-8183</t>
  </si>
  <si>
    <t>1531-5088</t>
  </si>
  <si>
    <t>INT ORGAN</t>
  </si>
  <si>
    <t>Int. Organ.</t>
  </si>
  <si>
    <t>PII S0020818321000242</t>
  </si>
  <si>
    <t>10.1017/S0020818321000242</t>
  </si>
  <si>
    <t>ZB1QG</t>
  </si>
  <si>
    <t>WOS:000756624700012</t>
  </si>
  <si>
    <t>Widmann, T; Wich, M</t>
  </si>
  <si>
    <t>Widmann, Tobias; Wich, Maximilian</t>
  </si>
  <si>
    <t>Creating and Comparing Dictionary, Word Embedding, and Transformer-Based Models to Measure Discrete Emotions in German Political Text</t>
  </si>
  <si>
    <t>text-as-data; emotions; political text; dictionary; word embeddings; transformer models</t>
  </si>
  <si>
    <t>SENTIMENT ANALYSIS; LANGUAGE; ANGER; NEWS; CULTURE; FEAR</t>
  </si>
  <si>
    <t>Previous research on emotional language relied heavily on off-the-shelf sentiment dictionaries that focus on negative and positive tone. These dictionaries are often tailored to nonpolitical domains and use bag-of-words approaches which come with a series of disadvantages. This paper creates, validates, and compares the performance of (1) a novel emotional dictionary specifically for political text, (2) locally trained word embedding models combined with simple neural network classifiers, and (3) transformer-based models which overcome limitations of the dictionary approach. All tools can measure emotional appeals associated with eight discrete emotions. The different approaches are validated on different sets of crowd-coded sentences. Encouragingly, the results highlight the strengths of novel transformer-based models, which come with easily available pretrained language models. Furthermore, all customized approaches outperform widely used off-the-shelf dictionaries in measuring emotional language in German political discourse.</t>
  </si>
  <si>
    <t>[Widmann, Tobias] Aarhus Univ, Dept Polit Sci, Bartholins Alle 7, DK-8000 Aarhus, Denmark; [Wich, Maximilian] Tech Univ Munich, Dept Informat, Boltzmannstr 3, D-85748 Garching, Germany</t>
  </si>
  <si>
    <t>Aarhus University; Technical University of Munich</t>
  </si>
  <si>
    <t>Widmann, T (corresponding author), Aarhus Univ, Dept Polit Sci, Bartholins Alle 7, DK-8000 Aarhus, Denmark.</t>
  </si>
  <si>
    <t>widmann@ps.au.dk; maximilian.wich@tum.de</t>
  </si>
  <si>
    <t>European University Institute, Villa Sanfelice, San Domenico di Fiesole, Italy</t>
  </si>
  <si>
    <t>This work was supported by the Early Stage Researcher Grant from the European University Institute, Villa Sanfelice, 50014 San Domenico di Fiesole, Italy.</t>
  </si>
  <si>
    <t>PII S1047198722000158</t>
  </si>
  <si>
    <t>10.1017/pan.2022.15</t>
  </si>
  <si>
    <t>2N7OV</t>
  </si>
  <si>
    <t>WOS:000818565400001</t>
  </si>
  <si>
    <t>Rice, D; Rhodes, JH; Nteta, T</t>
  </si>
  <si>
    <t>Rice, Douglas; Rhodes, Jesse H.; Nteta, Tatishe</t>
  </si>
  <si>
    <t>Racial bias in legal language</t>
  </si>
  <si>
    <t>Law; racial bias; implicit bias; text-as-data; judicial behavior</t>
  </si>
  <si>
    <t>IMPLICIT BIAS; RACE</t>
  </si>
  <si>
    <t>Although racial bias in the law is widely recognized, it remains unclear how these biases are in entrenched in the language of the law, judicial opinions. In this article, we build on recent research introducing an approach to measuring the presence of implicit racial bias in large-scale corpora. Utilizing an original dataset of more than one million appellate court opinions from US state and federal courts, we estimate word embeddings for the more than 400,000 most common words found in legal opinions. In a series of analyses, we find strong and consistent evidence of implicit racial bias, as African-American names are more frequently associated with unpleasant or negative concepts, whereas European-American names are more frequently associated with pleasant or positive concepts. The results have stark implications for work on the neutrality of the legal system as well as for our understanding of the entrenchment of bias through the law.</t>
  </si>
  <si>
    <t>[Rice, Douglas; Rhodes, Jesse H.; Nteta, Tatishe] Univ Massachusetts, Dept Polit Sci, 200 Hicks Way,Thompson Hall, Amherst, MA 01003 USA</t>
  </si>
  <si>
    <t>Rice, D (corresponding author), Univ Massachusetts, Dept Polit Sci, 200 Hicks Way,Thompson Hall, Amherst, MA 01003 USA.</t>
  </si>
  <si>
    <t>drrice@legal.umass.edu</t>
  </si>
  <si>
    <t>Rice, Douglas/0000-0002-3653-857X; Nteta, Tatishe/0000-0003-2751-9673</t>
  </si>
  <si>
    <t>The author(s) disclosed receipt of the following financial support for the research, authorship, and/or publication of this article: This publication was made possible (in part) by a grant from Carnegie Corporation of New York. The statements made and views expressed are solely the responsibility of the authors.</t>
  </si>
  <si>
    <t>10.1177/2053168019848930</t>
  </si>
  <si>
    <t>HZ5VQ</t>
  </si>
  <si>
    <t>WOS:000468921200001</t>
  </si>
  <si>
    <t>Blumenau, J</t>
  </si>
  <si>
    <t>Blumenau, Jack</t>
  </si>
  <si>
    <t>The Effects of Female Leadership on Women's Voice in Political Debate</t>
  </si>
  <si>
    <t>legislative politics; gender; women; text-as-data; debate</t>
  </si>
  <si>
    <t>EDUCATIONAL-ATTAINMENT; GENDER INEQUALITY; POLICY EXPERIMENT; BLACK-BOX; REPRESENTATION; APPOINTMENT; PARLIAMENT; UNPACKING; INTERESTS; EXPOSURE</t>
  </si>
  <si>
    <t>Do female leaders amplify the voices of other women in politics? The author addresses this question by examining parliamentary debates in the UK House of Commons. In the context of a difference-in-differences design that exploits over-time variation in the gender of cabinet ministers, the article demonstrates that female ministers substantially increase the participation of other female MPs in relevant debates, compared to when the minister is male. It also uses a measure of debate influence, based on the degree to which words used by one legislator are adopted by other members, to show that female ministers also increase the influence of female backbenchers. To explore the mechanisms behind these results, the author introduces a new metric of ministerial responsiveness and shows that female ministers are significantly more responsive than their male counterparts to the speeches of female backbenchers.</t>
  </si>
  <si>
    <t>[Blumenau, Jack] UCL, Dept Polit Sci, London, England</t>
  </si>
  <si>
    <t>Blumenau, J (corresponding author), UCL, Dept Polit Sci, London, England.</t>
  </si>
  <si>
    <t>j.blumenau@ucl.ac.uk</t>
  </si>
  <si>
    <t>Blumenau, Jack/0000-0002-0536-1564</t>
  </si>
  <si>
    <t>Economic and Social Research Council [ES/N016297/1]; ESRC [ES/N016297/2, ES/N016297/1] Funding Source: UKRI</t>
  </si>
  <si>
    <t>Economic and Social Research Council(UK Research &amp; Innovation (UKRI)Economic &amp; Social Research Council (ESRC)); ESRC(UK Research &amp; Innovation (UKRI)Economic &amp; Social Research Council (ESRC))</t>
  </si>
  <si>
    <t>I thank Laura Bronner, Alexandra Cirone, Andy Eggers, Guy Grossman, Simon Hix, Sara Hobolt, Benjamin Lauderdale, Nicola Mastrorocco, Oyvind Skorge and Dawn Langan Teele for helpful conversations. I also thank seminar participants at the European Bank for Reconstruction and Development, the University of Pennsylvania, the London School of Economics, EPSA and MPSA. This work was supported by the Economic and Social Research Council (grant number: ES/N016297/1).</t>
  </si>
  <si>
    <t>PII S0007123419000334</t>
  </si>
  <si>
    <t>10.1017/S0007123419000334</t>
  </si>
  <si>
    <t>QW7JR</t>
  </si>
  <si>
    <t>WOS:000628826400015</t>
  </si>
  <si>
    <t>Engelhardt, AM</t>
  </si>
  <si>
    <t>Engelhardt, Andrew M.</t>
  </si>
  <si>
    <t>The content of their coverage: contrasting racially conservative and liberal elite rhetoric</t>
  </si>
  <si>
    <t>Mass media; multi-method; public opinion; political psychology; discourse; race; racism</t>
  </si>
  <si>
    <t>NEWS; RACE</t>
  </si>
  <si>
    <t>Theoretical and empirical evidence suggest that how elites talk about race may shape mass racial attitudes. But current work limits understanding this possibility by not systematically characterizing elite rhetoric on race. To shed light on the nature of racially liberal and conservative elite rhetoric, and therefore the potential for elites to shape mass racial attitudes, I analyze transcripts from two partisan news shows: The Rachel Maddow Show and The O'Reilly Factor. Pairing a case study with text-as-data methods, I provide insight into themes constituting racially liberal and conservative elite discourse. Racial liberals like Maddow emphasize that race matters-racial bias and discrimination still shape nonwhites' life chances. In contrast, racial conservatives like O'Reilly contend that race does not shape life chances and serves only as an attention-seeking device. Identifying these divides helps shed light on the origins and dynamics of mass racial attitudes.</t>
  </si>
  <si>
    <t>[Engelhardt, Andrew M.] Brown Univ, Dept Polit Sci, Box 1844,111 Thayer St,Third Floor, Providence, RI 02912 USA</t>
  </si>
  <si>
    <t>Brown University</t>
  </si>
  <si>
    <t>Engelhardt, AM (corresponding author), Brown Univ, Dept Polit Sci, Box 1844,111 Thayer St,Third Floor, Providence, RI 02912 USA.</t>
  </si>
  <si>
    <t>andrew_engelhardt@brown.edu</t>
  </si>
  <si>
    <t>Engelhardt, Andrew/AAB-9175-2020</t>
  </si>
  <si>
    <t>Engelhardt, Andrew/0000-0003-2516-3394</t>
  </si>
  <si>
    <t>10.1080/21565503.2019.1674672</t>
  </si>
  <si>
    <t>WG4IG</t>
  </si>
  <si>
    <t>WOS:000491633200001</t>
  </si>
  <si>
    <t>Grimmer, J; Roberts, ME; Stewart, BM</t>
  </si>
  <si>
    <t>Levi, M; Rosenblum, NL</t>
  </si>
  <si>
    <t>Grimmer, Justin; Roberts, Margaret E.; Stewart, Brandon M.</t>
  </si>
  <si>
    <t>Machine Learning for Social Science: An Agnostic Approach</t>
  </si>
  <si>
    <t>ANNUAL REVIEW OF POLITICAL SCIENCE, VOL 24, 2021</t>
  </si>
  <si>
    <t>machine learning; text as data; research design</t>
  </si>
  <si>
    <t>PUBLIC-OPINION; MODEL; TEXT</t>
  </si>
  <si>
    <t>Social scientists are now in an era of data abundance, and machine learning tools are increasingly used to extract meaning from data sets both massive and small. We explain how the inclusion of machine learning in the social sciences requires us to rethink not only applications of machine learning methods but also best practices in the social sciences. In contrast to the traditional tasks for machine learning in computer science and statistics, when machine learning is applied to social scientific data, it is used to discover new concepts, measure the prevalence of those concepts, assess causal effects, and make predictions. The abundance of data and resources facilitates the move away from a deductive social science to a more sequential, interactive, and ultimately inductive approach to inference. We explain how an agnostic approach to machine learning methods focused on the social science tasks facilitates progress across a wide range of questions.</t>
  </si>
  <si>
    <t>[Grimmer, Justin] Stanford Univ, Dept Polit Sci, Stanford, CA 94305 USA; [Grimmer, Justin] Stanford Univ, Hoover Inst, Stanford, CA 94305 USA; [Roberts, Margaret E.] Univ Calif San Diego, Dept Polit Sci, La Jolla, CA 92093 USA; [Roberts, Margaret E.] Univ Calif San Diego, Halicioglu Data Sci Inst, La Jolla, CA 92093 USA; [Stewart, Brandon M.] Princeton Univ, Dept Sociol, Princeton, NJ 08540 USA; [Stewart, Brandon M.] Princeton Univ, Off Populat Res, Princeton, NJ 08540 USA</t>
  </si>
  <si>
    <t>Stanford University; Stanford University; University of California System; University of California San Diego; University of California System; University of California San Diego; Princeton University; Princeton University</t>
  </si>
  <si>
    <t>Grimmer, J (corresponding author), Stanford Univ, Dept Polit Sci, Stanford, CA 94305 USA.;Grimmer, J (corresponding author), Stanford Univ, Hoover Inst, Stanford, CA 94305 USA.</t>
  </si>
  <si>
    <t>Eunice Kennedy Shriver National Institute of Child Health and Human Development of the National Institutes of Health [P2CHD047879]</t>
  </si>
  <si>
    <t>Eunice Kennedy Shriver National Institute of Child Health and Human Development of the National Institutes of Health(United States Department of Health &amp; Human ServicesNational Institutes of Health (NIH) - USANIH Eunice Kennedy Shriver National Institute of Child Health &amp; Human Development (NICHD))</t>
  </si>
  <si>
    <t>We thank Chad Hazlett and David Stasavage for comments on an earlier draft and Naoki Egami and Christian Fong for collaboration on related work. Research reported in this publication was supported by the Eunice Kennedy Shriver National Institute of Child Health and Human Development of the National Institutes of Health under award number P2CHD047879.</t>
  </si>
  <si>
    <t>10.1146/annurev-polisci-053119-015921</t>
  </si>
  <si>
    <t>BR4RE</t>
  </si>
  <si>
    <t>WOS:000652490700019</t>
  </si>
  <si>
    <t>Fu, S; Savel, M</t>
  </si>
  <si>
    <t>Fu, Shu; Savel, Meg</t>
  </si>
  <si>
    <t>Policy without Partisanship: The Direct Appeals of First Ladies</t>
  </si>
  <si>
    <t>first ladies; presidents; public appeals; political communications; text-as-data methods</t>
  </si>
  <si>
    <t>GENDER STEREOTYPES; PRESIDENCY; WOMEN; PERCEPTION; CANDIDATES; POLITICS; HILLARY; IMPACT; MEN</t>
  </si>
  <si>
    <t>Presidents make public appeals on behalf of their policy priorities, but they are not the only members of presidential administrations who address the public. First ladies are highly visible presidential surrogates. We argue that first ladies make direct appeals to selectively advance presidents' policy initiatives, and do so without being overly partisan. To support these claims, we present evidence from the public remarks of the last three first ladies whose husbands have completed their terms: Hillary Clinton, Laura Bush, and Michelle Obama. We use topic models to show that the remarks of first ladies are primarily concerned with policy, rather than ceremonial topics. We measure the partisanship of public remarks using a dictionary-based approach with Bayesian shrinkage and regularization to illustrate how the remarks of first ladies are not overly partisan. Our findings on the strategic communication of first ladies advance our understanding of the first ladyship and of the presidency.</t>
  </si>
  <si>
    <t>[Fu, Shu] Univ Chicago, Polit Sci, Chicago, IL 60637 USA; [Savel, Meg] Enterprise Resource Performance Inc, Fairfax, VA USA</t>
  </si>
  <si>
    <t>Fu, S (corresponding author), Univ Chicago, Polit Sci, Chicago, IL 60637 USA.</t>
  </si>
  <si>
    <t>fushu@uchicago.edu</t>
  </si>
  <si>
    <t>10.1111/psq.12678</t>
  </si>
  <si>
    <t>PA6HY</t>
  </si>
  <si>
    <t>WOS:000567805700001</t>
  </si>
  <si>
    <t>Bowler, S; Mcelroy, G; Muller, S</t>
  </si>
  <si>
    <t>Bowler, Shaun; Mcelroy, Gail; Mueller, Stefan</t>
  </si>
  <si>
    <t>Voter expectations of government formation in coalition systems: The importance of the information context</t>
  </si>
  <si>
    <t>electoral expectations; coalitions; coalition signals; strategic voting</t>
  </si>
  <si>
    <t>PRE-ELECTORAL COALITIONS; VOTING EVIDENCE; PARTIES; PREFERENCES; IMPACT</t>
  </si>
  <si>
    <t>Can voters in multi-party systems predict which coalition will form the government with any degree of accuracy? To date, studies which explore voter expectations of coalition formation have emphasized individual level attributes, such as education, but the complexity of the environment at the time the coalitions are forming should also be consequential in enabling (or handicapping) voters in forming expectations. We examine the relative effects of individual level attributes (e.g., education, cognitive mobilization) versus contextual factors (e.g., information availability) in 19 German state elections and 3 German general elections between 2009 and 2017. We find that the ease of identifiability of alternative future governments varies significantly across multi-party systems. We find that respondents are more likely to predict governments that they would like to see in office, that have a higher probability of receiving a majority of seats, and that consist of ideologically proximate parties. Combining survey data with a novel indicator of coalition signals, measured through a quantitative text analysis of newspaper coverage, we also find that voters consider positive pre-election coalition signals when predicting the government. Finally, we find that the information environment is much more relevant for correct coalition predictions than individual-level characteristics of respondents. Although individual attributes do influence predictive ability, these factors are strongly dominated by the context in which the prediction is taking place. The information environment has by far the largest effect on predicting coalition outcomes. Our results have implications for the literature on strategic voting in multi-party settings, as well as the literature on accountability.</t>
  </si>
  <si>
    <t>[Bowler, Shaun] Univ Calif Riverside, Dept Polit Sci, 900 Univ Ave, Riverside, CA 92521 USA; [Mcelroy, Gail] Trinity Coll Dublin, Dept Polit Sci, Dublin, Ireland; [Mueller, Stefan] Univ Coll Dublin, Sch Polit &amp; Int Relat, Dublin, Ireland</t>
  </si>
  <si>
    <t>University of California System; University of California Riverside; Trinity College Dublin; University College Dublin</t>
  </si>
  <si>
    <t>Bowler, S (corresponding author), Univ Calif Riverside, Dept Polit Sci, 900 Univ Ave, Riverside, CA 92521 USA.</t>
  </si>
  <si>
    <t>shaun.bowler@ucr.edu</t>
  </si>
  <si>
    <t>Muller, Stefan/0000-0002-6315-4125; McElroy, Gail/0000-0002-3154-7282; Bowler, Shaun/0000-0002-0739-6090</t>
  </si>
  <si>
    <t>GESIS research grant [EL-2018-166]</t>
  </si>
  <si>
    <t>GESIS research grant</t>
  </si>
  <si>
    <t>The authors are grateful to participants at the 2018 Annual General Conference of the European Political Science Association in Vienna, and the EUROLAB seminar in Cologne, and the reviewers for helpful comments. Stefan Muller would like to thank GESIS - Leibniz Institute for the Social Sciences for their hospitality during work on this paper. The research stay in Cologne was financially supported by GESIS research grant EL-2018-166. The data and R scripts required to verify the reproducibility of the results in this article are available on Harvard Dataverse at .</t>
  </si>
  <si>
    <t>10.1111/1475-6765.12441</t>
  </si>
  <si>
    <t>YE3XJ</t>
  </si>
  <si>
    <t>WOS:000633026500001</t>
  </si>
  <si>
    <t>Morimoto, Y; Maundu, P</t>
  </si>
  <si>
    <t>Morimoto, Yasuyuki; Maundu, Patrick</t>
  </si>
  <si>
    <t>Three Decades of Safeguarding and Promoting Use of Agricultural Biodiversity: Changing Global Perspectives, Paradigm Shifts and Implications</t>
  </si>
  <si>
    <t>JARQ-JAPAN AGRICULTURAL RESEARCH QUARTERLY</t>
  </si>
  <si>
    <t>conservation; Japan's assistance; plant genetic resources</t>
  </si>
  <si>
    <t>In this study, we explore the global shifts in research priorities and strategies with respect to Plant Genetic Resources (PGR) over a period of nearly 3 decades and also look at changes in donor strategies over the same period, with specific reference to Japanese support to PGR work. We conducted a quantitative text analysis based on reports published by Bioversity International, a leader in PGR issues, and looked at changes in the frequency of appearance of certain terms and words over a 22-year period (1998-2020), divided into six phases. Results show that over the period, Bioversity International's focus transitioned from an emphasis on collection of genetic resources and conservation in genebanks to conservation through sustainable use across generations. This evolved further to food -centered approaches. More recently. the emphasis is shifting to food system approaches with emphasis on the linkages between agriculture, environment and nutrition. The priority issues of the organization at the different phases are presented. Over the same period, Japanese government investment strategies have shifted from supporting PGR collection work to building capacity of researchers (in both source countries and Japan) and creating more benefits from PGR including nutrition, health and economic benefits to local societies who are the keepers of the PGR. The involvement of Japanese researchers, including the main author, in the various research activities characteristic of the different phases of the transition is presented. In the current global shift towards food systems approaches where the linkage of agriculture, nutrition, and the environment is emphasized, and the involvement of the private sector encouraged, partnerships with resource rich counters will be considered important in PGR activities in the future.</t>
  </si>
  <si>
    <t>[Morimoto, Yasuyuki; Maundu, Patrick] Africa Hub Off, Alliance Biovers Int, Nairobi, Kenya; [Morimoto, Yasuyuki; Maundu, Patrick] Africa Hub Off, CIAT, Nairobi, Kenya; [Maundu, Patrick] Natl Museums Kenya, Nairobi, Kenya</t>
  </si>
  <si>
    <t>Alliance; International Center for Tropical Agriculture - CIAT</t>
  </si>
  <si>
    <t>Morimoto, Y (corresponding author), Africa Hub Off, Alliance Biovers Int, Nairobi, Kenya.;Morimoto, Y (corresponding author), Africa Hub Off, CIAT, Nairobi, Kenya.</t>
  </si>
  <si>
    <t>y.morimoto@cgiar.org</t>
  </si>
  <si>
    <t>JAPAN INT RESEARCH CENTER AGRICULTURAL SCIENCES</t>
  </si>
  <si>
    <t>IBARAKI</t>
  </si>
  <si>
    <t>TSUKUBA, IBARAKI, 305-8686, JAPAN</t>
  </si>
  <si>
    <t>0021-3551</t>
  </si>
  <si>
    <t>JARQ-JPN AGR RES Q</t>
  </si>
  <si>
    <t>Jarq - Jpn. Agric. Res. Q.</t>
  </si>
  <si>
    <t>Agriculture, Multidisciplinary</t>
  </si>
  <si>
    <t>Agriculture</t>
  </si>
  <si>
    <t>YP9FM</t>
  </si>
  <si>
    <t>WOS:000748924500004</t>
  </si>
  <si>
    <t>Brown, RC; Bendig, E; Fischer, T; Goldwich, AD; Baumeister, H; Plener, PL</t>
  </si>
  <si>
    <t>Brown, Rebecca C.; Bendig, Eileen; Fischer, Tin; Goldwich, A. David; Baumeister, Harald; Plener, Paul L.</t>
  </si>
  <si>
    <t>Can acute suicidality be predicted by Instagram data? Results from qualitative and quantitative language analyses</t>
  </si>
  <si>
    <t>SOCIAL MEDIA; BEHAVIORS; THOUGHTS; WORDS</t>
  </si>
  <si>
    <t>Background Social media has become increasingly important for communication among young people. It is also often used to communicate suicidal ideation. Aims To investigate the link between acute suicidality and language use as well as activity on Instagram. Method A total of 52 participants, aged on average around 16 years, who had posted pictures of non-suicidal self-injury on Instagram, and reported a lifetime history of suicidal ideation, were interviewed using Instagram messenger. Of those participants, 45.5% reported suicidal ideation on the day of the interview (acute suicidal ideation). Qualitative text analysis (software ATLAS.ti 7) was used to investigate experiences with expressions of active suicidal thoughts on Instagram. Quantitative text analysis of language use in the interviews and directly on Instagram (in picture captions) was performed using the Linguistic Inquiry and Word Count software. Language markers in the interviews and in picture captions, as well as activity on Instagram were added to regression analyses, in order to investigate predictors for current suicidal ideation. Results Most participants (80%) had come across expressions of active suicidal thoughts on Instagram and 25% had expressed active suicidal thoughts themselves. Participants with acute suicidal ideation used significantly more negative emotion words (Cohen's d = 0.66, 95% CI: 0.088-1.232) and words expressing overall affect (Cohen's d = 0.57, 95% CI: 0.001-1.138) in interviews. However, activity and language use on Instagram did not predict acute suicidality. Conclusions While participants differed with regard to their use of language in interviews, differences in activity and language use on Instagram were not associated with acute suicidality. Other mechanisms of machine learning, like identifying picture content, might be more valuable.</t>
  </si>
  <si>
    <t>[Brown, Rebecca C.; Plener, Paul L.] Univ Ulm, Dept Child &amp; Adolescent Psychiat &amp; Psychotherapy, Ulm, Germany; [Bendig, Eileen; Baumeister, Harald] Univ Ulm, Dept Clin Psychol &amp; Psychotherapy, Ulm, Germany; [Plener, Paul L.] Med Univ Vienna, Dept Child &amp; Adolescent Psychiat, Vienna, Austria</t>
  </si>
  <si>
    <t>Ulm University; Ulm University; Medical University of Vienna</t>
  </si>
  <si>
    <t>Brown, RC (corresponding author), Univ Ulm, Dept Child &amp; Adolescent Psychiat &amp; Psychotherapy, Ulm, Germany.</t>
  </si>
  <si>
    <t>rebecca.brown@uniklinik-ulm.de</t>
  </si>
  <si>
    <t>Plener, Paul/0000-0003-4333-1494; Baumeister, Harald/0000-0002-2040-661X</t>
  </si>
  <si>
    <t>Volkswagen Foundation; German Federal Ministry of Research and Education (BMBF); German Federal Agency for Drugs and Medical Products (BfArM); Baden-Wuerttemberg Foundation; Lundbeck; Servier; VW Foundation</t>
  </si>
  <si>
    <t>Volkswagen Foundation(Volkswagen); German Federal Ministry of Research and Education (BMBF)(Federal Ministry of Education &amp; Research (BMBF)); German Federal Agency for Drugs and Medical Products (BfArM); Baden-Wuerttemberg Foundation; Lundbeck(Lundbeck Corporation); Servier(Servier); VW Foundation(Volkswagen)</t>
  </si>
  <si>
    <t>PLP received a research grant from the Volkswagen Foundation which supported this work. PLP has received research funding from the German Federal Ministry of Research and Education (BMBF), the German Federal Agency for Drugs and Medical Products (BfArM), the Baden-Wuerttemberg Foundation, Lundbeck, Servier and the Volkswagen Foundation. RCB has received funding from the Baden-Wuerttemberg Foundation. HB and EB as well as TF and ADG have no conflicts of interest to report. This does not alter our adherence to PLOS ONE policies on sharing data and materials.; This study was supported by a research grant from the VW Foundation. We would like to thank Yannik Terhorst (University of Ulm) for statistical advice and Shpresa Lakna (University of Ulm) and Ursula Korner (University of Ulm) for rating the interviews.</t>
  </si>
  <si>
    <t>SEP 10</t>
  </si>
  <si>
    <t>e0220623</t>
  </si>
  <si>
    <t>10.1371/journal.pone.0220623</t>
  </si>
  <si>
    <t>LM3TE</t>
  </si>
  <si>
    <t>WOS:000532172700004</t>
  </si>
  <si>
    <t>Cao, FG; Li, RY; Cao, XY</t>
  </si>
  <si>
    <t>Cao, Fuguo; Li, Runyu; Cao, Xiaoyan</t>
  </si>
  <si>
    <t>Implementation of sustainable public procurement in China: An assessment using quantitative text analysis in large-scale tender documents</t>
  </si>
  <si>
    <t>FRONTIERS IN ENVIRONMENTAL SCIENCE</t>
  </si>
  <si>
    <t>sustainable public procurement; text mining; web crawler technique; implementation patterns; China</t>
  </si>
  <si>
    <t>SUPPLY CHAIN MANAGEMENT; CONCEPTUAL-FRAMEWORK; BARRIERS; SECTOR; ORGANIZATIONS; CONSTRUCTION; PERFORMANCE; CRITERIA; OPTION</t>
  </si>
  <si>
    <t>In recent years, increasing attention has been paid worldwide to the sustainable development of the economy and society. Because of its size and prevalence, public procurement has always been a powerful policy tool used to tackle issues related to the sustainability of society, economy, and environment. China has attached high priority to sustainable development, and many aspects of sustainable public procurement (SPP) have been implemented though no official documents have referred to the concept of SPP. Therefore, little is known about the actual implementation and patterns of SPP in practice. The purpose of the study is to assess the actual implementation and patterns of SPP in China. We obtained 42,369 public procurement documents for 2015-2020 using the web crawler technique and the actual implementation of SPP was assessed through the text-mining technique. The research shows that SPP is implemented in more than 82% of the documents and appears in an upward trend in the past 6 years. Several patterns of SPP implementation are also identified. First, most documents implement more than one category of SPP. Second, small and medium-sized enterprise-oriented procurement is the most implemented SPP main category, overtaking environmentally friendly procurement only by a small margin, and the procurement for the circular economy is the least implemented. Third, there seem to be some relationships between the level of SPP implementation and the award method, tender price, and contract type. Finally, there is a substantial transformation of China's SPP toward social aspects of SPP in recent years. Policy implications, limitations, and issues for future studies are also discussed.</t>
  </si>
  <si>
    <t>[Cao, Fuguo; Cao, Xiaoyan] Cent Univ Finance &amp; Econ, Sch Law, Beijing, Peoples R China; [Cao, Fuguo; Li, Runyu; Cao, Xiaoyan] Cent Univ Finance &amp; Econ, Chinese Acad PPP Governance, Beijing, Peoples R China; [Li, Runyu] Cent Univ Finance &amp; Econ, Sch Publ Finance &amp; Taxat, Beijing, Peoples R China</t>
  </si>
  <si>
    <t>Central University of Finance &amp; Economics; Central University of Finance &amp; Economics; Central University of Finance &amp; Economics</t>
  </si>
  <si>
    <t>Cao, XY (corresponding author), Cent Univ Finance &amp; Econ, Sch Law, Beijing, Peoples R China.;Cao, XY (corresponding author), Cent Univ Finance &amp; Econ, Chinese Acad PPP Governance, Beijing, Peoples R China.</t>
  </si>
  <si>
    <t>caoxiaoyan@cufe.edu.cn</t>
  </si>
  <si>
    <t>National Social Science Foundation of China;  [15ZDB174]</t>
  </si>
  <si>
    <t xml:space="preserve">National Social Science Foundation of China; </t>
  </si>
  <si>
    <t>Funding This study was supported by the National Social Science Foundation of China (Grant No. 15ZDB174).</t>
  </si>
  <si>
    <t>2296-665X</t>
  </si>
  <si>
    <t>FRONT ENV SCI-SWITZ</t>
  </si>
  <si>
    <t>Front. Environ. Sci.</t>
  </si>
  <si>
    <t>SEP 20</t>
  </si>
  <si>
    <t>10.3389/fenvs.2022.947962</t>
  </si>
  <si>
    <t>5B9NW</t>
  </si>
  <si>
    <t>WOS:000863895100001</t>
  </si>
  <si>
    <t>Chiba, H; Ogata, T; Ito, M; Kaneko, S</t>
  </si>
  <si>
    <t>Chiba, Hiroki; Ogata, Tomoaki; Ito, Michiya; Kaneko, Sayuri</t>
  </si>
  <si>
    <t>Identification of Topics Explained by Home Doctors to Family Caregivers with Cancer Patients Died at Home: A Quantitative Text Analysis of Actual Speech in All Visits</t>
  </si>
  <si>
    <t>TOHOKU JOURNAL OF EXPERIMENTAL MEDICINE</t>
  </si>
  <si>
    <t>explained topics by doctors; family caregivers; home medical care; occurrence frequency of topics; place of death</t>
  </si>
  <si>
    <t>OF-LIFE; DEATH; CARE; HOSPICE; PEOPLE; TAIWAN; PLACE; JAPAN; TIME; END</t>
  </si>
  <si>
    <t>An important consideration in the quality of end-of-life care is whether the patient's place of death matches his or her hopes. We aimed to identify topics related to patients' home death by comparing the occurrence frequency of topics explained by doctors for family caregivers between the home death cases and the hospital death cases. The method of integrating qualitative and quantitative data was adopted in this study. Primary participants were 24 home doctors who specialized home medical care. Enrolled 18 patients received periodical medical care by cooperated doctors, understood their own health situation, and lived with family caregivers. Doctors recorded all their speech during every visit with voice-recorder until the patient died at home or was re-hospitalized. Doctors' speech was transcribed and converted to the number of occurrences based on number of visits. The occurrence frequency was compared with a chi 2 test (Yates' correction). Speaking records of 227 visits to 18 patients by doctors were collected. Finally, 16 patients died at home and two died at hospital. We measured the occurrence frequency of topics during maximum 26 visits on 16 home death cases and maximum 13 visits on two hospital death cases. The topics of patients' death, helping daily burden using public insurance, and financial application were more frequently appeared with home death cases than hospital death cases. In conclusion, doctors should explain to family caregivers the topics of patients' death process and specific measures or procedures for reduction in care burden.</t>
  </si>
  <si>
    <t>[Chiba, Hiroki] Kitasato Univ, Dept Med Educ, Sch Med, Sagamihara, Kanagawa, Japan; [Ogata, Tomoaki; Ito, Michiya] Tohoku Med &amp; Pharmaceut Univ, Dept Med Policy &amp; Adm, Sendai, Miyagi, Japan; [Ito, Michiya] Tohoku Univ, Grad Sch Med, Sendai, Miyagi, Japan; [Kaneko, Sayuri] Nagano Coll Nursing, Komagane, Nagano, Japan</t>
  </si>
  <si>
    <t>Kitasato University; Tohoku Medical &amp; Pharmaceutical University; Tohoku University</t>
  </si>
  <si>
    <t>Chiba, H (corresponding author), Kitasato Univ, Dept Med Educ, Sch Med, Minami Ku, 1-15-1 Kitasato, Sagamihara, Kanagawa 2520374, Japan.</t>
  </si>
  <si>
    <t>chibah@med.kitasato-u.ac.jp</t>
  </si>
  <si>
    <t>Pfizer Health Research Foundation; France Bed Medical Care Research Subsidy Public Interest Incorporated Foundations; Yuumi Memorial Foundation for Home Health Care</t>
  </si>
  <si>
    <t>We thank the three grantors who supported this study-the Pfizer Health Research Foundation, France Bed Medical Care Research Subsidy Public Interest Incorporated Foundations, and The Yuumi Memorial Foundation for Home Health Care.</t>
  </si>
  <si>
    <t>TOHOKU UNIV MEDICAL PRESS</t>
  </si>
  <si>
    <t>SENDAI</t>
  </si>
  <si>
    <t>2-1, SEIRYO-MACHI, AOBA-KU, SENDAI, MIYAGI 980-8575, JAPAN</t>
  </si>
  <si>
    <t>0040-8727</t>
  </si>
  <si>
    <t>1349-3329</t>
  </si>
  <si>
    <t>TOHOKU J EXP MED</t>
  </si>
  <si>
    <t>Tohoku J. Exp. Med.</t>
  </si>
  <si>
    <t>10.1620/tjem.245.251</t>
  </si>
  <si>
    <t>GT5ED</t>
  </si>
  <si>
    <t>WOS:000444527800005</t>
  </si>
  <si>
    <t>Cepickova, IB; Janovec, J</t>
  </si>
  <si>
    <t>Cepickova, Ivana Brtnova; Janovec, Jan</t>
  </si>
  <si>
    <t>AUTHORITY THROUGH THE EYES OF TEACHER TRAINEES</t>
  </si>
  <si>
    <t>12TH INTERNATIONAL CONFERENCE OF EDUCATION, RESEARCH AND INNOVATION (ICERI2019)</t>
  </si>
  <si>
    <t>ICERI Proceedings</t>
  </si>
  <si>
    <t>12th Annual International Conference of Education, Research and Innovation (ICERI)</t>
  </si>
  <si>
    <t>Seville, SPAIN</t>
  </si>
  <si>
    <t>authority; teacher trainees; primary school; authority crisis</t>
  </si>
  <si>
    <t>The paper summarizes the results of a longitudinal research focused on the issue of teacher authority as perceived by the primary school teacher trainees. The aim of the research was to find out what shift is there in the perception of authority in prospective primary school teachers over the past 10 years. Thus, the research responds to the allegations of an authority crisis, the difficulty of building informal authority towards today's pupils, the inability to find compromises between education actors (pupils, teachers, school, parents). The survey provides insight into the extent to which teachers are aware of the importance of authority, whether formal or informal, and whether they respond to changes in the importance of some factors influencing building and maintenance of teacher authority. The text also describes the research of the primary school teacher trainees' opinions on the authority of the teacher. They were invited to express themselves on the subject of teacher authority in writing. The first part of the research was carried out ten years ago, the second this year with the aim of finding fundamental trends in the development of views on teacher authority within that period. Written statements of about one page were rewritten in electronic form and subjected to quantitative text analysis in the first phase of the analysis. Using descriptive statistical methods, the frequency of occurrence of terms related to teacher authority was evaluated. In the second phase of the procedure, statistical data were subjected to qualitative analysis using statistical data. The basic concepts were determined and codes were determined using open coding and unified structures were found in the form of grounded theories on the perception of the teacher's authority by the primary school teacher trainees.</t>
  </si>
  <si>
    <t>[Cepickova, Ivana Brtnova; Janovec, Jan] Jan Evangelista Purkyne Univ Usti Nad Labem, Usti Nad Labem, Czech Republic</t>
  </si>
  <si>
    <t>University of Jan Evangelista Purkyne</t>
  </si>
  <si>
    <t>Cepickova, IB (corresponding author), Jan Evangelista Purkyne Univ Usti Nad Labem, Usti Nad Labem, Czech Republic.</t>
  </si>
  <si>
    <t>Grant Agency of the J. E. Purkyne University in Usti nad Labem</t>
  </si>
  <si>
    <t>This paper was supported by the Grant Agency of the J. E. Purkyne University in Usti nad Labem.</t>
  </si>
  <si>
    <t>2340-1095</t>
  </si>
  <si>
    <t>978-84-09-14755-7</t>
  </si>
  <si>
    <t>ICERI PROC</t>
  </si>
  <si>
    <t>BO8YP</t>
  </si>
  <si>
    <t>WOS:000530212402050</t>
  </si>
  <si>
    <t>Biesbroek, R; Wright, SJ; Eguren, SK; Bonotto, A; Athanasiadis, IN</t>
  </si>
  <si>
    <t>Biesbroek, Robbert; Wright, Sarah Judith; Eguren, Stefanie Korswagen; Bonotto, Anita; Athanasiadis, Ioannis N.</t>
  </si>
  <si>
    <t>Policy attention to climate change impacts, adaptation and vulnerability: a global assessment of National Communications (1994-2019)</t>
  </si>
  <si>
    <t>CLIMATE POLICY</t>
  </si>
  <si>
    <t>Climate change policy; policy attention; National Communication; policy analysis; quantitative text analysis; Natural Language Processing</t>
  </si>
  <si>
    <t>TRACKING; GOVERNANCE; COUNTRIES; ISSUE</t>
  </si>
  <si>
    <t>Over the past 30 years countries across the globe have developed and implemented policies and measures on climate change impacts, adaptation, and vulnerability (IAV). This paper empirically explores whether and how policy attention around climate change IAV has shifted over time and across regions. We use structural topic modelling to analyse the main themes and regional differences reported by 196 countries in their UNFCCC National Communications over the period 1994-2019. Based on 612 documents, we find impact topics dominate policy attention (&gt;50% of the topics), but this has decreased in recent periods. Attention to the topic on governance, adaptation, and vulnerability have increased over time and across all regions. We observe a more homogeneous spread of topics in recent time periods, and large differences across topic proportions across 6 regions. Results further suggest that the different IAV topic distributions between Annex I and non-Annex I countries continue to persist. Our findings and approach can help to gain a clearer picture of how policy attention to IAV is evolving globally. Key policy insights: Policy attention in National Communications to adaptation has slowly increased but remained stable since 2013. Asia and Africa have paid more attention to adaptation compared to Europe and North America where focus on impacts dominates. Compared to earlier time periods, the topic distribution of impacts, adaptation and vulnerability in 2017-2019 is most different across regions. Large regional differences in attention to IAV suggest the need to tailor the global stocktaking under the Paris Agreement to better understand progress countries and regions make.</t>
  </si>
  <si>
    <t>[Biesbroek, Robbert; Wright, Sarah Judith; Eguren, Stefanie Korswagen; Bonotto, Anita] Wageningen Univ &amp; Res, Publ Adm &amp; Policy Grp, Wageningen, Netherlands; [Athanasiadis, Ioannis N.] Wageningen Univ &amp; Res, Geoinformat Sci &amp; Remote Sensing Lab, Wageningen, Netherlands</t>
  </si>
  <si>
    <t>Wageningen University &amp; Research; Wageningen University &amp; Research</t>
  </si>
  <si>
    <t>Robbert.Biesbroek@wur.nl</t>
  </si>
  <si>
    <t>Athanasiadis, Ioannis N/F-6301-2010; Biesbroek, Robbert/GZZ-4476-2022</t>
  </si>
  <si>
    <t>Athanasiadis, Ioannis N/0000-0003-2764-0078; Biesbroek, Robbert/0000-0002-2906-1419; Wright, Sarah/0000-0003-3341-216X; Korswagen Eguren, Stefanie Isabel/0000-0003-2306-9329</t>
  </si>
  <si>
    <t>Dutch Research Council (NWO-VENI) [451-117-006 4140]</t>
  </si>
  <si>
    <t>Dutch Research Council (NWO-VENI)</t>
  </si>
  <si>
    <t>Contributions by RB are financed by the Dutch Research Council (NWO-VENI grant no: 451-117-006 4140).</t>
  </si>
  <si>
    <t>1469-3062</t>
  </si>
  <si>
    <t>1752-7457</t>
  </si>
  <si>
    <t>CLIM POLICY</t>
  </si>
  <si>
    <t>Clim. Policy</t>
  </si>
  <si>
    <t>JAN 14</t>
  </si>
  <si>
    <t>10.1080/14693062.2021.2018986</t>
  </si>
  <si>
    <t>Environmental Studies; Public Administration</t>
  </si>
  <si>
    <t>Environmental Sciences &amp; Ecology; Public Administration</t>
  </si>
  <si>
    <t>YH7MA</t>
  </si>
  <si>
    <t>WOS:000738504600001</t>
  </si>
  <si>
    <t>Safadi, H; Johnson, SL; Faraj, S</t>
  </si>
  <si>
    <t>Safadi, Hani; Johnson, Steven L.; Faraj, Samer</t>
  </si>
  <si>
    <t>Who Contributes Knowledge? Core-Periphery Tension in Online Innovation Communities</t>
  </si>
  <si>
    <t>online communities; social networks; organizing for innovation in the digitized world; quantitative text analysis; archival research: extant data; digital innovation; knowledge sharing</t>
  </si>
  <si>
    <t>OPEN SOURCE SOFTWARE; TACIT KNOWLEDGE; ORGANIZATIONS; COLLABORATION; NETWORKS; DESIGN; MODEL; MARGINALITY; INFORMATION; PERSPECTIVE</t>
  </si>
  <si>
    <t>Where do valuable contributions originate from in online innovation communities? Prior research provides conflicting answers. One view, consistent with a community of practice perspective, is that valued knowledge contributions are primarily provided by central participants at the core of a community. In contrast, other research-including work adopting an open innovation perspective-predicts that valuable ideas primarily emerge from peripheral participants, those at the margins of a field of knowledge who provide novel ideas and viewpoints. We integrate these contrasting perspectives by considering two distinct forms of position: social embeddedness (a core social position within the social network of participants interacting within a community) and epistemic marginality (a peripheral epistemic position based on the network of topics discussed by a community). Analyzing contributions by 697,412 participants of 52 Stack Exchange online innovation communities, we find that both participants who are socially embedded and participants who are epistemically marginal provide knowledge contributions that are highly valued by fellow community participants. Importantly, among epistemically marginal participants, those with high social embeddedness are more likely to provide contributions valued by the community; by virtue of their epistemic marginality, these participants may offer novel ideas while by virtue of their social embeddedness they may be able to more effectively communicate their ideas to the community. Thus, the production of knowledge in an online innovation community involves a complex interaction between the novelty emanating from the epistemic periphery and the social embeddedness required to make ideas congruent with existing social and epistemic norms.</t>
  </si>
  <si>
    <t>[Safadi, Hani] Univ Georgia, Terry Coll Business, Athens, GA 30602 USA; [Johnson, Steven L.] Univ Virginia, McIntire Sch Commerce, Charlottesville, VA 22903 USA; [Faraj, Samer] McGill Univ, Desautels Fac Management, Montreal, PQ H3A 1G5, Canada</t>
  </si>
  <si>
    <t>University System of Georgia; University of Georgia; University of Virginia; McGill University</t>
  </si>
  <si>
    <t>Safadi, H (corresponding author), Univ Georgia, Terry Coll Business, Athens, GA 30602 USA.</t>
  </si>
  <si>
    <t>hanisaf@uga.edu; steven@virginia.edu; samer.faraj@mcgill.ca</t>
  </si>
  <si>
    <t>Faraj, Samer/B-7934-2008</t>
  </si>
  <si>
    <t>Faraj, Samer/0000-0002-6585-0351; Safadi, Hani/0000-0003-0609-8005; Johnson, Steven/0000-0001-5807-3315</t>
  </si>
  <si>
    <t>McIntire School of Commerce Foundation; Canada Research Chairs program; Terry-Sanford Summer Research Award</t>
  </si>
  <si>
    <t>McIntire School of Commerce Foundation; Canada Research Chairs program(Canada Research Chairs); Terry-Sanford Summer Research Award</t>
  </si>
  <si>
    <t>H. Safadi acknowledges support from the 2018 Terry-Sanford Summer Research Award. S. L. Johnson acknowledges support from the McIntire School of Commerce Foundation. S. Faraj acknowledges support from the Canada Research Chairs program.</t>
  </si>
  <si>
    <t>10.1287/orsc.2020.1364</t>
  </si>
  <si>
    <t>TZ3LU</t>
  </si>
  <si>
    <t>WOS:000684377600011</t>
  </si>
  <si>
    <t>Pradel, F</t>
  </si>
  <si>
    <t>Pradel, Franziska</t>
  </si>
  <si>
    <t>Biased Representation of Politicians in Google and Wikipedia Search? The Joint Effect of Party Identity, Gender Identity and Elections</t>
  </si>
  <si>
    <t>Search engines; gender bias; partisan bias; Google; Wikipedia</t>
  </si>
  <si>
    <t>STEREOTYPES; CANDIDATES; CAMPAIGN; INFORMATION; WOMEN; SENTIMENT; IMPACT; ISSUE; NEWS; VOTE</t>
  </si>
  <si>
    <t>Web search engines have become an important and trusted source when people seek political information. Even though previous research suggests that information about politicians in traditional and new media can provide content that makes stereotypes based on gender and party, little is known about the presence of such bias in search engines, which function as information gatekeepers in the digital age. Using quantitative text analysis and human coding techniques on a novel data set of members of the German parliament, this study examines whether search engine suggestions, i.e. search predictions, for politicians differ with respect to personal and role-oriented information based on the gender and party of the politician. It also explores whether the search engine representation of politicians changes around elections. The study further compares gender and party differences in search engine results with corresponding Wikipedia articles of the same politicians, as users are most often redirected to Wikipedia from Google. The results suggest that politicians' representation in search engines and Wikipedia are structured by a joint effect of their gender and party identity. While Google suggestions provide less personal information about female politicians belonging to a right-wing party compared to their male counterparts, this relationship is not observable for left-wing parties. Moreover, there are changes in gender biases around the election. In Wikipedia articles, politicians belonging to right-wing parties are represented with more personal information compared to politicians belonging to left ones, an effect which is even stronger for females.</t>
  </si>
  <si>
    <t>[Pradel, Franziska] Univ Cologne, Cologne Ctr Comparat Polit, D-50923 Cologne, Germany</t>
  </si>
  <si>
    <t>University of Cologne</t>
  </si>
  <si>
    <t>Pradel, F (corresponding author), Univ Cologne, Cologne Ctr Comparat Polit, D-50923 Cologne, Germany.</t>
  </si>
  <si>
    <t>pradel@wiso.uni-koeln.de</t>
  </si>
  <si>
    <t>Pradel, Franziska/0000-0003-4559-0772</t>
  </si>
  <si>
    <t>Digital Society research program - Ministry of Culture and Science of the German State of North Rhine-Westphalia</t>
  </si>
  <si>
    <t>This research was supported by the Digital Society research program funded by the Ministry of Culture and Science of the German State of North Rhine-Westphalia. I would also like to thank Sven-Oliver Proksch, Bruno Castanho Silva, members of the Digital Society research program, participants of the CCCP Research Seminar and the Conference of the European Political Science Association 2019 for their very helpful comments on a previous version of the paper. I am also grateful for support and useful comments related to the data access and information retrieval by Philipp Schaer and Malte Bonart. I thank the two anonymous referees whose constructive comments helped to improve this manuscript, as well as Danielle Pullan for language editing.</t>
  </si>
  <si>
    <t>10.1080/10584609.2020.1793846</t>
  </si>
  <si>
    <t>WOS:000560470500001</t>
  </si>
  <si>
    <t>Cottafava, D; Ascione, GS; Corazza, L; Dhir, A</t>
  </si>
  <si>
    <t>Cottafava, Dario; Ascione, Grazia Sveva; Corazza, Laura; Dhir, Amandeep</t>
  </si>
  <si>
    <t>Sustainable development goals research in higher education institutions: An interdisciplinarity assessment through an entropy-based indicator</t>
  </si>
  <si>
    <t>Sustainable development goals; Interdisciplinarity; Social network analysis; Higher education institutions; Information system design theory</t>
  </si>
  <si>
    <t>COLLABORATION; BUSINESS; UNIVERSITIES; PERSPECTIVE; SCIENCE</t>
  </si>
  <si>
    <t>Since 2015, the United Nations has urged higher education institutions (HEIs) to adopt an interdisciplinary approach towards the Sustainable Development Goals (SDGs). In other words, universities are encouraged to transcend any single disciplinary perspective in exploring sustainable development issues. This study examines the importance of driving the scientific production of HEIs towards the SDGs as a concrete institutional contribution to sustainable development. While bibliometric tools for the SDGs are currently emerging, the existing models have not focused on interdisciplinarity or on their usefulness as decision-management tools to drive SDG-related research at a micro-scale (i.e. the institutional level). This study proposes a novel multi-step methodology. It develops an initial case study, which applies information system design theory (ISDT) to map and assess interdisciplinary research into each SDG at an Italian generalist university (University of Turin). Utilising a quantitative text analysis, we examined a database containing over 30,000 entries representing the university's SDG-related scientific production from 2015 to 2019. Subsequently, we conducted a social network analysis (SNA) of co-authorship to measure interdisciplinarity for each SDG. We defined interdisciplinarity as collaboration among researchers in diverse disciplines. We employed a modularity algorithm to select bottom-up clusters of researchers from diverse departments. Finally, we analysed the identified clusters to propose an Interdisciplinarity Sustainability Index (ISI) capable of identifying the most investigated and interdisciplinary SDGs. Ultimately, our results enable the quantification of interdisciplinary SDG research via the proposed methodology. The study helps to visualise inter-departmental collaborations and thus informs university managers' efforts to identify and coordinate compatible research groups to bridge inter-organisational boundaries.</t>
  </si>
  <si>
    <t>[Cottafava, Dario; Corazza, Laura] Univ Turin, Dept Management, Turin, Italy; [Ascione, Grazia Sveva] Univ Turin, Dept Econ &amp; Stat, Turin, Italy; [Dhir, Amandeep] Univ Agder, Sch Business &amp; Law, Dept Management, Kristiansand, Norway; [Dhir, Amandeep] Norwegian Sch Hotel Management, Fac Social Sci, Stavanger, Norway; [Dhir, Amandeep] North West Univ, Optentia Res Focus Area, Vanderbijlpark, South Africa</t>
  </si>
  <si>
    <t>University of Turin; University of Turin; University of Agder; Universitetet i Stavanger; North West University - South Africa</t>
  </si>
  <si>
    <t>Dhir, A (corresponding author), Univ Agder, Sch Business &amp; Law, Dept Management, Kristiansand, Norway.</t>
  </si>
  <si>
    <t>dario.cottafava@unito.it; amandeep.dhir@uia.no</t>
  </si>
  <si>
    <t>Ascione, Grazia Sveva/0000-0002-9719-5291; CORAZZA, LAURA/0000-0002-3859-1913</t>
  </si>
  <si>
    <t>10.1016/j.jbusres.2022.06.050</t>
  </si>
  <si>
    <t>3B7FH</t>
  </si>
  <si>
    <t>WOS:000828101700003</t>
  </si>
  <si>
    <t>van der Vegt, I; Mozes, M; Gill, P; Kleinberg, B</t>
  </si>
  <si>
    <t>van der Vegt, Isabelle; Mozes, Maximilian; Gill, Paul; Kleinberg, Bennett</t>
  </si>
  <si>
    <t>Online influence, offline violence: language use on YouTube surrounding the 'Unite the Right' rally</t>
  </si>
  <si>
    <t>Alt-right; Charlottesville rally; Structural topic modelling; YouTube; Quantitative text analysis</t>
  </si>
  <si>
    <t>COLLECTIVE IDENTITY; ALT-RIGHT; CHARLOTTESVILLE; TWITTER; JUSTICE; ATTACKS</t>
  </si>
  <si>
    <t>The media frequently describes the 2017 Charlottesville 'Unite the Right' rally as a turning point for the alt-right and white supremacist movements. Social movement theory suggests that the media attention and public discourse concerning the rally may have engendered changes in social identity performance and visibility of the alt-right, but this has yet to be empirically tested. The presence of the movement on YouTube is of particular interest, as this platform has been referred to as a breeding ground for the alt-right. The current study investigates whether there are differences in language use between 7142 alt-right and progressive YouTube channels, in addition to measuring possible changes as a result of the rally. To do so, we create structural topic models and measure bigram proportions in video transcripts, spanning approximately 2 months before and after the rally. We observe differences in topics between the two groups, with the 'alternative influencers', for example, discussing topics related to race and free speech to a larger extent than progressive channels. We also observe structural breakpoints in the use of bigrams at the time of the rally, suggesting there are changes in language use within the two groups as a result of the rally. While most changes relate to mentions of the rally itself, the alternative group also shows an increase in promotion of their YouTube channels. In light of social movement theory, we argue that language use on YouTube shows that the Charlottesville rally indeed triggered changes in social identity performance and visibility of the alt-right.</t>
  </si>
  <si>
    <t>[van der Vegt, Isabelle; Mozes, Maximilian; Gill, Paul; Kleinberg, Bennett] UCL, Dept Secur &amp; Crime Sci, London, England; [Mozes, Maximilian; Kleinberg, Bennett] UCL, Dawes Ctr Future Crime, London, England; [Mozes, Maximilian] UCL, Dept Comp Sci, London, England</t>
  </si>
  <si>
    <t>University of London; University College London; University of London; University College London; University of London; University College London</t>
  </si>
  <si>
    <t>van der Vegt, I (corresponding author), UCL, Dept Secur &amp; Crime Sci, London, England.</t>
  </si>
  <si>
    <t>isabelle.vandervegt@ucl.ac.uk</t>
  </si>
  <si>
    <t>van der Vegt, Isabelle/0000-0001-6448-3388</t>
  </si>
  <si>
    <t>European Research Council (ERC) under the European Union's Horizon 2020 research and innovation programme [758834]</t>
  </si>
  <si>
    <t>This project has received funding from the European Research Council (ERC) under the European Union's Horizon 2020 research and innovation programme (Grant Agreement No. 758834).</t>
  </si>
  <si>
    <t>10.1007/s42001-020-00080-x</t>
  </si>
  <si>
    <t>RX2UZ</t>
  </si>
  <si>
    <t>Green Published, Green Submitted, hybrid</t>
  </si>
  <si>
    <t>WOS:000647081800013</t>
  </si>
  <si>
    <t>van Selm, M; van den Heijkant, L</t>
  </si>
  <si>
    <t>van Selm, Martine; van den Heijkant, Linda</t>
  </si>
  <si>
    <t>In Search of the Older Worker: Framing Job Requirements in Recruitment Advertisements</t>
  </si>
  <si>
    <t>WORK AGING AND RETIREMENT</t>
  </si>
  <si>
    <t>LIFE-SPAN; COMMON STEREOTYPES; AGE-DISCRIMINATION; CAREER SUCCESS; SOFT SKILLS; MEDIA; COMPETENCE; EMPLOYERS; PERCEPTIONS; IMPACT</t>
  </si>
  <si>
    <t>Older workers face problems in the labor market due to dominant beliefs about their abilities: they are perceived as reliable, trustworthy, and loyal, but also as less adaptable, less motivated, and less capable compared to younger workers. The mixed beliefs about older workers resonate with the stereotype of older people in society according to the Stereotype Content Model (SCM) of being warm but less competent and are reflected in news and corporate media:Me present study contributes by approaching stereotypes about older workers' employability from a communication perspective. The study examines which requirements are communicated by employers in job advertisements targeting older job seekers, compared to those in job advertisements targeting general job seekers. This is done by using automated content analysis to inductively identify prominently advertised requirements, and to examine how these align with the older workers' stereotype. Additionally, interviews with recruitment experts are conducted to provide explanation and interpretation. Findings reveal that the persistent idea about older workers performing well on so-called soft abilities and poorer on so-called hard abilities is reflected in job advertisements targeting older job seekers, as these represent requirements related to hard abilities to a lesser extent, whereas abilities related to customer service are more often requested. The mixed beliefs about older workers are reflected in the expert perspective of recruiters too, although with some optimism that older workers' soft abilities fit well with employers' need for a social and responsible workforce. The study contributes to insights regarding the SCM and framing theory.</t>
  </si>
  <si>
    <t>[van Selm, Martine] Erasmus Univ, Erasmus Res Ctr Media Commun &amp; Culture ERMeCC, Rotterdam, Netherlands; [van den Heijkant, Linda] Univ Amsterdam, Amsterdam Sch Commun Res ASCoR, Nieuwe Achtergracht 166, NL-1018 WV Amsterdam, Netherlands</t>
  </si>
  <si>
    <t>2054-4642</t>
  </si>
  <si>
    <t>2054-4650</t>
  </si>
  <si>
    <t>WORK AGING RETIRE</t>
  </si>
  <si>
    <t>Work Aging Retire.</t>
  </si>
  <si>
    <t>10.1093/workar/waaa026</t>
  </si>
  <si>
    <t>Industrial Relations &amp; Labor; Psychology, Applied; Management</t>
  </si>
  <si>
    <t>WQ4WR</t>
  </si>
  <si>
    <t>WOS:000713819100003</t>
  </si>
  <si>
    <t>Goudarzi, FS; Bergey, P; Olaru, D</t>
  </si>
  <si>
    <t>Goudarzi, Fatemeh Sahar; Bergey, Paul; Olaru, Doina</t>
  </si>
  <si>
    <t>Behavioral operations management and supply chain coordination mechanisms: a systematic review and classification of the literature</t>
  </si>
  <si>
    <t>SUPPLY CHAIN MANAGEMENT-AN INTERNATIONAL JOURNAL</t>
  </si>
  <si>
    <t>Supply chain coordination; Behavioral operations management; Supply chain contracts; Behavioral decision theories; Systematic literature review; Operations management; decision-making; Supply-chain management; Coordination</t>
  </si>
  <si>
    <t>RISK-AVERSE; CHANNEL COORDINATION; DECISION-MAKING; CONTRACT DESIGN; INVENTORY MANAGEMENT; CONSIGNMENT CONTRACT; FAIRNESS CONCERNS; QUICK RESPONSE; INFORMATION; IMPACT</t>
  </si>
  <si>
    <t>Purpose The recent surge in behavioral studies on the coordination mechanisms in supply chains (SCs) and advanced methods highlights the role of SC coordination (SCC) and behavioral issues associated with improving the performance of the operations. This study aims to critically review the behavioral aspect of channel coordination mechanisms. Design/methodology/approach Following a systematic literature review methodology, the authors adopt a combination of bibliometric (to reflect the current state of the field), content (using Leximancer data mining software to develop thematic maps) and theory-oriented qualitative analyzes that provide a holistic conceptual framework to unify the literature's critical concepts. Findings The analysis confirms the plethora of risk-oriented publications, demonstrating that the second largest category of studies is concerned with social preferences theory. Most studies were based on experiments, followed by analytical modeling, revealing the impact of heuristics and individual preferences in SC decisions and suggesting promising managerial and theoretical avenues for future research. Originality/value The study sheds light on behavioral decision theories applied to SC coordination by categorizing the literature based on the adopted theories. The methodological contributions include using automated content analysis and validating the outcome by interviewing leading scholars conducting active research on behavioral operations management and SC contracts. The authors also propose several directions for future research based on the research gaps.</t>
  </si>
  <si>
    <t>[Goudarzi, Fatemeh Sahar; Bergey, Paul; Olaru, Doina] Univ Western Australia, Business Sch, Dept Management &amp; Org, Perth, WA, Australia</t>
  </si>
  <si>
    <t>University of Western Australia</t>
  </si>
  <si>
    <t>Goudarzi, FS (corresponding author), Univ Western Australia, Business Sch, Dept Management &amp; Org, Perth, WA, Australia.</t>
  </si>
  <si>
    <t>sahar.goudarzi@research.uwa.edu.au; paul.bergey@uwa.edu.au; doina.olaru@uwa.edu.au</t>
  </si>
  <si>
    <t>; Olaru, Doina/J-9171-2012</t>
  </si>
  <si>
    <t>Bergey, Paul/0000-0002-7165-228X; Goudarzi, Fatemeh (Sahar)/0000-0002-4111-910X; Olaru, Doina/0000-0002-8750-9656</t>
  </si>
  <si>
    <t>1359-8546</t>
  </si>
  <si>
    <t>1758-6852</t>
  </si>
  <si>
    <t>SUPPLY CHAIN MANAG</t>
  </si>
  <si>
    <t>Supply Chain Manag.</t>
  </si>
  <si>
    <t>10.1108/SCM-03-2021-0111</t>
  </si>
  <si>
    <t>WK1DT</t>
  </si>
  <si>
    <t>WOS:000709474400001</t>
  </si>
  <si>
    <t>Bohr, J</t>
  </si>
  <si>
    <t>Bohr, Jeremiah</t>
  </si>
  <si>
    <t>Reporting on climate change: A computational analysis of US newspapers and sources of bias, 1997-2017</t>
  </si>
  <si>
    <t>Climate change; Newspaper coverage; Text analysis; Topic modeling</t>
  </si>
  <si>
    <t>MEDIA REPRESENTATIONS; UNITED-STATES; PUBLIC ENGAGEMENT; CHANGE COVERAGE; TOPIC MODELS; PRINT MEDIA; SCIENCE; ENGLISH; POLARIZATION; JOURNALISTS</t>
  </si>
  <si>
    <t>News organizations constitute key sites of science communication between experts and lay audiences, giving many individuals their basic worldview of complex topics like climate change. Previous researchers have studied climate change news coverage to assess accuracy in reporting and potential sources of bias. These studies typically rely on manually coding articles from a handful of prestigious outlets, not allowing comparisons with smaller newspapers or providing enough diversity to assess the influence of partisan orientation or localized climate vulnerability on content production. Making these comparisons, this study indicates that partisan orientation, scale of circulation, and vulnerability to climate change correlate with several topics present in U.S. newspaper coverage of climate change. After assembling a corpus of over 78,000 articles covering two decades from 52 U.S. newspapers that are diverse in terms of geography, partisan orientation, scale of circulation, and objectively measured climate risk, a coherent set of latent topics were identified via an automated content analysis of climate change news coverage. Topic model results indicate that while outlet bias does not appear to impact the prevalence of coverage for most topics surrounding climate change, differences were evident for some topics based on partisan orientation, scale, or vulnerability status, particularly those relating to climate change denial, impacts, mitigation, or resource use. Overall, this paper provides a comprehensive study of U.S. newspaper coverage of climate change and identifies specific topics where outlet bias constitutes an important contextual factor.</t>
  </si>
  <si>
    <t>[Bohr, Jeremiah] Univ Wisconsin, Dept Sociol, 800 Algoma Blvd, Oshkosh, WI 54901 USA</t>
  </si>
  <si>
    <t>University of Wisconsin System</t>
  </si>
  <si>
    <t>Bohr, J (corresponding author), Univ Wisconsin, Dept Sociol, 800 Algoma Blvd, Oshkosh, WI 54901 USA.</t>
  </si>
  <si>
    <t>bohrj@uwosh.edu</t>
  </si>
  <si>
    <t>University of Wisconsin Oshkosh Faculty Development Board</t>
  </si>
  <si>
    <t>I would like to thank Cody Sweeney for assistance with data collection, and the University of Wisconsin Oshkosh Faculty Development Board for financial support.</t>
  </si>
  <si>
    <t>10.1016/j.gloenvcha.2020.102038</t>
  </si>
  <si>
    <t>LF3DA</t>
  </si>
  <si>
    <t>WOS:000527300300010</t>
  </si>
  <si>
    <t>Zhang, AL; Bradford, B; Morgan, RM; Nakhaeizadeh, S</t>
  </si>
  <si>
    <t>Zhang, Aolan; Bradford, Ben; Morgan, Ruth M.; Nakhaeizadeh, Sherry</t>
  </si>
  <si>
    <t>Investigating the uses of mobile phone evidence in China criminal proceedings</t>
  </si>
  <si>
    <t>SCIENCE &amp; JUSTICE</t>
  </si>
  <si>
    <t>Mobile phone evidence; Digital forensics; Criminal proceedings; Automatic content analysis</t>
  </si>
  <si>
    <t>INCREASE</t>
  </si>
  <si>
    <t>Data from mobile phones are regularly used in the investigation of crime and court proceedings. Previously published research has primarily addressed technical issues or provided operational manuals for using forensic science evidence, rather than analysing human factors and the implementation of forensic tools in investigation settings. Moreover, previous research has focused almost entirely on western countries, and there is a dearth of research into the uses of forensic evidence in China. In this study, a review was carried out of court sentencing documents referring to mobile phone evidence in China over the period 2013-2018. Automated content analysis was used to identify the specific evidence types utilised and the sentencing outcome for each case. Results show that mobile phone evidence was used in 3.3% of criminal proceedings. Among various data types mentioned in criminal proceedings, call records sustained as the most frequently used type of data. After which, instant messaging tools (e.g. WeChat) are an increasing proportion of all mobile phone evidence, from 1% in 2015 to 25% in 2018. For cases that utilised mobile phone data, the analysis of instant messaging and online transaction tools is routine, with little variation in the use of each application (WeChat, Alipay, QQ) for investigations of different types of crime. However, in the majority of criminal cases, mobile phone data function as subsidiary evidence and posed limited impacts on verdict reached. The current findings indicate that a large amount of mobile phone evidence was transformed into other evidence formats or filtered out directly before court proceedings.</t>
  </si>
  <si>
    <t>[Zhang, Aolan; Bradford, Ben] UCL, Inst Global City Policing, Dept Secur &amp; Crime Sci, 35 Tavistock Sq, London WC1H 9EZ, England; [Zhang, Aolan; Morgan, Ruth M.; Nakhaeizadeh, Sherry] UCL, Ctr Forens Sci, Dept Secur &amp; Crime Sci, 35 Tavistock Sq, London WC1H 9EZ, England</t>
  </si>
  <si>
    <t>University of London; University College London; University of London; University College London</t>
  </si>
  <si>
    <t>Zhang, AL (corresponding author), UCL, Inst Global City Policing, Dept Secur &amp; Crime Sci, 35 Tavistock Sq, London WC1H 9EZ, England.</t>
  </si>
  <si>
    <t>aolan.zhang@ucl.ac.uk</t>
  </si>
  <si>
    <t>Bradford, Ben/0000-0001-5480-5638; Zhang, Aolan/0000-0001-8160-6466</t>
  </si>
  <si>
    <t>1355-0306</t>
  </si>
  <si>
    <t>1876-4452</t>
  </si>
  <si>
    <t>SCI JUSTICE</t>
  </si>
  <si>
    <t>Sci. Justice</t>
  </si>
  <si>
    <t>10.1016/j.scijus.2022.03.011</t>
  </si>
  <si>
    <t>Medicine, Legal; Pathology</t>
  </si>
  <si>
    <t>Legal Medicine; Pathology</t>
  </si>
  <si>
    <t>1D3RQ</t>
  </si>
  <si>
    <t>WOS:000793721400002</t>
  </si>
  <si>
    <t>Heidenreich, T; Eisele, O; Watanabe, K; Boomgaarden, HG</t>
  </si>
  <si>
    <t>Heidenreich, Tobias; Eisele, Olga; Watanabe, Kohei; Boomgaarden, Hajo G.</t>
  </si>
  <si>
    <t>Exploring Engagement With EU News on Facebook: The Influence of Content Characteristics</t>
  </si>
  <si>
    <t>automated content analysis; computational methods; European Union; Facebook; news; social media; user engagement</t>
  </si>
  <si>
    <t>EUROPEAN PARLIAMENT; ONLINE; MEDIA; PARTICIPATION; COMMUNICATION; SENTIMENT; NEWSPAPERS; POLITICS; TWITTER; TIME</t>
  </si>
  <si>
    <t>The EU is diagnosed with a participation deficit, rooted in a lack of public communication. While news media are the primary source of information about EU politics, social media have become an important channel for political information. Importantly, social media platforms offer unique opportunities for citizens to engage with information about the EU. Such engagement is under-researched despite users' responses offering valuable information about the potential effects of EU news on public engagement. Therefore, we systematically analyze social media users' engagement with news about the EU. Drawing on the concepts of news values and shareworthiness, we investigate the proximity, conflictuality, negativity, and emotionality of EU news content posted on mainstream media Facebook accounts to explain the variation in reactions, shares, and number of comments. Using semi-supervised machine learning, we analyze articles from the largest newspapers in Austria for the period 2015-2019, along with Facebook users' reactions to them. Results resonate only partly with prior literature, with negativity of EU news leading to more reactions and shares but fewer comments; emotionality, to fewer reactions and shares but more comments; and conflict mainly decreasing user engagement. Concerning proximity, a national angle leads to distinctly more engagement, whereas news about other EU member states and the EU as such do mostly not. Our study contributes to the discussion on how citizens engage with information on the EU and how to promote informed debate on social media through elites' communication.</t>
  </si>
  <si>
    <t>[Heidenreich, Tobias] WZB Berlin Social Sci Ctr, Berlin, Germany; [Heidenreich, Tobias; Eisele, Olga; Boomgaarden, Hajo G.] Univ Vienna, Dept Commun, Vienna, Austria; [Watanabe, Kohei] Waseda Inst Adv Study, Tokyo, Japan</t>
  </si>
  <si>
    <t>University of Vienna; Waseda University</t>
  </si>
  <si>
    <t>Heidenreich, T (corresponding author), WZB Berlin Social Sci Ctr, Berlin, Germany.;Heidenreich, T (corresponding author), Univ Vienna, Dept Commun, Vienna, Austria.</t>
  </si>
  <si>
    <t>Heidenreich, Tobias/HDO-5760-2022</t>
  </si>
  <si>
    <t>Heidenreich, Tobias/0000-0001-9070-0550; Eisele, Olga/0000-0002-6604-3498; Boomgaarden, Hajo G./0000-0002-5260-1284</t>
  </si>
  <si>
    <t>Austrian Science Fund in the Hertha Firnberg program [T-989]; Anniversary Fund of the Austrian National Bank [18120]</t>
  </si>
  <si>
    <t>Austrian Science Fund in the Hertha Firnberg program(Austrian Science Fund (FWF)); Anniversary Fund of the Austrian National Bank</t>
  </si>
  <si>
    <t>The authors would like to acknowledge the funding of the Austrian Science Fund in the Hertha Firnberg program (Grant No. T-989) for Olga Eisele and the Anniversary Fund of the Austrian National Bank (Grant No. 18120) for Tobias Heidenreich.</t>
  </si>
  <si>
    <t>10.17645/pag.v10i1.4775</t>
  </si>
  <si>
    <t>ZS9CR</t>
  </si>
  <si>
    <t>WOS:000768756500004</t>
  </si>
  <si>
    <t>Zafri, NM; Afroj, S; Nafi, IM; Hasan, MMU</t>
  </si>
  <si>
    <t>Zafri, Niaz Mahmud; Afroj, Sadia; Nafi, Imtiaz Mahmud; Hasan, Md. Musleh Uddin</t>
  </si>
  <si>
    <t>A content analysis of newspaper coverage of COVID-19 pandemic for developing a pandemic management framework</t>
  </si>
  <si>
    <t>HELIYON</t>
  </si>
  <si>
    <t>COVID-19; Newspaper coverage; Content analysis; Topic modeling; Pandemic management framework</t>
  </si>
  <si>
    <t>IMPACT</t>
  </si>
  <si>
    <t>Background: The emergence of COVID-19 pandemic has not only shaken the global health sector, but also almost every other sector, including economic and education sectors. Newspapers are performing a significant role by featuring the news of COVID-19 from its very onset. The temporal fluctuation of COVID-19 related key themes presented in newspaper articles and the findings obtained from them could offer an effective lesson in dealing with future epidemics and pandemics. Aim and method: This paper intends to develop a pandemic management framework through an automated content analysis of local newspaper coverage of COVID-19 pandemic in Bangladesh. To fulfill the aim, 7,209 newspaper articles are assembled and analyzed from three popular local newspapers named bdnews24.com, New Age, and Prothom Alo English  over the period from January 1, 2020 to October 31, 2020. Results: Twelve key topics are identified: origin and outbreak of COVID-19, response of healthcare system, impact on economy, impact on lifestyle, government assistance to the crisis, regular updates, expert opinions, pharmaceutical measures, non-pharmaceutical measures, updates on vaccines, testing facilities, and local unusual activities within the system. Based on the identified topics, their timeline of discussion, and information flow in each topic, a four-stage pandemic management framework is developed for epidemic and pandemic management in future. The stages are preparedness, response, recovery, and mitigation. Conclusion: This research would provide insights into stage-wise response to any biological hazard and contribute ideas to endure future outbreaks.</t>
  </si>
  <si>
    <t>[Zafri, Niaz Mahmud; Afroj, Sadia; Hasan, Md. Musleh Uddin] Bangladesh Univ Engn &amp; Technol BUET, Dept Urban &amp; Reg Planning, Dhaka 1000, Bangladesh; [Nafi, Imtiaz Mahmud] Islamic Univ Technol IUT, Dept Elect &amp; Elect Engn, Gazipur 1704, Bangladesh</t>
  </si>
  <si>
    <t>Bangladesh University of Engineering &amp; Technology (BUET)</t>
  </si>
  <si>
    <t>Zafri, NM (corresponding author), Bangladesh Univ Engn &amp; Technol BUET, Dept Urban &amp; Reg Planning, Dhaka 1000, Bangladesh.</t>
  </si>
  <si>
    <t>zafri@urp.buet.ac.bd</t>
  </si>
  <si>
    <t>Zafri, Niaz Mahmud/AAG-2299-2020</t>
  </si>
  <si>
    <t>Zafri, Niaz Mahmud/0000-0002-0120-1862; Afroj, Sadia/0000-0002-1961-2360; Afroj, Sadia/0000-0003-1460-756X</t>
  </si>
  <si>
    <t>2405-8440</t>
  </si>
  <si>
    <t>Heliyon</t>
  </si>
  <si>
    <t>e06544</t>
  </si>
  <si>
    <t>10.1016/j.heliyon.2021.e06544</t>
  </si>
  <si>
    <t>RJ8OS</t>
  </si>
  <si>
    <t>WOS:000637860300008</t>
  </si>
  <si>
    <t>Buz, C; Promies, N; Kohler, S; Lehmkuhl, M</t>
  </si>
  <si>
    <t>Buz, Cecilia; Promies, Nikolai; Kohler, Sarah; Lehmkuhl, Markus</t>
  </si>
  <si>
    <t>Validation of NER methods for the automated identification of actors in German journalistic texts</t>
  </si>
  <si>
    <t>SCM STUDIES IN COMMUNICATION AND MEDIA</t>
  </si>
  <si>
    <t>Automated content analysis; computational methods; named entity recognition; validation</t>
  </si>
  <si>
    <t>NAMED ENTITY RECOGNITION; COMMUNICATION-RESEARCH; COMPUTATIONAL METHODS; BIG DATA; CHALLENGES; PITFALLS; SCIENCE</t>
  </si>
  <si>
    <t>The aim of this paper is the validation of a method that can be used to automate a sub-step in the content analysis of text data. The method under investigation is called Named Entity Recognition (NER) and is specialized in the automated identification and extraction of proper names (persons, organizations, places) in texts. In communication science, automated methods are increasingly used for the analysis of large amounts of text, but there are hardly any studies dealing with the validity of the automatically obtained results. The aim of the study presented here is to test the suitability of such a procedure for future, extensive actor analyses. These allow comprehensive, cross-media comparisons of the general news coverage, as well as the quantitative analysis of the occurrence, frequency and diversity of the named actors or institutions over long periods of time. Since these NER methods are developed and trained using specific annotated text data, it is uncertain whether they will achieve precise and correct identification of entities with unknown journalistic news articles. To evaluate that, this work applies three different NER methods and compares the outcome of these automated analyses with the results of a manual content analysis. The results show that there is a high concordance between the manually and automatically identified personal names. For the automated identification of the names of organisations, the match rate with the manual codings appears to be lower.</t>
  </si>
  <si>
    <t>[Buz, Cecilia; Promies, Nikolai; Kohler, Sarah; Lehmkuhl, Markus] Karlsruher Inst Technol, Inst Tech Zukunfte ITZ, Dept Wissenschaftskommunikat, Nglerstr 2, D-76131 Karlsruhe, Germany</t>
  </si>
  <si>
    <t>Helmholtz Association; Karlsruhe Institute of Technology</t>
  </si>
  <si>
    <t>Buz, C (corresponding author), Karlsruher Inst Technol, Inst Tech Zukunfte ITZ, Dept Wissenschaftskommunikat, Nglerstr 2, D-76131 Karlsruhe, Germany.</t>
  </si>
  <si>
    <t>cecilia.buz@partner.kit.edu; nikolai.promies@kit.edu; sarah.kohlerat@kit.edu; markus.lehmkuhl@kit.edu</t>
  </si>
  <si>
    <t>NOMOS VERLAGSGESELLSCHAFT MBH &amp; CO KG</t>
  </si>
  <si>
    <t>BADEN-BADEN</t>
  </si>
  <si>
    <t>WALDSEESTR 3 5, BADEN-BADEN, 76530, GERMANY</t>
  </si>
  <si>
    <t>2192-4007</t>
  </si>
  <si>
    <t>SCM STUD COMM MEDIA</t>
  </si>
  <si>
    <t>SCM Stud. Commun. Media</t>
  </si>
  <si>
    <t>10.5771/2192-4007-2021-4-590</t>
  </si>
  <si>
    <t>0D3GJ</t>
  </si>
  <si>
    <t>WOS:000775887000005</t>
  </si>
  <si>
    <t>Heidenreich, T; Eberl, JM; Tolochko, P; Lind, F; Boomgaarden, HG</t>
  </si>
  <si>
    <t>Heidenreich, Tobias; Eberl, Jakob-Moritz; Tolochko, Petro; Lind, Fabienne; Boomgaarden, Hajo G.</t>
  </si>
  <si>
    <t>My Voters Should See This! What News Items Are Shared by Politicians on Facebook?</t>
  </si>
  <si>
    <t>social media; political actors; news sharing; computational methods; issue ownership</t>
  </si>
  <si>
    <t>SOCIAL MEDIA USE; ISSUE OWNERSHIP; PARTIES; COMMUNICATION; PERCEPTIONS; TWITTER; ENGAGEMENT; CITIZENS; EXPOSURE; IMPACT</t>
  </si>
  <si>
    <t>Political actors play an increasingly important role in the dissemination of political information on social media. However, relatively little is known about the mechanisms why specific news items are shared with the support base instead of others. For a timespan between December 2017 and the end of 2018, we combine the analysis of Facebook content from 1,022 politicians associated with 20 political parties from Germany, Spain, and the UK, with an automated content analysis of media coverage from 22 major online news outlets, and survey data in a multilevel binomial regression approach. By comparing news items that have been shared by one or several political parties with news items that have not been shared by any of them, we overcome the selection biases of previous studies in the field of news dissemination. Findings show that a news item's likelihood to be shared by a politician increases (1) if that politician's party is mentioned in the news item, (2) the more salient their party's owned issues are in the news item, and (3) the more party supporters tend to read the news outlet in which the news item is published. We contextualize these findings in light of political actors' multi-faceted motivations for news sharing on social media and discuss how this process potentially reinforces an information bias that may contribute to the polarization and fragmentation of audiences.</t>
  </si>
  <si>
    <t>[Heidenreich, Tobias] WZB Berlin Social Sci Ctr, Berlin, Germany; [Eberl, Jakob-Moritz; Tolochko, Petro; Lind, Fabienne; Boomgaarden, Hajo G.] Univ Vienna, Dept Commun, Vienna, Austria; [Eberl, Jakob-Moritz] Ludwig Maximilian Univ Munich, Dept Media &amp; Commun, Munich, Germany</t>
  </si>
  <si>
    <t>Heidenreich, T (corresponding author), Reichpietschufer 50, D-10785 Berlin, Germany.</t>
  </si>
  <si>
    <t>Eberl, Jakob-Moritz/0000-0002-5613-760X; Heidenreich, Tobias/0000-0001-9070-0550; Tolochko, Petro/0000-0001-5971-8816; , Fabienne/0000-0002-4978-9415</t>
  </si>
  <si>
    <t>10.1177/19401612221104740</t>
  </si>
  <si>
    <t>2B8ZS</t>
  </si>
  <si>
    <t>WOS:000810471000001</t>
  </si>
  <si>
    <t>Barnum, M; Lo, J</t>
  </si>
  <si>
    <t>Barnum, Miriam; Lo, James</t>
  </si>
  <si>
    <t>Is the NPT unraveling? Evidence from text analysis of review conference statements</t>
  </si>
  <si>
    <t>latent variable estimation; nuclear weapons; Nonproliferation Treaty; text-as-data</t>
  </si>
  <si>
    <t>LEFT-RIGHT SCALE; NUCLEAR-WEAPONS; NONPROLIFERATION; COOPERATION; POSITIONS; STATES</t>
  </si>
  <si>
    <t>The Treaty on the Non-Proliferation of Nuclear Weapons (NPT) is a landmark international treaty that is widely regarded as a cornerstone of the global nuclear non-proliferation regime. However, pessimists point to a growing divergence of preferences between nuclear weapons states and non-nuclear weapons states as a precursor to the impending 'unraveling of this vital piece of international law'. In this article, we test for evidence of preference divergence using statements from NPT review conferences, which are manifestos presenting each country's position on the NPT. We measure preferences on the NPT using Wordfish, a method that is frequently used to estimate ideological preferences from election manifestos. Our measure estimates the latent positions of state actors along a 'non-proliferation vs. disarmament' dimension, and shows little evidence of growing preference divergence between the nuclear weapons states and non-nuclear weapons states. Thus, a significant premise underlying more pessimistic assessments of the NPT appears to be in doubt.</t>
  </si>
  <si>
    <t>[Barnum, Miriam; Lo, James] Univ Southern Calif, Los Angeles, CA 90007 USA</t>
  </si>
  <si>
    <t>Barnum, M (corresponding author), Univ Southern Calif, Los Angeles, CA 90007 USA.</t>
  </si>
  <si>
    <t>mbarnum@usc.edu</t>
  </si>
  <si>
    <t>Barnum, Miriam/0000-0002-2988-6648</t>
  </si>
  <si>
    <t>Office of the Provost at USC; Dartmouth College's Quantitative Social Science program</t>
  </si>
  <si>
    <t>Barnum thanks the Office of the Provost at USC for support in the form of the Provost Fellowship in the Social Sciences. Lo acknowledges support from Dartmouth College's Quantitative Social Science program. We thank Diana Vargas for research assistance.</t>
  </si>
  <si>
    <t>10.1177/0022343320960523</t>
  </si>
  <si>
    <t>WOS:000597616400007</t>
  </si>
  <si>
    <t>Anglin, KL; Wong, VC; Boguslav, A</t>
  </si>
  <si>
    <t>Anglin, Kylie L.; Wong, Vivian C.; Boguslav, Arielle</t>
  </si>
  <si>
    <t>A Natural Language Processing Approach to Measuring Treatment Adherence and Consistency Using Semantic Similarity</t>
  </si>
  <si>
    <t>AERA OPEN</t>
  </si>
  <si>
    <t>fidelity; implementation; document similarity; replication; text as data; latent semantic analysis; treatment adherence; NLP; natural language processing</t>
  </si>
  <si>
    <t>INTERVENTION FIDELITY; IMPLEMENTATION; PREVENTION; CHILDREN; AUTISM; COMMUNICATION; INTEGRITY; FRAMEWORK; OUTCOMES</t>
  </si>
  <si>
    <t>Though there is widespread recognition of the importance of implementation research, evaluators often face intense logistical, budgetary, and methodological challenges in their efforts to assess intervention implementation in the field. This article proposes a set of natural language processing techniques called semantic similarity as an innovative and scalable method of measuring implementation constructs. Semantic similarity methods are an automated approach to quantifying the similarity between texts. By applying semantic similarity to transcripts of intervention sessions, researchers can use the method to determine whether an intervention was delivered with adherence to a structured protocol, and the extent to which an intervention was replicated with consistency across sessions, sites, and studies. This article provides an overview of semantic similarity methods, describes their application within the context of educational evaluations, and provides a proof of concept using an experimental study of the impact of a standardized teacher coaching intervention.</t>
  </si>
  <si>
    <t>[Anglin, Kylie L.] Univ Connecticut, Neag Sch Educ, Res Methods Measurement &amp; Evaluat, Storrs, CT 06269 USA; [Wong, Vivian C.] Univ Virginia, Sch Educ &amp; Human Dev, Res Stat &amp; Evaluat, Charlottesville, VA 22903 USA; [Boguslav, Arielle] Univ Virginia, Sch Educ &amp; Human Dev, Educ Policy, Charlottesville, VA 22903 USA</t>
  </si>
  <si>
    <t>University of Connecticut; University of Virginia; University of Virginia</t>
  </si>
  <si>
    <t>Anglin, KL (corresponding author), Univ Connecticut, Neag Sch Educ, Res Methods Measurement &amp; Evaluat, Storrs, CT 06269 USA.</t>
  </si>
  <si>
    <t>Anglin, Kylie/AGW-0253-2022</t>
  </si>
  <si>
    <t>Anglin, Kylie/0000-0001-7661-3370</t>
  </si>
  <si>
    <t>Institute of Education Sciences, U.S. Department of Education [R305B140026, R305D190043]; National Academy of Education/Spencer Dissertation Fellowship Program; National Academy of Education</t>
  </si>
  <si>
    <t>Institute of Education Sciences, U.S. Department of Education(US Department of Education); National Academy of Education/Spencer Dissertation Fellowship Program; National Academy of Education</t>
  </si>
  <si>
    <t>The research reported in this article was supported by the Institute of Education Sciences, U.S. Department of Education, through Grant #R305B140026 and Grant #R305D190043 to the Rectors and Visitors of the University of Virginia as well as the National Academy of Education and the National Academy of Education/Spencer Dissertation Fellowship Program. The opinions expressed are those of the authors and do not represent views of the Institute or the U.S. Department of Education. The authors wish to thank Julie Cohen, Brian Wright, members of the University of Virginia School of Data Science capstone team, and members of the University of Virginia TeachSIM team for their feedback on earlier versions of this article. All errors are those of the authors.</t>
  </si>
  <si>
    <t>2332-8584</t>
  </si>
  <si>
    <t>AERA Open</t>
  </si>
  <si>
    <t>10.1177/23328584211028615</t>
  </si>
  <si>
    <t>TF2KW</t>
  </si>
  <si>
    <t>WOS:000670541900001</t>
  </si>
  <si>
    <t>Nelson, LK</t>
  </si>
  <si>
    <t>Nelson, Laura K.</t>
  </si>
  <si>
    <t>Computational Grounded Theory: A Methodological Framework</t>
  </si>
  <si>
    <t>computational text analysis; grounded theory; computational grounded theory; inductive analysis; unsupervised machine learning; supervised machine learning; natural language processing; word scores</t>
  </si>
  <si>
    <t>TEXT ANALYSIS; POTENTIAL INTERRELATION; GREAT-BRITAIN; CULTURE; CONCRETENESS; NETWORKS; MEDIA; MODEL</t>
  </si>
  <si>
    <t>This article proposes a three-step methodological framework called computational grounded theory, which combines expert human knowledge and hermeneutic skills with the processing power and pattern recognition of computers, producing a more methodologically rigorous but interpretive approach to content analysis. The first, pattern detection step, involves inductive computational exploration of text, using techniques such as unsupervised machine learning and word scores to help researchers to see novel patterns in their data. The second, pattern refinement step, returns to an interpretive engagement with the data through qualitative deep reading or further exploration of the data. The third, pattern confirmation step, assesses the inductively identified patterns using further computational and natural language processing techniques. The result is an efficient, rigorous, and fully reproducible computational grounded theory. This framework can be applied to any qualitative text as data, including transcribed speeches, interviews, open-ended survey data, or ethnographic field notes, and can address many potential research questions.</t>
  </si>
  <si>
    <t>[Nelson, Laura K.] Northeastern Univ, Dept Sociol &amp; Anthropol, 960B Renaissance Pk, Boston, MA 02115 USA</t>
  </si>
  <si>
    <t>Northeastern University</t>
  </si>
  <si>
    <t>Nelson, LK (corresponding author), Northeastern Univ, Dept Sociol &amp; Anthropol, 960B Renaissance Pk, Boston, MA 02115 USA.</t>
  </si>
  <si>
    <t>l.nelson@northeastern.edu</t>
  </si>
  <si>
    <t>Nelson, Laura/0000-0001-8948-300X</t>
  </si>
  <si>
    <t>National Science Foundation; University of California, Berkeley</t>
  </si>
  <si>
    <t>National Science Foundation(National Science Foundation (NSF)); University of California, Berkeley(University of California System)</t>
  </si>
  <si>
    <t>The author(s) disclosed receipt of the following financial support for the research, authorship, and/or publication of this article: The author received support from the National Science Foundation and the University of California, Berkeley, for the research, authorship, and/or publication of this article.</t>
  </si>
  <si>
    <t>10.1177/0049124117729703</t>
  </si>
  <si>
    <t>KB5LW</t>
  </si>
  <si>
    <t>WOS:000506537700001</t>
  </si>
  <si>
    <t>Ortega, AL</t>
  </si>
  <si>
    <t>Ortega, Alberto Lopez</t>
  </si>
  <si>
    <t>Are microtargeted campaign messages more negative and diverse? An analysis of Facebook Ads in European election campaigns</t>
  </si>
  <si>
    <t>Campaigns; Microtargeting; Negativity; Topic diversity</t>
  </si>
  <si>
    <t>POLITICAL CAMPAIGNS; SOCIAL MEDIA; PARTIES; SENTIMENT; BEHAVIOR; PRIVACY; AGE</t>
  </si>
  <si>
    <t>Concerns about the use of online political microtargeting (OPM) by campaigners have arisen since the Cambridge Analytica scandal hit the international political arena. In addition to providing conceptual clarity on OPM and explore the use of such techniques in Europe, this paper seeks to empirically disentangle the differing behaviours of campaigners when they message citizens through microtargeted rather than non-targeted campaigning. More precisely, I hypothesise that campaigners use negative campaigning and are more diverse in terms of topics when they use OPM. To investigate whether these expectations hold true, I use text-as-data techniques to analyse an original dataset of 4,091 political Facebook Ads during the last national elections in Austria, Italy, Germany and Sweden. Results show that while microtargeted ads might indeed be more thematically diverse, there does not seem to be a significant difference to non-microtargeted ads in terms of negativity. In conclusion, I discuss the implications of these findings for microtargeted campaigns and how future research could be conducted.</t>
  </si>
  <si>
    <t>[Ortega, Alberto Lopez] Univ Zurich, Affolternstr 56, CH-8050 Zurich, Switzerland</t>
  </si>
  <si>
    <t>Ortega, AL (corresponding author), Univ Zurich, Affolternstr 56, CH-8050 Zurich, Switzerland.</t>
  </si>
  <si>
    <t>alberto.lopezortega@uzh.ch</t>
  </si>
  <si>
    <t>Lopez Ortega, Alberto/0000-0003-2765-7232</t>
  </si>
  <si>
    <t>10.1057/s41304-021-00346-6</t>
  </si>
  <si>
    <t>4M0RU</t>
  </si>
  <si>
    <t>WOS:000674517700001</t>
  </si>
  <si>
    <t>Gade, EK; Dreier, S; Wilkerson, J; Washington, A</t>
  </si>
  <si>
    <t>Gade, Emily Kalah; Dreier, Sarah; Wilkerson, John; Washington, Anne</t>
  </si>
  <si>
    <t>Archived Attributes: An Internet-Text Approach to Measuring Legislator Attitudes and Behavior</t>
  </si>
  <si>
    <t>religiosity; US Congress; web archives; methodology; 'big data'; text-as-data</t>
  </si>
  <si>
    <t>RELIGION; POLITICS; IMPACT; TALK</t>
  </si>
  <si>
    <t>The Internet Archive curated a 90-terabyte sub-collection of captures from the US government's public website domain ('.gov'). Such archives provide largely untapped resources for measuring attributes, behaviors and outcomes relevant to political science research. This study leverages this archive to measure a novel dimension of federal legislators' religiosity: their proportional use of religious rhetoric on official congressional websites (2006-2012). This scalable, time-variant measure improves upon more costly, time-invariant conventional approaches to measuring legislator attributes. The authors demonstrate the validity of this method for measuring legislators' public-facing religiosity and discuss the contributions and limitations of using archived Internet data for scientific analysis. This research makes three applied methodological contributions: (1) it develops a new measure for legislator religiosity, (2) it models an improved, more comprehensive approach to analyzing congressional communications and (3) it demonstrates the unprecedented potential that archived Internet data offer to researchers seeking to develop meaningful, cost-effective approaches to analyzing political phenomena.</t>
  </si>
  <si>
    <t>[Gade, Emily Kalah] Emory Univ, Atlanta, GA 30322 USA; [Dreier, Sarah; Wilkerson, John] Univ Washington, Seattle, WA 98195 USA; [Washington, Anne] NYU Steinhardt, New York, NY USA</t>
  </si>
  <si>
    <t>Emory University; University of Washington; University of Washington Seattle</t>
  </si>
  <si>
    <t>Gade, EK (corresponding author), Emory Univ, Atlanta, GA 30322 USA.</t>
  </si>
  <si>
    <t>emily.gade@emory.edu</t>
  </si>
  <si>
    <t>Gade, Emily/0000-0002-9061-7869</t>
  </si>
  <si>
    <t>NSF [1243917]</t>
  </si>
  <si>
    <t>NSF(National Science Foundation (NSF))</t>
  </si>
  <si>
    <t>We would like to thank the eScience Data Incubator program at the University of Washington (2015), the Archived Unleashed Workshop Series and audiences and discussants at the American Political Science Association Annual Meeting (2015), the Text-as-Data Conference (2017) and the Political Methodology Annual Meeting (2018) for their intellectual and methodological contributions to projects that laid the groundwork for this research note. We also thank Altiscale and Start Smart Labs (in particular Ellen R. Salisbury and Raymie Stata) for making this research possible by hosting the.GOV collection on a public cluster and making it available to researchers free of charge. The original effort to use the Internet Archive for political science research was supported by NSF award number #1243917 -PI-NET: Poli-Informatics Research Coordination Network. Any mistakes are our own.</t>
  </si>
  <si>
    <t>PII S0007123420000290</t>
  </si>
  <si>
    <t>10.1017/S0007123420000290</t>
  </si>
  <si>
    <t>UP2JN</t>
  </si>
  <si>
    <t>WOS:000695211200024</t>
  </si>
  <si>
    <t>Going in circles? The influence of the electoral cycle on the party behaviour in parliament</t>
  </si>
  <si>
    <t>electoral cycle; legislative politics; sentiment analysis; government and opposition; text as data</t>
  </si>
  <si>
    <t>GOVERNMENT-OPPOSITION; POLICY-MAKING; AGENDA; SENTIMENT; DETERMINANTS; POSITIONS; ELECTIONS</t>
  </si>
  <si>
    <t>Most analyses dealing with the interaction of parties in parliament assume their interests to be fixed between elections. However, a rational perspective suggests that parties adapt their behaviour throughout the legislative term. I argue that this change is influenced by incentives and possibilities to shape legislation and the need to distinguish oneself from competitors. While for government parties it matters whether they have to share offices, for opposition parties the influence on policy-making is important. By examining the sentiment of all parliamentary speeches on bill proposals from six established democracies over more than twenty years, I analyse institutional and contextual effects. The results show that single-party governments tend to become more positive towards the end of the legislative cycle compared to coalition governments. On the other hand, opposition parties under minority governments, or with more institutionalised influence on government bills, show a more negative trend in comparison to their counterparts.</t>
  </si>
  <si>
    <t>[Schwalbach, Jan] Univ Cologne, Cologne Ctr Comparat Polit, Cologne, Germany</t>
  </si>
  <si>
    <t>Schwalbach, J (corresponding author), Univ Cologne, Cologne Ctr Comparat Polit, Cologne, Germany.</t>
  </si>
  <si>
    <t>schwalbach@wiso.uni-koeln.de</t>
  </si>
  <si>
    <t>PII S1755773921000291</t>
  </si>
  <si>
    <t>10.1017/S1755773921000291</t>
  </si>
  <si>
    <t>ZI7AA</t>
  </si>
  <si>
    <t>WOS:000761768500005</t>
  </si>
  <si>
    <t>Daubler, T; Benoit, K</t>
  </si>
  <si>
    <t>Daubler, Thomas; Benoit, Kenneth</t>
  </si>
  <si>
    <t>Scaling hand-coded political texts to learn more about left-right policy content</t>
  </si>
  <si>
    <t>Comparative Agendas Project; IRT; Manifesto Project; measurement; party manifestos; policy positions</t>
  </si>
  <si>
    <t>PARTY POSITIONS; SPACE; MODEL; RELIABILITY; VALIDITY; WORDS</t>
  </si>
  <si>
    <t>Manual annotation of the policy content of political texts forms the basis for one of the most widely used empirical measures in comparative politics: left-right policy positions. Bridging automated text as data approaches and qualitative content analysis, we apply statistical scaling to this data to learn more about the association of specific policy dimensions to the left-right super-dimension, in a way that minimizes ex ante assumptions about the substantive content of left-right policy. We apply a Bayesian negative binomial variant of Slapin and Proksch's (2008) wordfish model to category counts from party manifestos coded by the Manifesto Project, providing a data-driven approach that offers new insights into the policy content of left and right. We demonstrate how this method also works with content not originally designed for measuring positions. In addition, we show how the approach can be extended to measure the policy content of two latent dimensions, with some categories contributing to both.</t>
  </si>
  <si>
    <t>[Daubler, Thomas] Univ Coll Dublin, Dublin, Ireland; [Benoit, Kenneth] London Sch Econ, London, England</t>
  </si>
  <si>
    <t>University College Dublin; University of London; London School Economics &amp; Political Science</t>
  </si>
  <si>
    <t>Daubler, T (corresponding author), Univ Coll Dublin, Sch Polit &amp; Int Relat, Dublin 4, Ireland.</t>
  </si>
  <si>
    <t>thomas.daubler@ucd.ie</t>
  </si>
  <si>
    <t>Daubler, Thomas/0000-0001-5106-4918</t>
  </si>
  <si>
    <t>European Research Council [ERC-2011-StG 283794-QUANTESS]</t>
  </si>
  <si>
    <t>The author(s) disclosed receipt of the following financial support for the research, authorship, and/or publication of this article: This research was supported by the European Research Council grant ERC-2011-StG 283794-QUANTESS.</t>
  </si>
  <si>
    <t>10.1177/13540688211026076</t>
  </si>
  <si>
    <t>4O7MO</t>
  </si>
  <si>
    <t>WOS:000683936100001</t>
  </si>
  <si>
    <t>Chang, WH; Li, JL; Lee, CC</t>
  </si>
  <si>
    <t>Chang, Wei-Hao; Li, Jeng-Lin; Lee, Chi-Chun</t>
  </si>
  <si>
    <t>LEARNING SEMANTIC-PRESERVING SPACE USING USER PROFILE AND MULTIMODAL MEDIA CONTENT FROM POLITICAL SOCIAL NETWORK</t>
  </si>
  <si>
    <t>2019 IEEE INTERNATIONAL CONFERENCE ON ACOUSTICS, SPEECH AND SIGNAL PROCESSING (ICASSP)</t>
  </si>
  <si>
    <t>International Conference on Acoustics Speech and Signal Processing ICASSP</t>
  </si>
  <si>
    <t>44th IEEE International Conference on Acoustics, Speech and Signal Processing (ICASSP)</t>
  </si>
  <si>
    <t>MAY 12-17, 2019</t>
  </si>
  <si>
    <t>Brighton, ENGLAND</t>
  </si>
  <si>
    <t>Inst Elect &amp; Elect Engineers,Inst Elect &amp; Elect Engineers Signal Proc Soc</t>
  </si>
  <si>
    <t>semantic-preserving space; multimodal media data; social media; politics; large-margin objective</t>
  </si>
  <si>
    <t>The use of social media in politics has dramatically changed the way campaigns are run and how elected officials interact with their constituents. An advanced algorithm is required to analyze and understand this large amount of heterogeneous social media data to investigate several key issues, such as stance and strategy, in political science. Most of previous works concentrate their studies using text-as-data approach, where the rich yet heterogeneous information in the user profile, social relationship, and multimodal media content is largely ignored. In this work, we propose a two-branch network that jointly maps the post contents and politician profile into the same latent space, which is trained using a large-margin objective that combines a cross-instance distance constraint with a within-instance semantic-preserving constraint. Our proposed political embedding space can be utilized not only in reliably identifying political spectrum and message type but also in providing a political representation space for interpretable ease-of-visualization.</t>
  </si>
  <si>
    <t>[Chang, Wei-Hao] Natl Tsing Hua Univ, Dept Elect Engn, Hsinchu, Taiwan; MOST Joint Res Ctr AI Technol &amp; All Vista Healthc, Taipei, Taiwan</t>
  </si>
  <si>
    <t>National Tsing Hua University</t>
  </si>
  <si>
    <t>Chang, WH (corresponding author), Natl Tsing Hua Univ, Dept Elect Engn, Hsinchu, Taiwan.</t>
  </si>
  <si>
    <t>1520-6149</t>
  </si>
  <si>
    <t>978-1-4799-8131-1</t>
  </si>
  <si>
    <t>INT CONF ACOUST SPEE</t>
  </si>
  <si>
    <t>Acoustics; Engineering, Electrical &amp; Electronic</t>
  </si>
  <si>
    <t>BN4NP</t>
  </si>
  <si>
    <t>WOS:000482554004046</t>
  </si>
  <si>
    <t>Ying, LW; Montgomery, JM; Stewart, BM</t>
  </si>
  <si>
    <t>Ying, Luwei; Montgomery, Jacob M.; Stewart, Brandon M.</t>
  </si>
  <si>
    <t>Topics, Concepts, and Measurement: A Crowdsourced Procedure for Validating Topics as Measures</t>
  </si>
  <si>
    <t>text as data; topic model; validation; crowd-sourcing; measurement</t>
  </si>
  <si>
    <t>TEXT; MODEL; INCENTIVES; MEDIA</t>
  </si>
  <si>
    <t>Topic models, as developed in computer science, are effective tools for exploring and summarizing large document collections. When applied in social science research, however, they are commonly used for measurement, a task that requires careful validation to ensure that the model outputs actually capture the desired concept of interest. In this paper, we review current practices for topic validation in the field and show that extensive model validation is increasingly rare, or at least not systematically reported in papers and appendices. To supplement current practices, we refine an existing crowd-sourcing method by Chang and coauthors for validating topic quality and go on to create new procedures for validating conceptual labels provided by the researcher. We illustrate our method with an analysis of Facebook posts by U.S. Senators and provide software and guidance for researchers wishing to validate their own topic models. While tailored, case-specific validation exercises will always be best, we aim to improve standard practices by providing a general-purpose tool to validate topics as measures.</t>
  </si>
  <si>
    <t>[Ying, Luwei; Montgomery, Jacob M.] Washington Univ, Dept Polit Sci, St Louis, MO 63110 USA; [Stewart, Brandon M.] Princeton Univ, Dept Sociol, Princeton, NJ 08544 USA; [Stewart, Brandon M.] Princeton Univ, Off Populat Res, Princeton, NJ 08544 USA</t>
  </si>
  <si>
    <t>Washington University (WUSTL); Princeton University; Princeton University</t>
  </si>
  <si>
    <t>Ying, LW (corresponding author), Washington Univ, Dept Polit Sci, St Louis, MO 63110 USA.</t>
  </si>
  <si>
    <t>luwei.ying@wustl.edu; jacob.montgomery@wustl.edu; bms4@princeton.edu</t>
  </si>
  <si>
    <t>Ying, Luwei/0000-0001-7307-4834; Montgomery, Jacob/0000-0001-5632-2437</t>
  </si>
  <si>
    <t>Weidenbaum Center on the Economy, Government [1738288]; Eunice Kennedy Shriver National Institute of Child Health &amp; Human Development of the National Institutes of Health [P2CHD047879]</t>
  </si>
  <si>
    <t>Weidenbaum Center on the Economy, Government; Eunice Kennedy Shriver National Institute of Child Health &amp; Human Development of the National Institutes of Health</t>
  </si>
  <si>
    <t>Funding for this project was provided by the Weidenbaum Center on the Economy, Government, andPublic Policy atWashingtonUniversity in St. Louis, theNational Science Foundation RIDIRprogramaward number 1738288 and The Eunice Kennedy Shriver National Institute of Child Health &amp; Human Development of the National Institutes of Health under Award Number P2CHD047879</t>
  </si>
  <si>
    <t>PII S1047198721000334</t>
  </si>
  <si>
    <t>10.1017/pan.2021.33</t>
  </si>
  <si>
    <t>WOS:000778892900001</t>
  </si>
  <si>
    <t>Wasif, R</t>
  </si>
  <si>
    <t>Wasif, Rafeel</t>
  </si>
  <si>
    <t>Does the Media's Anti-Western Bias Affect its Portrayal of NGOs in the Muslim World? Assessing Newspapers in Pakistan</t>
  </si>
  <si>
    <t>Media; Islam; Legitimacy; South Asia; NGOs; Text-as-data</t>
  </si>
  <si>
    <t>CIVIL-SOCIETY; POLITICS; NEWS; LEGITIMACY; NONPROFIT; SENTIMENT; IDENTITY; STATE; ELITE; US</t>
  </si>
  <si>
    <t>The media has a major influence on public opinions and legitimacy for NGOs, which can have a serious impact on the effectiveness of NGOs' programs. However, media biases often affect the framing of media objects. For instance, western countries are often portrayed negatively by the media of the Muslims countries. This anti-western bias is less prevalent in English-language media when compared to the local languages newspapers as the English-language media generally target the elites who often hold less anti-western opinions than the general population. As NGOs are usually considered a western construct in the Muslim world, I test whether the media's sensitivity to its consumers' sentiments extends to the coverage of NGOs by comparing English and local language (Urdu) newspapers in Pakistan. I confirm that Urdu newspapers portray NGOs more negatively than English-language newspapers and are more likely to question NGOs' effectiveness and accountability.</t>
  </si>
  <si>
    <t>[Wasif, Rafeel] Univ Washington, 101 Gowen Hall, Seattle, WA 98195 USA</t>
  </si>
  <si>
    <t>Wasif, R (corresponding author), Univ Washington, 101 Gowen Hall, Seattle, WA 98195 USA.</t>
  </si>
  <si>
    <t>rafeel@uw.edu</t>
  </si>
  <si>
    <t>Wasif, Rafeel/0000-0003-4183-7707</t>
  </si>
  <si>
    <t>Department of Political Science at the University of Washington</t>
  </si>
  <si>
    <t>Earlier drafts of this paper were presented at the 2018 Association for Research on Nonprofit Organizations and Voluntary Action (ARNOVA) and the 2017 International Studies Association (ISA) conferences. Financial support for this research was provided by the Department of Political Science at the University of Washington. I would like to thank Aseem Prakash, John Wilkerson, David Suarez and Yusri Supiyan for their extremely helpful comments.</t>
  </si>
  <si>
    <t>10.1007/s11266-020-00242-5</t>
  </si>
  <si>
    <t>OT8UG</t>
  </si>
  <si>
    <t>WOS:000544142900001</t>
  </si>
  <si>
    <t>Rheault, L; Cochrane, C</t>
  </si>
  <si>
    <t>Rheault, Ludovic; Cochrane, Christopher</t>
  </si>
  <si>
    <t>Word Embeddings for the Analysis of Ideological Placement in Parliamentary Corpora</t>
  </si>
  <si>
    <t>word embeddings; parliamentary corpora; text as data; political ideology; natural language processing</t>
  </si>
  <si>
    <t>POSITIONS; LANGUAGE; PARTIES; TEXT</t>
  </si>
  <si>
    <t>Word embeddings, the coefficients from neural network models predicting the use of words in context, have now become inescapable in applications involving natural language processing. Despite a few studies in political science, the potential of this methodology for the analysis of political texts has yet to be fully uncovered. This paper introduces models of word embeddings augmented with political metadata and trained on large-scale parliamentary corpora from Britain, Canada, and the United States. We fit these models with indicator variables of the party affiliation of members of parliament, which we refer to as party embeddings. We illustrate how these embeddings can be used to produce scaling estimates of ideological placement and other quantities of interest for political research. To validate the methodology, we assess our results against indicators from the Comparative Manifestos Project, surveys of experts, and measures based on roll-call votes. Our findings suggest that party embeddings are successful at capturing latent concepts such as ideology, and the approach provides researchers with an integrated framework for studying political language.</t>
  </si>
  <si>
    <t>[Rheault, Ludovic; Cochrane, Christopher] Univ Toronto, Dept Polit Sci, Toronto, ON, Canada; [Rheault, Ludovic] Univ Toronto, Munk Sch Global Affairs &amp; Publ Policy, Toronto, ON, Canada</t>
  </si>
  <si>
    <t>University of Toronto; University of Toronto</t>
  </si>
  <si>
    <t>Rheault, L (corresponding author), Univ Toronto, Dept Polit Sci, Toronto, ON, Canada.;Rheault, L (corresponding author), Univ Toronto, Munk Sch Global Affairs &amp; Publ Policy, Toronto, ON, Canada.</t>
  </si>
  <si>
    <t>ludovic.rheault@utoronto.ca; christopher.cochrane@utoronto.ca</t>
  </si>
  <si>
    <t>Cochrane, Christopher/0000-0002-0110-5395; Rheault, Ludovic/0000-0002-9599-0427</t>
  </si>
  <si>
    <t>PII S1047198719000263</t>
  </si>
  <si>
    <t>10.1017/pan.2019.26</t>
  </si>
  <si>
    <t>WOS:000500352700006</t>
  </si>
  <si>
    <t>Goodman, SW</t>
  </si>
  <si>
    <t>Goodman, Sara Wallace</t>
  </si>
  <si>
    <t>'Good American citizens': a text-as-data analysis of citizenship manuals for immigrants, 1921-1996</t>
  </si>
  <si>
    <t>Naturalisation; citizenship; United States; immigrants; Americanisation</t>
  </si>
  <si>
    <t>UNITED-STATES; IDENTITY</t>
  </si>
  <si>
    <t>What does it mean to be a 'good American'? Immigrants to the United States have obtained civic knowledge in a variety of ways, including federal textbooks and independent learning, and in different contexts over time, from employer-organised classes to handbooks written by civil society groups. This paper analyses citizenship manuals from one such group - the Daughters of the American Revolution ('D.A.R.') - to trace continuities and changes in definitions of American citizenship over the twentieth century. This paper is the first to make use of these manual archives, which contain over 30 different citizenship manuals, printed between 1921 and 1996. To compare and analyse the corpus of manuals, the paper employs both computer-assisted content analysis through topic modelling and textual interpretation. This approach provides rich descriptive evidence of how American citizenship norms change over a century, the influence of scarcity and war on that identity, as well as the changing role for organisations like the D.A.R. in the civic education of immigrants.</t>
  </si>
  <si>
    <t>[Goodman, Sara Wallace] Univ Calif Irvine, Dept Polit Sci, Irvine, CA 92697 USA</t>
  </si>
  <si>
    <t>Goodman, SW (corresponding author), Univ Calif Irvine, Dept Polit Sci, Irvine, CA 92697 USA.</t>
  </si>
  <si>
    <t>swgood@uci.edu</t>
  </si>
  <si>
    <t>Goodman, Sara/0000-0003-0211-985X</t>
  </si>
  <si>
    <t>10.1080/1369183X.2020.1785852</t>
  </si>
  <si>
    <t>RJ4BA</t>
  </si>
  <si>
    <t>WOS:000549516900001</t>
  </si>
  <si>
    <t>Connelly, MJ; Hicks, R; Jervis, R; Spirling, A; Suong, CH</t>
  </si>
  <si>
    <t>Connelly, Matthew J.; Hicks, Raymond; Jervis, Robert; Spirling, Arthur; Suong, Clara H.</t>
  </si>
  <si>
    <t>Diplomatic documents data for international relations: theFreedom of Information ArchiveDatabase</t>
  </si>
  <si>
    <t>CONFLICT MANAGEMENT AND PEACE SCIENCE</t>
  </si>
  <si>
    <t>Diplomacy; diplomatic communication; historical documents; text-as-data; US foreign policy</t>
  </si>
  <si>
    <t>We introduce the Freedom of Information Archive (FOIArchive) Database, a collection of over 3 million documents about state diplomacy. Substantively, our database focusses on the USA and provides opportunities to analyze previously classified (or publicly unavailable) corpora of internal government documents which include the raw-often full-text of those documents. We also provide within-country diplomatic records for the USA, UK, and Brazil. The full span of the data is 1620-2013, but it is mainly from the twentieth century. Our database allows scholars to view text and associated statistics online and to download and view customized datasets via an application programming interface. We provide extensive metadata about the documents, including the countries and persons they mention, and their topics and classification levels. The metadata includes information we extracted with domain-specific, customized natural language processing tools. To demonstrate the potential of this data, we use it to design and validate a new index for country importance in the context of US foreign policy priorities.</t>
  </si>
  <si>
    <t>[Connelly, Matthew J.; Jervis, Robert] Columbia Univ, New York, NY 10027 USA; [Hicks, Raymond] Columbia Univ, Hist Lab, New York, NY 10027 USA; [Spirling, Arthur] NYU, New York, NY 10012 USA; [Suong, Clara H.] Duke Univ, Dept Polit Sci, Durham, NC 27706 USA</t>
  </si>
  <si>
    <t>Columbia University; Columbia University; New York University; Duke University</t>
  </si>
  <si>
    <t>Spirling, A (corresponding author), NYU, Polit &amp; Data Sci, 19 W 4th St, New York, NY 10012 USA.</t>
  </si>
  <si>
    <t>as9934@nyu.edu</t>
  </si>
  <si>
    <t>Suong, Clara/I-6786-2019</t>
  </si>
  <si>
    <t>Spirling, Arthur/0000-0001-9959-1805; Suong, Clara/0000-0002-0558-5111</t>
  </si>
  <si>
    <t>National Science Foundation [1637108, 1637159]; Arcadia Grant [4082]</t>
  </si>
  <si>
    <t>National Science Foundation(National Science Foundation (NSF)); Arcadia Grant</t>
  </si>
  <si>
    <t>The author disclosed receipt of the following financial support for the research, authorship, and/or publication of this article: grants from the National Science Foundation supported this work (Award Numbers 1637108 and 1637159). Matt Connelly and Raymond Hicks were also supported by Arcadia Grant 4082.</t>
  </si>
  <si>
    <t>0738-8942</t>
  </si>
  <si>
    <t>1549-9219</t>
  </si>
  <si>
    <t>CONFLICT MANAG PEACE</t>
  </si>
  <si>
    <t>Confl. Manage. Peace Sci.</t>
  </si>
  <si>
    <t>10.1177/0738894220930326</t>
  </si>
  <si>
    <t>WN7GL</t>
  </si>
  <si>
    <t>WOS:000547460500001</t>
  </si>
  <si>
    <t>Manchaiah, V; Bennett, RJ; Ratinaud, P; Swanepoel, D</t>
  </si>
  <si>
    <t>Manchaiah, Vinaya; Bennett, Rebecca J.; Ratinaud, Pierre; Swanepoel, De Wet</t>
  </si>
  <si>
    <t>Experiences With Hearing Health Care Services: What Can We Learn From Online Consumer Reviews?</t>
  </si>
  <si>
    <t>PATIENT SATISFACTION; COMMUNICATION</t>
  </si>
  <si>
    <t>Objective: The aim of this study was to examine experiences of hearing health care services as described in online consumer reviews. Design: This study used a cross-sectional design. Online consumer reviews about hearing health care services generated from Google.com to an open-ended question Share details of your own experience at this place and perceived overall experience (indicated on a 5-point rating scale: very good to very poor) were extracted from 40 different cities across the United States. The open text contributed a text corpus of 9,622 unique consumer reviews. These responses were analyzed with the cluster analysis approach using an open-source automated text analysis software program, IRaMuTeQ, to identify key themes. Association between clusters and consumer experience ratings as well as consumer metadata (percentage of older adults in the city, region) were examined using the chi-square analysis. Results: The majority of consumers appeared satisfied with their hearing health care services, with nearly 95% of consumers reporting very good and good on the global experience scale. The analysis of text responses resulted in seven clusters within two domains. Domain 1 (Clinical Processes) included the three clusters: administration processes, perceived benefits, and device acquisition. Domain 2 (Staff and Service Interactions) included the four clusters: clinician communications, staff professionalism, customer service, and provider satisfaction. Content relating to administration processes was associated with overall rating regarding the hearing health care service experience. Consumer's reviews relating to administration processes mostly described negative experiences, and these participants were more inclined to provide poorer overall experience ratings. In addition, city characteristics (i.e., percentage of older adults, region) had bearing toward what elements of hearing health care services are highlighted more in the consumer reviews. Conclusions: Consumers comment on a variety of elements when describing their experiences with hearing health care services. Experiences reported in most clusters were generally positive, although some concerns in the clinical process are associated with lower satisfaction. Employing patient-centered strategies and ensuring patients have good experiences in the areas of concern may help improve both patient experience and their satisfaction.</t>
  </si>
  <si>
    <t>[Manchaiah, Vinaya] Lamar Univ, Dept Speech &amp; Hearing Sci, Beaumont, TX 77710 USA; [Manchaiah, Vinaya] Manipal Acad Higher Educ, Sch Allied Hlth Sci, Dept Speech &amp; Hearing, Manipal, India; [Bennett, Rebecca J.; Swanepoel, De Wet] Ear Sci Inst Australia, Subiaco, WA, Australia; [Bennett, Rebecca J.] Univ Western Australia, Ear Sci Ctr, Sch Surg, Nedlands, WA, Australia; [Ratinaud, Pierre] Univ Toulouse, LERASS Lab, Toulouse, France; [Swanepoel, De Wet] Univ Pretoria, Dept Speech Language Pathol &amp; Audiol, Pretoria, South Africa</t>
  </si>
  <si>
    <t>Texas State University System; Lamar University; Manipal Academy of Higher Education (MAHE); Ear Science Institute Australia; University of Western Australia; Universite de Toulouse; University of Pretoria</t>
  </si>
  <si>
    <t>Manchaiah, V (corresponding author), Lamar Univ, Dept Speech &amp; Hearing Sci, Beaumont, TX 77710 USA.;Manchaiah, V (corresponding author), Manipal Acad Higher Educ, Sch Allied Hlth Sci, Dept Speech &amp; Hearing, Manipal, India.</t>
  </si>
  <si>
    <t>vinaya.manchaiah@lamar.edu</t>
  </si>
  <si>
    <t>; Manchaiah, Vinaya/I-1824-2014</t>
  </si>
  <si>
    <t>Swanepoel, De Wet/0000-0001-8313-1636; Bennett, Rebecca/0000-0001-9427-5539; Manchaiah, Vinaya/0000-0002-1254-8407</t>
  </si>
  <si>
    <t>10.1044/2021_AJA-21-00041</t>
  </si>
  <si>
    <t>WOS:000695223000023</t>
  </si>
  <si>
    <t>Rocklage, MD; Rucker, DD</t>
  </si>
  <si>
    <t>Kardes, FR; Herr, PM; Schwarz, N</t>
  </si>
  <si>
    <t>Rocklage, Matthew D.; Rucker, Derek D.</t>
  </si>
  <si>
    <t>TEXT ANALYSIS IN CONSUMER RESEARCH An Overview and Tutorial</t>
  </si>
  <si>
    <t>HANDBOOK OF RESEARCH METHODS IN CONSUMER PSYCHOLOGY</t>
  </si>
  <si>
    <t>REPRESENTATION; CONCRETENESS; COGNITION; DISTANCE; VALENCE</t>
  </si>
  <si>
    <t>Language saturates the marketplace. We use it to convey meaning and to spread information about products, services, and brands. Marketers use it to position and sell their products, and consumers use it to assess and evaluate them. Although language has long been a part of the lives of consumers, the recent emergence of behavioral traces left online has ushered forth a big data revolution, with incredible opportunities for researchers. Amazon, TripAdvisor, and Yelp alone are repositories for over half a billion reviews, and people send more than 500 million tweets on Twitter per day (Krikorian, 2013). Researchers have taken note. Consumer behavior research now routinely makes use of data that range from hundreds to millions of pieces of text. For example, researchers have used language to understand what is shared and spreads (Berger &amp; Milkman, 2012), what makes for an impactful online review (Moore, 2015), how people attempt to persuade one another (Rocklage, Rucker, &amp; Nordgren, 2018a), and even common themes present across consumer behavior research itself (Wang, Bendle, Mai, &amp; Cotte, 2015). However, these opportunities also bring challenges. How do researchers quantify language in a sensible manner? How are these measures to be validated? Is one approach to linguistic analysis just as good as any other? When should researchers use one technique versus another? Indeed, despite the rapid growth of work utilizing language in the last 10 years, few resources exist to guide researchers on how to integrate language into their projects (but see Humphreys and Wang, 2018, for a recent discussion of automated text analysis). In this chapter, we offer an overview of key methods used to quantify language and their ability to offer insights into consumer behavior. Specifically, we overview three major approaches to text analysis: Manual coding, top-down dictionary-based approaches, and bottom-up data-driven approaches. We explain the basic logic behind each approach and its subdivisions, provide an introductory how-to for each approach, and conclude with a discussion of each approach's pros and cons. Table 21.1 provides a brief summary of the approaches explored in this chapter.</t>
  </si>
  <si>
    <t>[Rocklage, Matthew D.] Northeastern Univ, DAmore McKim Sch Business, Mkt, Boston, MA 02115 USA; [Rucker, Derek D.] Northwestern Univ, Entrepreneurial Studies Mkt Kellogg, Evanston, IL 60208 USA</t>
  </si>
  <si>
    <t>Northeastern University; Northwestern University</t>
  </si>
  <si>
    <t>Rocklage, MD (corresponding author), Northeastern Univ, DAmore McKim Sch Business, Mkt, Boston, MA 02115 USA.</t>
  </si>
  <si>
    <t>ROUTLEDGE</t>
  </si>
  <si>
    <t>2 PARK SQ, MILTON PARK, ABINGDON OX14 4RN, OXFORD, ENGLAND</t>
  </si>
  <si>
    <t>978-0-8153-5298-3; 978-1-351-13771-3; 978-0-8153-5293-8</t>
  </si>
  <si>
    <t>Business; Psychology, Multidisciplinary</t>
  </si>
  <si>
    <t>BO2YJ</t>
  </si>
  <si>
    <t>WOS:000509553400022</t>
  </si>
  <si>
    <t>Kilgour, C; Bogossian, FE; Callaway, L; Gallois, C</t>
  </si>
  <si>
    <t>Kilgour, Catherine; Bogossian, Fiona Elizabeth; Callaway, Leonie; Gallois, Cindy</t>
  </si>
  <si>
    <t>Postnatal gestational diabetes mellitus follow-up: Perspectives of Australian hospital clinicians and general practitioners</t>
  </si>
  <si>
    <t>WOMEN AND BIRTH</t>
  </si>
  <si>
    <t>Gestational diabetes; Postnatal care; Communication theory; Midwives; General practitioners</t>
  </si>
  <si>
    <t>COMMUNICATION; LANGUAGE; HISTORY</t>
  </si>
  <si>
    <t>Problem: The reasons for low postnatal screening rates for women with gestational diabetes mellitus are not well understood. Multiple care providers, settings and changes to diagnostic criteria, may contribute to confusion over postnatal care. Quality of communication between clinicians may be an important influence for the completion of postnatal gestational diabetes mellitus follow-up. Aim: Describe and analyse communication processes between hospital clinicians (midwives, medical, allied staff) and general practitioners who provide postnatal gestational diabetes mellitus care. Methods: Purposive sampling and convergent interviews explored participants' communication experiences providing gestational diabetes mellitus postnatal follow-up. Data were analysed with Leximancer automated content analysis software; interpretation was undertaken using Communication Accommodation Theory. Setting and participants: Clinicians who provided maternity care at a tertiary referral hospital (n = 13) in Queensland, Australia, and general practitioners (n = 16) who provided maternity shared care with that hospital between December 2012 and July 2013. Findings: Thematic analysis identified very different perspectives between the experiences of General Practitioners and hospital clinicians; six themes emerged. General practitioners were concerned about themes relating to discharge summaries and follow-up guidelines. In contrast, hospital clinicians were more concerned about themes relating to gestational diabetes mellitus antenatal care and specialist clinics. Two themes, gestational diabetes mellitus women and postnatal checks were shared. Conclusion: Gestational diabetes mellitus follow-up is characterised by communication where general practitioners appear to be information seekers whose communication needs are not met by hospital clinicians. Midwives are ideally placed to assist in improving communication and postnatal gestational diabetes mellitus follow-up. (c) 2018 Australian College of Midwives. Published by Elsevier Ltd. All rights reserved.</t>
  </si>
  <si>
    <t>[Kilgour, Catherine; Bogossian, Fiona Elizabeth; Callaway, Leonie; Gallois, Cindy] Univ Queensland, Brisbane, Qld, Australia; [Kilgour, Catherine; Callaway, Leonie] Royal Brisbane &amp; Womens Hosp, Brisbane, Qld, Australia</t>
  </si>
  <si>
    <t>University of Queensland; Royal Brisbane &amp; Women's Hospital</t>
  </si>
  <si>
    <t>Kilgour, C (corresponding author), Level 3,Chamberlain Bldg, St Lucia, Qld 4072, Australia.</t>
  </si>
  <si>
    <t>c.kilgour@uq.edu.au; f.bogossian@uq.edu.au; l.callaway@uq.edu.au; c.gallois@uq.edu.au</t>
  </si>
  <si>
    <t>Gallois, Cindy/F-9546-2014; Bogossian, Fiona/F-2273-2010</t>
  </si>
  <si>
    <t>Gallois, Cindy/0000-0002-7938-7839; Bogossian, Fiona/0000-0001-9909-5852; Callaway, Leonie/0000-0002-0137-9935</t>
  </si>
  <si>
    <t>Australian Postgraduate Award</t>
  </si>
  <si>
    <t>Australian Postgraduate Award(Australian Government)</t>
  </si>
  <si>
    <t>This research is part of CMK's PhD candidature, made possible with funding from an Australian Postgraduate Award.</t>
  </si>
  <si>
    <t>1871-5192</t>
  </si>
  <si>
    <t>1878-1799</t>
  </si>
  <si>
    <t>WOMEN BIRTH</t>
  </si>
  <si>
    <t>Women Birth</t>
  </si>
  <si>
    <t>E24</t>
  </si>
  <si>
    <t>E33</t>
  </si>
  <si>
    <t>10.1016/j.wombi.2018.04.011</t>
  </si>
  <si>
    <t>Nursing; Obstetrics &amp; Gynecology</t>
  </si>
  <si>
    <t>HH4HB</t>
  </si>
  <si>
    <t>WOS:000455681800004</t>
  </si>
  <si>
    <t>Walter, S; Brueggemann, M</t>
  </si>
  <si>
    <t>Walter, Stefanie; Brueggemann, Michael</t>
  </si>
  <si>
    <t>Opportunity makes opinion leaders: analyzing the role of first-hand information in opinion leadership in social media networks</t>
  </si>
  <si>
    <t>Communication studies; social media; opinion leadership; social networking; climate change; Twitter</t>
  </si>
  <si>
    <t>CLIMATE-CHANGE; TWITTER; COMMUNICATION; POLITICS; FLOW; INFLUENTIALS; JOURNALISTS; SCIENCE; TOOL</t>
  </si>
  <si>
    <t>Theorizing information flows is at the heart of traditional communication theories such as the two-step flow of communication and the concept of opinion leadership. Social media have fundamentally altered how information reaches people. This study examines opinion leadership in social media networks and argues that opinion leaders may no longer need to rely on information provided by the media if they have access to first-hand information. To test this assumption empirically, we used data from the 2015 United Nations Climate Change Conference (COP21). Attendees of the conference had direct information about what was happening, which they were able to share live with their followers via social media. We used geo-located tweets to identify Twitter users who attended the COP21 summit. We then located these users in a data set of tweets that were collected based on the main conference hashtag (#COP21) and represent the wider social media debate on the conference. Our results, which are based on network analysis measures and Twitter user data, show that COP21 participants were more central actors compared to the average user in the network, and that they were more likely to have brokering positions. They were also more involved in the debate and received more attention from other users. We used automated content analysis to divide COP21 participants into different actor types and performed the analysis by actor group. The results show only minor differences across the actors and support the robustness of our analysis.</t>
  </si>
  <si>
    <t>[Walter, Stefanie; Brueggemann, Michael] Univ Hamburg, Inst Journalism &amp; Commun Sci, Allende Pl 1, D-20146 Hamburg, Germany</t>
  </si>
  <si>
    <t>Walter, S (corresponding author), Univ Hamburg, Inst Journalism &amp; Commun Sci, Allende Pl 1, D-20146 Hamburg, Germany.</t>
  </si>
  <si>
    <t>Stefanie.Walter@uni-hamburg.de</t>
  </si>
  <si>
    <t>10.1080/1369118X.2018.1500622</t>
  </si>
  <si>
    <t>KA6DF</t>
  </si>
  <si>
    <t>WOS:000505886800007</t>
  </si>
  <si>
    <t>Gasevic, D; Kovanovic, V; Joksimovic, S; Siemens, G</t>
  </si>
  <si>
    <t>Gasevic, Dragan; Kovanovic, Vitomir; Joksimovic, Srecko; Siemens, George</t>
  </si>
  <si>
    <t>Where is Research on Massive Open Online Courses Headed? A Data Analysis of the MOOC Research Initiative</t>
  </si>
  <si>
    <t>INTERNATIONAL REVIEW OF RESEARCH IN OPEN AND DISTRIBUTED LEARNING</t>
  </si>
  <si>
    <t>Massive online open courses; MOOC; content analysis; MOOC research analysis; MOOC Research Initiative; education research</t>
  </si>
  <si>
    <t>SOCIAL NETWORK ANALYSIS; DISTANCE EDUCATION; MEDIA; COMMUNITY</t>
  </si>
  <si>
    <t>This paper reports on the results of an analysis of the research proposals submitted to the MOOC Research Initiative (MRI) funded by the Gates Foundation and administered by Athabasca University. The goal of MRI was to mobilize researchers to engage into critical interrogation of MOOCs. The submissions - 266 in Phase 1, out of which 78 was recommended for resubmission in the extended form in Phase 2, and finally, 28 funded - were analyzed by applying conventional and automated content analysis methods as well as citation network analysis methods. The results revealed the main research themes that could form a framework of the future MOOC research: i) student engagement and learning success, ii) MOOC design and curriculum, iii) self-regulated learning and social learning, iv) social network analysis and networked learning, and v) motivation, attitude and success criteria. The theme of social learning received the greatest interest and had the highest success in attracting funding. The submissions that planned on using learning analytics methods were more successful. The use of mixed methods was by far the most popular. Design-based research methods were also suggested commonly, but the questions about their applicability arose regarding the feasibility to perform multiple iterations in the MOOC context and rather a limited focus on technological support for interventions. The submissions were dominated by the researchers from the field of education (75% of the accepted proposals). Not only was this a possible cause of a complete lack of success of the educational technology innovation theme, but it could be a worrying sign of the fragmentation in the research community and the need to increased efforts towards enhancing interdisciplinarity.</t>
  </si>
  <si>
    <t>[Gasevic, Dragan; Kovanovic, Vitomir; Joksimovic, Srecko] Athabasca Univ, Athabasca, AB, Canada; [Kovanovic, Vitomir; Joksimovic, Srecko] Simon Fraser Univ, Burnaby, BC V5A 1S6, Canada; [Siemens, George] Univ Texas Arlington, Arlington, TX USA</t>
  </si>
  <si>
    <t>Athabasca University; Simon Fraser University; University of Texas System; University of Texas Arlington</t>
  </si>
  <si>
    <t>Gasevic, D (corresponding author), Athabasca Univ, Athabasca, AB, Canada.</t>
  </si>
  <si>
    <t>Kovanovic, Vitomir/F-5862-2017; Joksimovic, Srecko/R-3093-2019; Gasevic, Dragan/AAT-3909-2020; Siemens, George/E-9682-2019</t>
  </si>
  <si>
    <t>Kovanovic, Vitomir/0000-0001-9694-6033; Joksimovic, Srecko/0000-0001-6999-3547; Gasevic, Dragan/0000-0001-9265-1908; Siemens, George/0000-0002-9567-9794</t>
  </si>
  <si>
    <t>ATHABASCA UNIV PRESS</t>
  </si>
  <si>
    <t>ATHABASCA</t>
  </si>
  <si>
    <t>1 UNIVERSITY DR, ATHABASCA, AB T9S 3A3, CANADA</t>
  </si>
  <si>
    <t>1492-3831</t>
  </si>
  <si>
    <t>INT REV RES OPEN DIS</t>
  </si>
  <si>
    <t>Int. Rev. Res. Open Distrib. Learn.</t>
  </si>
  <si>
    <t>AY5QO</t>
  </si>
  <si>
    <t>WOS:000347627100006</t>
  </si>
  <si>
    <t>Kim, K; Gibson, LA; Williams, S; Kim, Y; Binns, S; Emery, SL; Hornik, RC</t>
  </si>
  <si>
    <t>Kim, Kwanho; Gibson, Laura A.; Williams, Sharon; Kim, Yoonsang; Binns, Steven; Emery, Sherry L.; Hornik, Robert C.</t>
  </si>
  <si>
    <t>Valence of Media Coverage About Electronic Cigarettes and Other Tobacco Products From 2014 to 2017: Evidence From Automated Content Analysis</t>
  </si>
  <si>
    <t>NICOTINE &amp; TOBACCO RESEARCH</t>
  </si>
  <si>
    <t>NEWSPAPER COVERAGE; TWITTER; NEWS; ATTITUDES; POLICIES; ISSUES</t>
  </si>
  <si>
    <t>Introduction: As media exposure can influence people's opinions and perceptions about vaping and smoking, analyzing the valence of media content about tobacco products (ie, overall attitude toward tobacco, cigars, electronic cigarettes, etc.) is an important issue. This study advances the field by analyzing a large amount of media content about multiple tobacco products across six different media sources. Aims and Methods: From May 2014 to December 2017, we collected all English-language media items about tobacco products that U.S. young people might see from mass media and websites (long-form) and social media (Twitter and YouTube). We used supervised machine learning to develop validated algorithms to label the valence of these media items. Using the labeled results, we examined the impact of product type (e-cigarettes vs. other tobacco products), source (long-form vs. social media), and time (by month) on the valence of coverage. Results: We obtained 152 886 long-form media texts (20% with more than a passing mention), nearly 86 million tweets, and 12 262 YouTube videos about tobacco products. Most long-form media content opposed, while most social media coverage supported, the use of e-cigarettes and other tobacco products. Over time, within-source valence proportions were stable, though in aggregate, the amount of media coverage against the use of tobacco products decreased. Conclusions: This study describes the U.S. public communication environment about vaping and smoking for young people and offers a novel big data approach to analyzing media content. Results suggest that content has gradually become less negative toward the use of e-cigarettes and other tobacco products.</t>
  </si>
  <si>
    <t>[Kim, Kwanho; Gibson, Laura A.; Williams, Sharon; Hornik, Robert C.] Univ Penn, Annenberg Sch Commun, 3620 Walnut St, Philadelphia, PA 19104 USA; [Kim, Yoonsang; Binns, Steven; Emery, Sherry L.] Univ Chicago, NORC, Chicago, IL 60637 USA; [Gibson, Laura A.] Univ Penn, Perelman Sch Med, Philadelphia, PA 19104 USA</t>
  </si>
  <si>
    <t>University of Pennsylvania; University of Chicago; University of Pennsylvania</t>
  </si>
  <si>
    <t>Kim, K (corresponding author), Univ Penn, Annenberg Sch Commun, 3620 Walnut St, Philadelphia, PA 19104 USA.</t>
  </si>
  <si>
    <t>kwanho.kim@asc.upenn.edu</t>
  </si>
  <si>
    <t>Binns, Steven/0000-0001-8573-107X; Gibson, Laura/0000-0002-9651-4131; Hornik, Robert/0000-0002-2148-8805</t>
  </si>
  <si>
    <t>National Cancer Institute (NCI) of the National Institutes of Health (NIH) [P50-CA179546]; Food and Drug Administration (FDA) Center for Tobacco Products [P50-CA179546]</t>
  </si>
  <si>
    <t>National Cancer Institute (NCI) of the National Institutes of Health (NIH)(United States Department of Health &amp; Human ServicesNational Institutes of Health (NIH) - USANIH National Cancer Institute (NCI)); Food and Drug Administration (FDA) Center for Tobacco Products</t>
  </si>
  <si>
    <t>This work was supported by the National Cancer Institute (NCI) of the National Institutes of Health (NIH) and Food and Drug Administration (FDA) Center for Tobacco Products under award number P50-CA179546. The content is solely the responsibility of the authors and does not necessarily represent the official views of the NIH or the FDA.</t>
  </si>
  <si>
    <t>1462-2203</t>
  </si>
  <si>
    <t>1469-994X</t>
  </si>
  <si>
    <t>NICOTINE TOB RES</t>
  </si>
  <si>
    <t>Nicotine Tob. Res.</t>
  </si>
  <si>
    <t>10.1093/ntr/ntaa090</t>
  </si>
  <si>
    <t>Substance Abuse; Public, Environmental &amp; Occupational Health</t>
  </si>
  <si>
    <t>PP7UE</t>
  </si>
  <si>
    <t>WOS:000606062400027</t>
  </si>
  <si>
    <t>Nanne, AJ; Antheunis, ML; van der Lee, CG; Postma, EO; Wubben, S; van Noort, G</t>
  </si>
  <si>
    <t>Nanne, Annemarie J.; Antheunis, Marjolijn L.; van der Lee, Chris G.; Postma, Eric O.; Wubben, Sander; van Noort, Guda</t>
  </si>
  <si>
    <t>The Use of Computer Vision to Analyze Brand-Related User Generated Image Content</t>
  </si>
  <si>
    <t>Visual brand-related UGC; Computer vision; Pre-trained computer vision; Image mining; Automated content analysis</t>
  </si>
  <si>
    <t>SOCIAL MEDIA; CONSUMERS; EWOM</t>
  </si>
  <si>
    <t>With the increasing popularity of visual-oriented social media platforms, the prevalence of visual brand-related User Generated Content (UGC) have increased. Monitoring such content is important as this visual brand-related UGC can have a large influence on a brand's image and hence provides useful opportunities to observe brand performance (e.g., monitoring trends and consumer segments). The current research discusses the application of computer vision for marketing practitioners and researchers and examines the usability of three different pre-trained ready-to-use computer vision models (i.e., YOLOV2, Google Cloud Vision, and Clarifai) to analyze visual brand-related UGC automatically. A 3-step approach was adopted in which 1) a database of 21,738 Instagram pictures related to 24 different brands was constructed, 2) the images were processed by the three different computer vision models, and 3) a label evaluation procedure was conducted with a sample of the labels (object names) outputted by the models. The results of the label evaluation procedure are quantitatively assessed and complemented with four concrete examples of how the output of computer vision can be used to analyze visual brand-related UGC. Results show that computer vision can yield various marketing insights. Moreover, we found that the three tested computer vision models differ in applicability. Google Cloud Vision is more accurate in object detection, whereas Clarifai provides more useful labels to interpret the portrayal of a brand. YOLOV2 did not prove to be useful to analyze visual brand-related UGC. Results and implications of the findings for marketers and marketing scholars will be discussed. (C) 2019 Direct Marketing Educational Foundation, Inc. dba Marketing EDGE. All rights reserved.</t>
  </si>
  <si>
    <t>[Nanne, Annemarie J.; Antheunis, Marjolijn L.; van der Lee, Chris G.; Wubben, Sander] Tilburg Univ, Tilburg Ctr Cognit &amp; Commun, Tilburg Sch Humanities &amp; Digital Sci, Dept Commun &amp; Cognit, Tilburg, Netherlands; [Postma, Eric O.] Tilburg Univ, Tilburg Sch Humanities &amp; Digital Sci, Dept Cognit Sci &amp; Artificial Intelligence, Tilburg, Netherlands; [van Noort, Guda] Univ Amsterdam, Fac Social &amp; Behav Sci, Amsterdam Sch Commun Res, Amsterdam, Netherlands</t>
  </si>
  <si>
    <t>Tilburg University; Tilburg University; University of Amsterdam</t>
  </si>
  <si>
    <t>Nanne, AJ (corresponding author), Warandelaan 2, NL-5037 AB Tilburg, Netherlands.</t>
  </si>
  <si>
    <t>a.j.nanne@uvt.nl</t>
  </si>
  <si>
    <t>van Noort, Guda/0000-0002-6314-1455; Nanne, Annemarie/0000-0001-7094-6502</t>
  </si>
  <si>
    <t>10.1016/j.intmar.2019.09.003</t>
  </si>
  <si>
    <t>LR8HL</t>
  </si>
  <si>
    <t>WOS:000535937100010</t>
  </si>
  <si>
    <t>Joshi, AM; Hemmatian, I</t>
  </si>
  <si>
    <t>Joshi, Amol M.; Hemmatian, Iman</t>
  </si>
  <si>
    <t>How do legal surprises drive organizational attention and case resolution? An analysis of false patent marking lawsuits</t>
  </si>
  <si>
    <t>RESEARCH POLICY</t>
  </si>
  <si>
    <t>Attention; Patents; Litigation; Intellectual property rights (IPRs); Innovation policy</t>
  </si>
  <si>
    <t>NARRATIVE PERSPECTIVE; STRATEGIC SURPRISE; TEMPORAL FOCUS; LITIGATION; INNOVATION; SENSEMAKING; SETTLEMENT; TIME; US; NEGOTIATION</t>
  </si>
  <si>
    <t>Legal surprises are unexpected suits or actions in which plaintiffs rely on claims or precedents that may be obscure, unfamiliar, or unknown to the defendants. Our study explores false patent marking suits, a unique type of patent-related legal surprise involving allegations of defendants marking products with ineligible patent numbers to deceive customers and/or deter competitors. An abrupt shift in U.S. Federal Courts' interpretation of intellectual property rights (IPRs) policy amplified plaintiff incentives for filing these suits while escalating defendant penalties for proven violations. Handling costly legal surprises such as false patent marking suits requires focused attention from managers. Our core premise is that temporal and evidential cues in the timelines and storylines of plaintiffs' legal narratives in surprise suits attract defendants' organizational attention. We hypo thesize about temporal focus (past, present, and future) and evidentiary reasoning (relevance, credibility, and inferential power) as attention cues and possible predictors of the mode (litigation or negotiation) and timing of case resolution. We apply automated content analysis to official court records for 992 false patent marking cases (2009-2011) and quantify competing risks using hazard models. We find that differences in temporal focus and evidentiary reasoning in the legal narratives of surprise suits are significant predictors of case resolution mode and timing. We also find that defendants countersuing to redirect plaintiffs' attention is an effective negotiating tactic. We discuss the economic significance and strategic implications of our empirical findings on legal surprises, attention, case resolution mode and timing, and the unintended consequences of IPR policy changes.</t>
  </si>
  <si>
    <t>[Joshi, Amol M.; Hemmatian, Iman] Oregon State Univ, Coll Business, 443 Austin Hall, Corvallis, OR 97331 USA</t>
  </si>
  <si>
    <t>Oregon State University</t>
  </si>
  <si>
    <t>Joshi, AM (corresponding author), Oregon State Univ, Coll Business, 443 Austin Hall, Corvallis, OR 97331 USA.</t>
  </si>
  <si>
    <t>amol.joshi@oregonstate.edu; iman.hemmatian@oregonstate.edu</t>
  </si>
  <si>
    <t>Joshi, Amol M/C-8433-2013</t>
  </si>
  <si>
    <t>Joshi, Amol M/0000-0002-3023-6749; Hemmatian, Iman/0000-0003-4607-0656</t>
  </si>
  <si>
    <t>Ewing Marion Kauffman Foundation</t>
  </si>
  <si>
    <t>We thank the editor Maryann Feldman and three anonymous reviewers for their constructive feedback throughout the review process. This research is funded in part by a grant from the Ewing Marion Kauffman Foundation. The authors are solely responsible for the content of this document. We thank DocketNavigator for providing access to patent litigation research tools. We also thank the law firms of Foley &amp; Lardner LLP and McDonnell Boehnen Hulbert &amp; Berghoff LLP for making historical data available for use in this study. We presented earlier versions of our work at the Strategic Management Society (SMS) Conference, and seminars at the University of Hawaii's Shidler College of Business and William S. Richardson School of Law, and at Oregon State University's College of Business. We are grateful to the following colleagues and seminar participants for providing helpful comments during the development of this research: David Antons, Jonathan Arthurs, Rich Bettis, Jiyao Chen, Todd Inouye, Charles Murnieks, Don Neubaum, Nandini Lahiri, Mooweon Rhee, Jim Richardson, Jeffrey Robinson, Frank Rothaermel, Torsten Oliver Salge, and Alex Vestal.</t>
  </si>
  <si>
    <t>0048-7333</t>
  </si>
  <si>
    <t>1873-7625</t>
  </si>
  <si>
    <t>RES POLICY</t>
  </si>
  <si>
    <t>Res. Policy</t>
  </si>
  <si>
    <t>10.1016/j.respol.2018.06.007</t>
  </si>
  <si>
    <t>GZ1LC</t>
  </si>
  <si>
    <t>WOS:000449128600020</t>
  </si>
  <si>
    <t>Aggregated, voluntary, and mandatory risk disclosure incentives: Evidence from UK FTSE all-share companies</t>
  </si>
  <si>
    <t>INTERNATIONAL REVIEW OF FINANCIAL ANALYSIS</t>
  </si>
  <si>
    <t>Aggregated; Voluntary; Mandatory risk disclosures; Automated content analysis; LMM; High- and low-risk firms</t>
  </si>
  <si>
    <t>CORPORATE ANNUAL-REPORTS; SYSTEMATIC-RISK; INFORMATION ASYMMETRY; FINANCIAL DISCLOSURE; INTERNAL CONTROL; CAPITAL-MARKETS; ASSOCIATION; DETERMINANTS; GOVERNANCE; FIRM</t>
  </si>
  <si>
    <t>This paper investigates the impact of corporate risk levels on aggregated, voluntary and mandatory risk disclosures in the annual report narratives of UK non-financial listed companies. We find that firms characterised by higher levels of systematic, financing risks and risk-adjusted returns and those with lower levels of stock return variability are likely to exhibit significantly higher levels of aggregated and voluntary risk disclosures. The results also show that firms of large size, high dividend-yield, high board independence, low (high) insider (outsider) ownership, and effective audit environments are likely to exhibit higher levels of aggregated and voluntary risk disclosures than other firms. Similarly, mandatory risk disclosures are influenced positively by firm size, dividend-yield and board independence and negatively by high leverage. The results suggest that managers of firms exhibiting greater compliance with mandatory regulations have a greater propensity to make voluntary risk disclosures. When we distinguish between high- and low-risk firms, we find that high-risk firms appear to be more sensitive to underlying risk levels, resulting in more disclosure of both voluntary and mandatory risk information than in the case of low-risk firms. The results generally support the present UK emphasis on encouraging rather than mandating risk disclosure. Nevertheless, under this regime, the voluntary risk disclosures of some firms, e.g., those characterised by higher-volatility market returns, do not reflect their underlying risk levels. (C) 2013 Elsevier Inc. All rights reserved.</t>
  </si>
  <si>
    <t>[Elshandidy, Tamer] Univ Bristol, Bristol BS8 1TN, Avon, England; [Fraser, Ian] Univ Stirling, Stirling FK9 4LA, Scotland; [Hussainey, Khaled] Univ Plymouth, Plymouth PL4 8AA, Devon, England; [Hussainey, Khaled] Ain Shams Univ, Cairo, Egypt</t>
  </si>
  <si>
    <t>University of Bristol; University of Stirling; University of Plymouth; Egyptian Knowledge Bank (EKB); Ain Shams University</t>
  </si>
  <si>
    <t>1057-5219</t>
  </si>
  <si>
    <t>1873-8079</t>
  </si>
  <si>
    <t>INT REV FINANC ANAL</t>
  </si>
  <si>
    <t>Int. Rev. Financ. Anal.</t>
  </si>
  <si>
    <t>10.1016/j.irfa.2013.07.010</t>
  </si>
  <si>
    <t>285SQ</t>
  </si>
  <si>
    <t>WOS:000329415700030</t>
  </si>
  <si>
    <t>Postnatal gestational diabetes mellitus follow-up: Australian women's experiences</t>
  </si>
  <si>
    <t>Gestational diabetes; Postnatal; GDM women; Communication accommodation; Maternity care</t>
  </si>
  <si>
    <t>COMMUNICATION; INFORMATION; PHYSICIANS; LANGUAGE; HISTORY; IMPACT</t>
  </si>
  <si>
    <t>Problem: Postnatal follow-up screening is recommended for all women diagnosed with gestational diabetes mellitus (GDM). However follow-up rates are poor and highly variable in Australia and internationally. The reasons that mothers are not completing recommended postnatal screening after GDM diagnosis are not well understood or studied. The quality of communication may be an important influence on the completion of postnatal GDM follow-up. Aim: To explore and assess women's communication experiences of postnatal GDM follow-up. Methods: Theoretical, purposeful sampling was used to identify women diagnosed with GDM. Convergent interviews explored participants' communication experiences with GDM and postnatal follow-up. Transcripts were provided to and updated by participants. Data was analysed with Leximancer (R) (V4, 2011) automated content analysis software. Setting and participants: This research was conducted at a major tertiary referral hospital in Queensland, Australia, between December 2012 and July 2013. Women participating in maternity shared care and diagnosed with GDM were interviewed (n = 13). Findings: Five themes, all concerned with obtaining information, were identified: diagnosis of GDM; seeking GDM information; accessing specialist services; need for postnatal GDM follow-up; and completing GDM follow-up. Results were interpreted using Communication Accommodation Theory (CAT) to explore whether and how the information needs of women were accommodated. Women's interpretations of communication events influenced their knowledge, perceptions and motivation to complete recommended postnatal follow-up. Conclusion: Accommodation of the communication and information needs of women with GDM may be an effective strategy for clinicians to encourage completion of recommended postnatal GDM follow-up. (C) 2015 Australian College of Midwives. Published by Elsevier Australia (a division of Reed International Books Australia Pty Ltd). All rights reserved.</t>
  </si>
  <si>
    <t>[Kilgour, Catherine; Callaway, Leonie] Univ Queensland, Sch Med, Brisbane, Qld 4029, Australia; [Kilgour, Catherine; Bogossian, Fiona Elizabeth] Univ Queensland, Sch Nursing Midwifery &amp; Social Work, Brisbane, Qld 4029, Australia; [Callaway, Leonie] Royal Brisbane &amp; Womens Hosp, Obstet &amp; Internal Med, Herston, Qld, Australia; [Gallois, Cindy] Univ Queensland, Fac Hlth &amp; Behav Sci, Sch Psychol, Brisbane, Qld 4029, Australia</t>
  </si>
  <si>
    <t>University of Queensland; University of Queensland; Royal Brisbane &amp; Women's Hospital; University of Queensland</t>
  </si>
  <si>
    <t>Kilgour, C (corresponding author), Univ Queensland, Sch Med, Level 9,Hlth Sci Bldg, Brisbane, Qld 4029, Australia.</t>
  </si>
  <si>
    <t>c.kilgour@uq.edu.au; f.Bogossian@uq.edu.au; l.callaway@uq.edu.au; Gallois@uq.edu.au</t>
  </si>
  <si>
    <t>Bogossian, Fiona E/F-2273-2010; Gallois, Cindy/F-9546-2014</t>
  </si>
  <si>
    <t>Bogossian, Fiona E/0000-0001-9909-5852; Gallois, Cindy/0000-0002-7938-7839; Callaway, Leonie/0000-0002-0137-9935</t>
  </si>
  <si>
    <t>10.1016/j.wombi.2015.06.004</t>
  </si>
  <si>
    <t>CW7DP</t>
  </si>
  <si>
    <t>WOS:000365158500015</t>
  </si>
  <si>
    <t>Yadav, H; Kar, AK; Kashiramka, S</t>
  </si>
  <si>
    <t>Yadav, Hitesha; Kar, Arpan Kumar; Kashiramka, Smita</t>
  </si>
  <si>
    <t>How does entrepreneurial orientation and SDG orientation of CEOs evolve before and during a pandemic</t>
  </si>
  <si>
    <t>COVID-19; Pandemic; Sustainable development goals; Entrepreneurial orientation; Social media; Big data analytics; Firm performance</t>
  </si>
  <si>
    <t>AUTOMATED CONTENT-ANALYSIS; SOCIAL MEDIA; ATTRIBUTION THEORY; USE TWITTER; SUSTAINABILITY; FIRM; ENGAGEMENT; SENTIMENT; CONSTRUCT; IMPACT</t>
  </si>
  <si>
    <t>Purpose Aligning business innovation with the sustainable development goals (SDGs) creates immense opportunities to solve societal challenges along with business growth and productivity. This study aims to understand the evolution of Fortune firms' strategic addressing of SDG on social media as a step towards post-pandemic recovery. Using attribution theory as a theoretical lens, the authors try to investigate how entrepreneurial orientation (EO) and SDG orientation evolve with the crisis and affect the appreciation and advocacy of the SDG-related posts. Design/methodology/approach A mixed methodology of machine learning and Social media analytics such as content analysis, sentiment analysis and space-time analysis have been used, followed by multivariate analysis to validate the findings. Findings An evolution in CEOs' strategic focus surrounding SDG dimensions was found, from economic in pre-pandemic phase to social and environment during the pandemic. The SDG disclosure on social media by the Fortune CEOs seems to have an influence on their social media reputation, whereas EO has no impact on social media reputation. Research limitations/implications Wise practice of EO in information diffusion by CEOs on social media may lead to a healthy relationship with the stakeholders and better firm performance. The SDG adoption at organisation level contributes towards a sustainable society and helps tackling the challenges faced during the pandemic. Originality/value This study analyses the contribution of the Fortune firms to achieve a sustainable society in a pandemic environment by strategic adoption of SDGs and effective use of digital platforms.</t>
  </si>
  <si>
    <t>[Yadav, Hitesha; Kar, Arpan Kumar; Kashiramka, Smita] Indian Inst Technol Delhi, Dept Management Studies, New Delhi, India</t>
  </si>
  <si>
    <t>Indian Institute of Technology System (IIT System); Indian Institute of Technology (IIT) - Delhi</t>
  </si>
  <si>
    <t>Yadav, H (corresponding author), Indian Inst Technol Delhi, Dept Management Studies, New Delhi, India.</t>
  </si>
  <si>
    <t>hitesha1902@gmail.com</t>
  </si>
  <si>
    <t>Kar, Arpan Kumar/B-9999-2009</t>
  </si>
  <si>
    <t>Kar, Arpan Kumar/0000-0003-4186-4887; Yadav, Hitesha/0000-0001-9948-4436</t>
  </si>
  <si>
    <t>FEB 18</t>
  </si>
  <si>
    <t>10.1108/JEIM-03-2021-0149</t>
  </si>
  <si>
    <t>ZH2CP</t>
  </si>
  <si>
    <t>WOS:000700442000001</t>
  </si>
  <si>
    <t>Hoerner, JM</t>
  </si>
  <si>
    <t>Hoerner, Julian M.</t>
  </si>
  <si>
    <t>Adding Fuel to the Flames? Politicisation of EU Policy Evaluation in National Parliaments</t>
  </si>
  <si>
    <t>EU policies; Legislative studies; European Union; Democratic deficit; Euroscepticism</t>
  </si>
  <si>
    <t>EUROPEAN-UNION; DEMOCRATIC DEFICIT; INTEGRATION; STATE; ACCOUNTABILITY; GOVERNANCE; QUESTIONS; SCRUTINY</t>
  </si>
  <si>
    <t>Under which conditions does national parliamentary discourse politicise European Union (EU) policy evaluation? In times of multiple crises and uncertainty, the alleged 'democratic deficit &amp; apos; of the EU, defined as an apparent lack of legitimacy, has regained scholarly and popular attention. The European Commission and academic commentators consider policy evaluation a specialised and targeted tool to improve the 'output legitimacy &amp; apos; of the EU by assessing policy effectiveness and efficiency. While evaluation can strengthen output legitimacy directly via learning, evaluation can be particularly effective when it becomes part of the national communicative discourse on the EU. This discourse is most likely to take place in national parliaments, as they are the forums in which the government can be held to account. This paper relies on an automated content analysis of the share of keywords related to EU policy evaluation in debates in six national parliaments, covering a period of 20 years. The findings show that the combination of popular and party Euroscepticism is crucial in determining parliamentary debate on EU policy evaluation. Pro-European parties generally do not refer to policy evaluation. However, if political parties are critical of European integration, EU policy evaluation is mentioned more frequently. Under these conditions, members of parliaments also refer more frequently to EU policy evaluation as the public becomes more Eurosceptic. These findings suggest that EU policy evaluation is used as a tool for domestic political contestation, with potential negative normative implications for the output legitimacy of the EU and for evaluation as a tool for learning.</t>
  </si>
  <si>
    <t>j.m.hoerner@lse.ac.uk</t>
  </si>
  <si>
    <t>Hoerner, Julian M/ABE-8423-2021</t>
  </si>
  <si>
    <t>10.1007/s11615-019-00213-6</t>
  </si>
  <si>
    <t>KI9OD</t>
  </si>
  <si>
    <t>WOS:000511685900008</t>
  </si>
  <si>
    <t>Wavrek, M; Heberling, JM; Fei, SL; Kalisz, S</t>
  </si>
  <si>
    <t>Wavrek, Mia; Heberling, J. Mason; Fei, Songlin; Kalisz, Susan</t>
  </si>
  <si>
    <t>Herbaceous invaders in temperate forests: a systematic review of their ecology and proposed mechanisms of invasion</t>
  </si>
  <si>
    <t>BIOLOGICAL INVASIONS</t>
  </si>
  <si>
    <t>Herbaceous temperate forest invaders; Functional traits; Invasion mechanisms; Systematic review; Automated content analysis; Eastern North America; East Asia</t>
  </si>
  <si>
    <t>EXOTIC PLANT INVASIONS; TAXONOMIC HOMOGENIZATION; SPECIES-DIVERSITY; BIOTIC RESISTANCE; NATURAL ENEMIES; COMMUNITIES; NITROGEN; EVOLUTION; LAYER; BIODIVERSITY</t>
  </si>
  <si>
    <t>We present a systematic literature review of exotic understory forest herbaceous invasions with a focus on the forests of East Asia (EAS) and Eastern North America (ENA), two dominant regions of the north temperate deciduous forest biome. We examined the biogeographic origins of herbaceous invaders in EAS and ENA forests, summarized their life histories and ecology, and compiled the relevant literature on the 10 leading mechanistic hypotheses proposed for these invasions. We asked whether invasions of EAS and ENA forests by herbs are shared between regions, and whether a common suite of ecological traits unite these invaders into a functionally distinct group. In a focused summary of the empirical literature, we investigated if leading hypothesized mechanisms for biological invasions at large are also invoked and supported for this ecologically important, but relatively understudied, group of species. In contrast to ENA, forest invaders in EAS are overwhelmingly herbaceous (78% of forest invasions vs. 34% for ENA) and originate from different regions. Plant families represented and species traits between regions differed. Within a single species, multiple invasion mechanisms were often supported, highlighting the need for future research that simultaneously investigates multiple mechanistic hypotheses. Further, because results for a single invader often differed across space and time, a shift in focus to incorporate the complex dynamics across temporal and spatial scales with the consideration of spatial heterogeneity and the interplays among natural and anthropogenic factors to study exotic invasions is needed.</t>
  </si>
  <si>
    <t>[Wavrek, Mia; Heberling, J. Mason; Kalisz, Susan] Univ Tennessee, Dept Ecol &amp; Evolutionary Biol, Knoxville, TN 37919 USA; [Heberling, J. Mason; Kalisz, Susan] Carnegie Museum Nat Hist, Sect Bot, Pittsburgh, PA 15213 USA; [Fei, Songlin] Purdue Univ, Dept Forestry &amp; Nat Resources, W Lafayette, IN 47907 USA</t>
  </si>
  <si>
    <t>University of Tennessee System; University of Tennessee Knoxville; Purdue University System; Purdue University; Purdue University West Lafayette Campus</t>
  </si>
  <si>
    <t>Kalisz, S (corresponding author), Univ Tennessee, Dept Ecol &amp; Evolutionary Biol, Knoxville, TN 37919 USA.</t>
  </si>
  <si>
    <t>skalisz@utk.edu</t>
  </si>
  <si>
    <t>Heberling, Mason/0000-0003-0756-5090</t>
  </si>
  <si>
    <t>National Science Foundation Macrosystems Biology [1241932, 1638702]; NSF [DEB 1457531]; University of Tennessee, Knoxville; NSF Postdoctoral Fellowship in Biology [NSF 1612079]; Direct For Biological Sciences [1457531] Funding Source: National Science Foundation; Div Of Biological Infrastructure [1612079] Funding Source: National Science Foundation</t>
  </si>
  <si>
    <t>National Science Foundation Macrosystems Biology; NSF(National Science Foundation (NSF)); University of Tennessee, Knoxville; NSF Postdoctoral Fellowship in Biology; Direct For Biological Sciences(National Science Foundation (NSF)NSF - Directorate for Biological Sciences (BIO)); Div Of Biological Infrastructure(National Science Foundation (NSF)NSF - Directorate for Biological Sciences (BIO))</t>
  </si>
  <si>
    <t>SF was partially supported by National Science Foundation Macrosystems Biology (Grant Numbers 1241932 and 1638702). MW gives special thanks to K. Patel, D. Malagon, and C. Sheppard for help with data collection. SK was partially support by NSF DEB 1457531 and the University of Tennessee, Knoxville. JMH was partially supported by NSF DEB 1457531 award to SK and by a NSF Postdoctoral Fellowship in Biology (NSF 1612079). The authors are grateful to the Kalisz lab for helpful comments on this manuscript and appreciate the insightful comments by the three reviewers, which greatly improved the manuscript.</t>
  </si>
  <si>
    <t>1387-3547</t>
  </si>
  <si>
    <t>1573-1464</t>
  </si>
  <si>
    <t>BIOL INVASIONS</t>
  </si>
  <si>
    <t>Biol. Invasions</t>
  </si>
  <si>
    <t>10.1007/s10530-017-1456-7</t>
  </si>
  <si>
    <t>FL1QG</t>
  </si>
  <si>
    <t>WOS:000413988900002</t>
  </si>
  <si>
    <t>Haynes, E; Garside, R; Green, J; Kelly, MP; Thomas, J; Guell, C</t>
  </si>
  <si>
    <t>Haynes, Emily; Garside, Ruth; Green, Judith; Kelly, Michael P.; Thomas, James; Guell, Cornelia</t>
  </si>
  <si>
    <t>Semiautomated text analytics for qualitative data synthesis</t>
  </si>
  <si>
    <t>RESEARCH SYNTHESIS METHODS</t>
  </si>
  <si>
    <t>data pooling; machine learning; qualitative data synthesis; secondary analysis; social practice; text analytics; text mining</t>
  </si>
  <si>
    <t>FREE BUS TRAVEL; BIG DATA; METASYNTHESIS; INTERVENTIONS; MOBILITY; MEDIA</t>
  </si>
  <si>
    <t>Approaches to synthesizing qualitative data have, to date, largely focused on integrating the findings from published reports. However, developments in text mining software offer the potential for efficient analysis of large pooled primary qualitative datasets. This case study aimed to (a) provide a step-by-step guide to using one software application, Leximancer, and (b) interrogate opportunities and limitations of the software for qualitative data synthesis. We applied Leximancer v4.5 to a pool of five qualitative, UK-based studies on transportation such as walking, cycling, and driving, and displayed the findings of the automated content analysis as intertopic distance maps. Leximancer enabled us to zoom out to familiarize ourselves with, and gain a broad perspective of, the pooled data. It indicated which studies clustered around dominant topics such as people. The software also enabled us to zoom in to narrow the perspective to specific subgroups and lines of enquiry. For example, people featured in men's and women's narratives but were talked about differently, with men mentioning kids and old, whereas women mentioned things and stuff. The approach provided us with a fresh lens for the initial inductive step in the analysis process and could guide further exploration. The limitations of using Leximancer were the substantial data preparation time involved and the contextual knowledge required from the researcher to turn lines of inquiry into meaningful insights. In summary, Leximancer is a useful tool for contributing to qualitative data synthesis, facilitating comprehensive and transparent data coding but can only inform, not replace, researcher-led interpretive work.</t>
  </si>
  <si>
    <t>[Haynes, Emily; Garside, Ruth; Guell, Cornelia] Univ Exeter, European Ctr Environm &amp; Human Hlth, Truro, England; [Green, Judith] Kings Coll London, Sch Populat Hlth &amp; Environm Sci, London, England; [Kelly, Michael P.] Univ Cambridge, Cambridge Inst Publ Hlth, Primary Care Unit, Cambridge, England; [Thomas, James] UCL, EPPI Ctr, Dept Social Sci, London, England</t>
  </si>
  <si>
    <t>University of Exeter; University of London; King's College London; University of Cambridge; University of London; University College London; UCL Institute of Education</t>
  </si>
  <si>
    <t>Guell, C (corresponding author), Univ Exeter, European Ctr Environm &amp; Human Hlth, Truro, England.</t>
  </si>
  <si>
    <t>c.guell@exeter.ac.uk</t>
  </si>
  <si>
    <t>Guell, Cornelia/GYU-2765-2022</t>
  </si>
  <si>
    <t>Guell, Cornelia/0000-0003-0105-410X; Thomas, James/0000-0003-4805-4190; Garside, Ruth/0000-0003-1649-4773; Green, Judith/0000-0002-2315-5326</t>
  </si>
  <si>
    <t>Academy of Medical Sciences; Wellcome Trust [HOP001\1051]; MRC [MC_UU_12015/6, MC_UP_1001/1] Funding Source: UKRI</t>
  </si>
  <si>
    <t>Academy of Medical Sciences(Academy of Medical Sciences (AMS)); Wellcome Trust(Wellcome TrustEuropean Commission); MRC(UK Research &amp; Innovation (UKRI)Medical Research Council UK (MRC))</t>
  </si>
  <si>
    <t>Academy of Medical Sciences and the Wellcome Trust, Grant/Award Number: HOP001\1051</t>
  </si>
  <si>
    <t>1759-2879</t>
  </si>
  <si>
    <t>1759-2887</t>
  </si>
  <si>
    <t>RES SYNTH METHODS</t>
  </si>
  <si>
    <t>Res. Synth. Methods</t>
  </si>
  <si>
    <t>10.1002/jrsm.1361</t>
  </si>
  <si>
    <t>Mathematical &amp; Computational Biology; Science &amp; Technology - Other Topics</t>
  </si>
  <si>
    <t>IY0KK</t>
  </si>
  <si>
    <t>WOS:000479657000001</t>
  </si>
  <si>
    <t>An exploratory approach to the computational quantification of journalistic values</t>
  </si>
  <si>
    <t>ONLINE INFORMATION REVIEW</t>
  </si>
  <si>
    <t>Digital journalism; Computational journalism; Credibility; Journalistic value; News algorithm</t>
  </si>
  <si>
    <t>NEWS; TRANSPARENCY</t>
  </si>
  <si>
    <t>Purpose News algorithms not only help the authors to efficiently navigate the sea of available information, but also frame information in ways that influence public discourse and citizenship. Indeed, the likelihood that readers will be exposed to and read given news articles is structured into news algorithms. Thus, ensuring that news algorithms uphold journalistic values is crucial. In this regard, the purpose of this paper is to quantify journalistic values to make them readable by algorithms through taking an exploratory approach to a question that has not been previously investigated. Design/methodology/approach The author matched the textual indices (extracted from natural language processing/automated content analysis) with human conceptions of journalistic values (derived from survey analysis) by implementing partial least squares path modeling. Findings The results suggest that the numbers of words or quotes news articles contain have a strong association with the survey respondent assessments of their balance, diversity, importance and factuality. Linguistic polarization was an inverse indicator of respondents' perception of balance, diversity and importance. While linguistic intensity was useful for gauging respondents' perception of sensationalism, it was an ineffective indicator of importance and factuality. The numbers of adverbs and adjectives were useful for estimating respondents' perceptions of factuality and sensationalism. In addition, the greater numbers of quotes, pair quotes and exclamation/question marks in news headlines were associated with respondents' perception of lower journalistic values. The author also found that the assessment of journalistic values influences the perception of news credibility. Research limitations/implications - This study has implications for computational journalism, credibility research and news algorithm development. Originality/value - It represents the first attempt to quantify human conceptions of journalistic values with textual indices.</t>
  </si>
  <si>
    <t>[Choi, Sujin] Kyung Hee Univ, Seoul, South Korea</t>
  </si>
  <si>
    <t>Choi, S (corresponding author), Kyung Hee Univ, Seoul, South Korea.</t>
  </si>
  <si>
    <t>sujinchoi2012@gmail.com</t>
  </si>
  <si>
    <t>Kyung Hee University [KHU-20180926]</t>
  </si>
  <si>
    <t>This work was supported by a grant from Kyung Hee University in 2018 (KHU-20180926). In addition, the author is grateful to the Korea Press Foundation's News Trust Committee, of which the author was a founding member, for helping inspire this study.</t>
  </si>
  <si>
    <t>1468-4527</t>
  </si>
  <si>
    <t>1468-4535</t>
  </si>
  <si>
    <t>ONLINE INFORM REV</t>
  </si>
  <si>
    <t>Online Inf. Rev.</t>
  </si>
  <si>
    <t>FEB 11</t>
  </si>
  <si>
    <t>10.1108/OIR-03-2018-0090</t>
  </si>
  <si>
    <t>HL0VE</t>
  </si>
  <si>
    <t>WOS:000458411500008</t>
  </si>
  <si>
    <t>Corciolani, M; Grayson, K; Humphreys, A</t>
  </si>
  <si>
    <t>Corciolani, Matteo; Grayson, Kent; Humphreys, Ashlee</t>
  </si>
  <si>
    <t>Do more experienced critics review differently? How field-specific cultural capital influences the judgments of cultural intermediaries</t>
  </si>
  <si>
    <t>Authenticity; Popular music; Reviews; Automated content analysis; Cultural intermediaries; Field-specific cultural capital; Fields</t>
  </si>
  <si>
    <t>CONSUMPTION PRACTICES; MARKET; AUTHENTICITY; RETHINKING; DIMENSIONS; MEDIATION; INSIGHTS; LOGIC; WORK</t>
  </si>
  <si>
    <t>Purpose Cultural intermediaries define the standards many consumers use when evaluating cultural products. Yet, little research has focused on whether cultural intermediaries may systematically differ from each other with regard to the standards they emphasize. The purpose of this paper is to build on Bourdieu's theory of cultural production to examine how the type of subfield reviewed and/or the cultural intermediary's expertise (or field-specific cultural capital) affect the standards an intermediary uses. Design/methodology/approach This paper employed a computer-aided content analysis of the full corpus of Rolling Stone music album reviews (1967-2014). Findings Critics with lower field-specific cultural capital reflect the same logic as the subfield they are critiquing. Critics with higher field-specific cultural capital reflect the opposite logic. Research limitations/implications Bourdieu was ambivalent about whether cultural intermediaries will reflect the logic of a subfield. Results show that the answer depends on the intermediary's field-specific cultural capital. The results also reinforce previous findings that individuals with high field-specific cultural capital are more likely to break with the logic of a field. Practical implications Not all intermediaries are created equal. Producers and consumers who rely on cultural intermediaries should understand the intermediary's critical analysis within the context of his/her experience. Originality/value This is one of the first studies to examine how a cultural intermediary's field-specific cultural capital impacts his or her work. The findings are based on a large review sample and include reviewers' analyses as they developed from having lower to higher field-specific cultural capital.</t>
  </si>
  <si>
    <t>[Corciolani, Matteo] Univ Pisa, Dipartimento Econ &amp; Management, Pisa, Italy; [Grayson, Kent] Kellogg Sch Management, Evanston, IL USA; [Humphreys, Ashlee] Northwestern Univ, Medill Scholl Journalism Media &amp; Integrated Mkt C, Chicago, IL 60611 USA</t>
  </si>
  <si>
    <t>University of Pisa; Northwestern University; Northwestern University</t>
  </si>
  <si>
    <t>Corciolani, M (corresponding author), Univ Pisa, Dipartimento Econ &amp; Management, Pisa, Italy.</t>
  </si>
  <si>
    <t>matteo.corciolani@unipi.it; k-grayson@kellogg.northwestern.edu; a-humphreys@northwestern.edu</t>
  </si>
  <si>
    <t>Grayson, Kent/AAI-5051-2021</t>
  </si>
  <si>
    <t>FEB 13</t>
  </si>
  <si>
    <t>10.1108/EJM-01-2019-0095</t>
  </si>
  <si>
    <t>LB7AQ</t>
  </si>
  <si>
    <t>WOS:000513591400001</t>
  </si>
  <si>
    <t>Vermeer, SAM; Araujo, T; Bernritter, SF; van Noort, G</t>
  </si>
  <si>
    <t>Vermeer, Susan A. M.; Araujo, Theo; Bernritter, Stefan F.; van Noort, Guda</t>
  </si>
  <si>
    <t>Seeing the wood for the trees: How machine learning can help firms in identifying relevant electronic word-of-mouth in social media</t>
  </si>
  <si>
    <t>eWOM; Webcare; Social media; Digital marketing strategies; Automated content analysis; Sentiment analysis; Machine learning</t>
  </si>
  <si>
    <t>USER-GENERATED CONTENT; TEXT ANALYSIS; ONLINE; WEBCARE; CUSTOMERS; SENTIMENT; CONSUMERS; PRODUCT; SERVICE; CHATTER</t>
  </si>
  <si>
    <t>The increasing volume of firm-related conversations on social media has made it considerably more difficult for marketers to track and analyse electronic word-of-mouth (eWOM) about brands, products or services. Firms often use sentiment analysis to identify relevant eWOM that requires a response to consequently engage in webcare. In this paper, we show that sentiment analysis of any kind might not be ideal for this purpose, because it relies on the questionable assumption that only negative eWOM is response-worthy and it is not able to infer meaning from text. We propose and test an approach based on supervised machine learning that first decides whether eWOM is relevant for the brand to respond, and then-based on a categorization of seven different types of eWOM (e.g., question, complaint)-classifies three customer satisfaction dimensions. Using a dataset of approximately 60,000 Facebook comments and 11,000 tweets about 16 different brands in eight different industries, we test and compare the efficacy of various sentiment analysis, dictionary-based and machine learning techniques to detect relevant eWOM. In doing so, this study identifies response-worthy eWOM based on the content instead of its expressed sentiment. The results indicate that these machine learning techniques achieve considerably higher accuracy in detecting relevant eWOM on social media compared to any kind of sentiment analysis. Moreover, it is shown that industry-specific classifiers can further improve this process and that algorithms are applicable across different social networks. (C) 2019 Elsevier B.V. All rights reserved.</t>
  </si>
  <si>
    <t>[Vermeer, Susan A. M.; Araujo, Theo; van Noort, Guda] Univ Amsterdam, Amsterdam Sch Commun Res ASCoR, POB 15793, NL-1001 NG Amsterdam, Netherlands; [Bernritter, Stefan F.] Goldsmiths Univ London, Inst Management Studies, London SE14 6NW, England</t>
  </si>
  <si>
    <t>University of Amsterdam; University of London; Goldsmiths University London</t>
  </si>
  <si>
    <t>Vermeer, SAM (corresponding author), Univ Amsterdam, Amsterdam Sch Commun Res ASCoR, POB 15793, NL-1001 NG Amsterdam, Netherlands.</t>
  </si>
  <si>
    <t>SA.M.Vermeer@uva.nl; T.B.Araujo@uva.nl; S.Bernritter@gold.ac.uk; G.vanNoort@uva.nl</t>
  </si>
  <si>
    <t>Bernritter, Stefan/M-4750-2019</t>
  </si>
  <si>
    <t>Bernritter, Stefan/0000-0002-4291-7824; Araujo, Theo/0000-0002-4633-9339; van Noort, Guda/0000-0002-6314-1455</t>
  </si>
  <si>
    <t>10.1016/j.ijresmar.2019.01.010</t>
  </si>
  <si>
    <t>JU4BR</t>
  </si>
  <si>
    <t>Green Published, hybrid, Green Accepted</t>
  </si>
  <si>
    <t>WOS:000501622900010</t>
  </si>
  <si>
    <t>Dyvak, MP; Kovbasistyi, AV; Melnyk, AM; Turchyn, LY; Martsenyuk, YO</t>
  </si>
  <si>
    <t>Dyvak, M. P.; Kovbasistyi, A., V; Melnyk, A. M.; Turchyn, L. Y.; Martsenyuk, Y. O.</t>
  </si>
  <si>
    <t>SYSTEM FOR WEB RESOURCES CONTENT STRUCTURING AND RECOGNIZING WITH THE MACHINE LEARNING ELEMENTS</t>
  </si>
  <si>
    <t>RADIO ELECTRONICS COMPUTER SCIENCE CONTROL</t>
  </si>
  <si>
    <t>Content analysis; parsing; machine learning</t>
  </si>
  <si>
    <t>Context. A large number of web resources of different organizations requires checking of relevance and correctness of the content, in particular, concerning characteristics of the organization, staff, etc. For this, it is necessary to develop a system of the automated content analysis. This task causes the need to develop a method and software for structuring and recognizing of web resources content. Existing parsing systems do not provide solving of the specified task, since they do not contain elements of machine learning. The object of the research is the process of automated analysis of the web resources content. Objective. The goal of the work is the creation of the system for web resources content structuring and recognizing. Method. The system of structuring and recognizing of text content of web resources with elements of machine learning is considered. Models of the system functioning are proposed. The architecture for realizing of software system for structuring and recognizing of text content of web resources is developed. Example of implementation of the model of developed system for structuring, recognizing and revealing of outdated and incorrect information about personnel on the web resource of educational institution is given. Results. The developed software may be used by support services in order to update and correct the information content. Conclusions. The system of structuring and recognizing of content of web resources with the machine learning elements has been considered. The proposed system compared with the known ones, ensures automated content structuring, recognizing of outdated, non-relevant or wrong information. Represented example of the structuring and recognizing of outdated and incorrect information on the website of educational institution confirms the effectiveness of the proposed system.</t>
  </si>
  <si>
    <t>[Dyvak, M. P.] Ternopil Natl Econ Univ, Fac Comp Informat Technol, Ternopol, Ukraine; [Kovbasistyi, A., V; Melnyk, A. M.; Martsenyuk, Y. O.] Ternopil Natl Econ Univ, Comp Sci Dept, Ternopol, Ukraine; [Turchyn, L. Y.] Ternopil Natl Econ Univ, Business Trade &amp; Mkt Dept, Ternopol, Ukraine</t>
  </si>
  <si>
    <t>Ministry of Education &amp; Science of Ukraine; Western Ukrainian National University; Ministry of Education &amp; Science of Ukraine; Western Ukrainian National University; Ministry of Education &amp; Science of Ukraine; Western Ukrainian National University</t>
  </si>
  <si>
    <t>Dyvak, MP (corresponding author), Ternopil Natl Econ Univ, Fac Comp Informat Technol, Ternopol, Ukraine.</t>
  </si>
  <si>
    <t>Dyvak, Mykola/ABD-5019-2020; Dyvak, Mykola P./G-5066-2017; Turchyn, Liuba Yaroslavivna/I-4469-2017; Melnyk, Andriy/I-1850-2017</t>
  </si>
  <si>
    <t>Dyvak, Mykola P./0000-0002-9049-4993; Melnyk, Andriy/0000-0001-7799-9877; Turchyn, Liuba/0000-0001-6238-1812</t>
  </si>
  <si>
    <t>ZAPORIZHZHYA NATL TECHNICAL UNIV</t>
  </si>
  <si>
    <t>ZAPORIZHZHYA</t>
  </si>
  <si>
    <t>VUL ZHUKOVSKA, 64, ZAPORIZHZHYA, 69063, UKRAINE</t>
  </si>
  <si>
    <t>1607-3274</t>
  </si>
  <si>
    <t>2313-688X</t>
  </si>
  <si>
    <t>RADIO ELECTRON COMPU</t>
  </si>
  <si>
    <t>Radio Electron. Comput. Sci. Control</t>
  </si>
  <si>
    <t>10.15588/1607-3274-2018-3-14</t>
  </si>
  <si>
    <t>Computer Science, Hardware &amp; Architecture</t>
  </si>
  <si>
    <t>HD4QT</t>
  </si>
  <si>
    <t>WOS:000452513500014</t>
  </si>
  <si>
    <t>Alejandro, A; Knott, E</t>
  </si>
  <si>
    <t>Alejandro, Audrey; Knott, Eleanor</t>
  </si>
  <si>
    <t>How to Pay Attention to the Words We Use: The Reflexive Review as a Method for Linguistic Reflexivity</t>
  </si>
  <si>
    <t>INTERNATIONAL STUDIES REVIEW</t>
  </si>
  <si>
    <t>reflexivity; language; local; Palabras clave; reflexividad; lenguaje; local; Mots cles; reflexivite; langage; local</t>
  </si>
  <si>
    <t>INTERNATIONAL-RELATIONS THEORY; EVERYDAY; IR; PEACE; HYBRIDITY; DISCOURSE; POLITICS; POWER; POSITIONALITY; DIFFERENCE</t>
  </si>
  <si>
    <t>Despite the imperative to pay attention to the words we use as a routine dimension of research, the methodological and pedagogical tools illustrating how to work on our own use of language are largely missing within and beyond international relations (IR). To address this gap, we develop a method-the Reflexive Review-which adds a linguistic and reflexive dimension to the common practice of a literature review. This method is accessible for researchers who are neither linguistic specialists nor working on language and can be integrated within a standalone research project. First, we review the existing traditions used in IR to investigate language-quantitative text analysis, conceptual analysis, discourse analysis, deconstruction, and problematization-and assess their interest and limits regarding linguistic reflexivity. Second, we introduce four methodological steps for conducting the Reflexive Review, by reviewing literature to: (1) build a list of priority words that may need reflexive attention; (2) look for metalinguistic statements to synthesize how the literature has explicitly discussed these words; (3) identify patterns of word use, as collectively shared meanings that coexist and that we should become aware of; and (4) compare the identified uses of language with our own. Third, we demonstrate the Reflexive Review in practice based on a word commonly used in IR: local. We identify four patterns of the word use of local in IR literature as: a class of actors, a level of analysis, community, and experiences of the everyday. In sum, we demonstrate how a Reflexive Review enables us to implement reflexivity in practice and make more conscious linguistic choices, to support more nuanced, ethical, and rigorous analysis and empirical work.</t>
  </si>
  <si>
    <t>[Alejandro, Audrey; Knott, Eleanor] London Sch Econ &amp; Polit Sci, Dept Methodol, London, England</t>
  </si>
  <si>
    <t>Alejandro, A (corresponding author), London Sch Econ &amp; Polit Sci, Dept Methodol, London, England.</t>
  </si>
  <si>
    <t>Knott, Eleanor/I-6526-2015</t>
  </si>
  <si>
    <t>Knott, Eleanor/0000-0002-9131-3939; Alejandro, Audrey/0000-0002-3675-8986</t>
  </si>
  <si>
    <t>BISA</t>
  </si>
  <si>
    <t>The authors are grateful for useful feedback that helped to develop the article from Paul Beaumont, Lucie Beraud-Sudreau, Alex Stoffel, Elena B. Stavrevska, Srdjan Vucetic, two anonymous reviewers, and the editors of ISR. Additionally, the authors are grateful for the feedback from discussants and participants at the World at the Door Workshop at LSE (and BISA for funding the workshop) and at APSA, BISA, ISA, and ISA Belgrade conferences.</t>
  </si>
  <si>
    <t>1521-9488</t>
  </si>
  <si>
    <t>1468-2486</t>
  </si>
  <si>
    <t>INT STUD REV</t>
  </si>
  <si>
    <t>Int. Stud. Rev.</t>
  </si>
  <si>
    <t>viac025</t>
  </si>
  <si>
    <t>10.1093/isr/viac025</t>
  </si>
  <si>
    <t>1F0UT</t>
  </si>
  <si>
    <t>WOS:000794892800001</t>
  </si>
  <si>
    <t>Cinar, I; Stokes, S; Uribe, A</t>
  </si>
  <si>
    <t>Cinar, Ipek; Stokes, Susan; Uribe, Andres</t>
  </si>
  <si>
    <t>Presidential Rhetoric and Populism</t>
  </si>
  <si>
    <t>KAPPA</t>
  </si>
  <si>
    <t>Scholars and the general public have been struck by the norm-shattering rhetoric of President Donald J. Trump. His rhetorical signature is heavy with Manichean good-versus-evil messages, vilification of his opponents, and disdain for institutions and for evidence. But many politicians vilify their opponents and style themselves as uniquely able to solve their society's problems. In fact, Trump's Manichean discourse is typical of populist leaders, in the United States and around the world. Using text-as-data analysis of campaign rhetoric, we study the content and mood of presidential campaign speeches by a range of U.S. politicians, which allows a broader perspective not only on the uniqueness of Trump's rhetoric, but also its continuities with the rhetoric of others. This analysis allows us to define Trump as a right-wing populist. Right-wing populists, like left-leaning ones, are anti-elitist and Manichean in words and outlook. However, the two versions of populism differ in the nature of the anti-elitism, with right-wing populists targeting political elites and left-wing ones targeting economic elites. Right-wing populists also define the other as ethnic out-groups, who threaten the ethnically pure people.</t>
  </si>
  <si>
    <t>[Cinar, Ipek; Uribe, Andres] Univ Chicago, Polit Sci, Chicago, IL 60637 USA; [Stokes, Susan] Chicago Ctr Democracy, Polit Sci, Chicago, IL USA; [Stokes, Susan] Chicago Ctr Democracy, Chicago, IL USA</t>
  </si>
  <si>
    <t>Cinar, I (corresponding author), Univ Chicago, Polit Sci, Chicago, IL 60637 USA.</t>
  </si>
  <si>
    <t>10.1111/psq.12656</t>
  </si>
  <si>
    <t>LL5SG</t>
  </si>
  <si>
    <t>WOS:000528510700001</t>
  </si>
  <si>
    <t>Froese, MD</t>
  </si>
  <si>
    <t>Froese, Marc D.</t>
  </si>
  <si>
    <t>Digital Trade and Dispute Settlement in RTAs: An Evolving Standard?</t>
  </si>
  <si>
    <t>JOURNAL OF WORLD TRADE</t>
  </si>
  <si>
    <t>E-COMMERCE; AGREEMENTS; US; ENFORCEMENT; ECONOMY; FUTURE; WTO</t>
  </si>
  <si>
    <t>There were 288 regional trade agreements (RTAs) in force at the end of 2018, approximately one quarter (27%) of which included digital trade provisions. These e-commerce chapters have evolved from simple statements, to more comprehensive attempts to cultivate digital trade. This article tests the hypothesis that as e-commerce chapters have become more common and more detailed, their legal enforceability has also risen. Enforceability is measured using a qualitative empirical analysis of seventy-eight e-commerce chapters in RTAs notified to the World Trade Organization. The first section reviews recent initiatives to map and track e-commerce provisions in RTAs. The second section uses count data and text-as-data to develop a time-sequence, process tracing examination of the relationship between e-commerce chapters and dispute settlement. The analysis emphasizes the trajectory of development, from earliest related provisions in 2001 to next-generation agreements such as the Trans-Pacific Partnership (CPTPP) and the new North American agreement, the United States-Mexico-Canada Free Trade Agreement (USMCA). The conclusion provides a discussion of the consequences of this evolving relationship for the multilateral governance of trade at the WTO.</t>
  </si>
  <si>
    <t>[Froese, Marc D.] Burman Univ, Polit Sci, Lacombe, AB, Canada; [Froese, Marc D.] Burman Univ, Int Studies Program, Lacombe, AB, Canada</t>
  </si>
  <si>
    <t>Froese, MD (corresponding author), Burman Univ, Polit Sci, Lacombe, AB, Canada.;Froese, MD (corresponding author), Burman Univ, Int Studies Program, Lacombe, AB, Canada.</t>
  </si>
  <si>
    <t>mfroese@burmanu.ca</t>
  </si>
  <si>
    <t>KLUWER LAW INT</t>
  </si>
  <si>
    <t>ALPHEN AAN DEN RIJN</t>
  </si>
  <si>
    <t>ZUIDPOOLSINGEL 2, PO BOX 316, 2400 AH ALPHEN AAN DEN RIJN, NETHERLANDS</t>
  </si>
  <si>
    <t>1011-6702</t>
  </si>
  <si>
    <t>2210-2795</t>
  </si>
  <si>
    <t>J WORLD TRADE</t>
  </si>
  <si>
    <t>J. World Trade</t>
  </si>
  <si>
    <t>JI9PM</t>
  </si>
  <si>
    <t>WOS:000493794300003</t>
  </si>
  <si>
    <t>Kibuule, D; Mubita, M; Naikaku, E; Kalemeera, F; Godman, BB; Sagwa, E</t>
  </si>
  <si>
    <t>Kibuule, Dan; Mubita, Mwangana; Naikaku, Ester; Kalemeera, Francis; Godman, Brian B.; Sagwa, Evans</t>
  </si>
  <si>
    <t>An analysis of policies for cotrimoxazole, amoxicillin and azithromycin use in Namibia's public sector: Findings and therapeutic implications</t>
  </si>
  <si>
    <t>INTERNATIONAL JOURNAL OF CLINICAL PRACTICE</t>
  </si>
  <si>
    <t>antibiotic use; policies; cotrimoxazole; amoxicillin; azithromycin; Namibia</t>
  </si>
  <si>
    <t>PRIMARY-CARE PHYSICIANS; ANTIBIOTIC USE; ANTIMICROBIAL RESISTANCE; HEALTH-CARE; DRUG-RESISTANCE; EAST-AFRICA; IMPROVE; INFECTIONS; KNOWLEDGE; ATTITUDES</t>
  </si>
  <si>
    <t>BackgroundDespite Namibia's robust medicine use systems and policies, antibiotic use indicators remain suboptimal. Recent medicine use surveys rank cotrimoxazole, amoxicillin and azithromycin (CAA) among the most used medicines. However, there is rising resistance to CAA (55.9%-96.7%). Unfortunately, to date, there have been limited studies evaluating policies to improve antibiotic use in Namibia. AimTo evaluate public sector pharmaceutical policies and guidelines influencing the therapeutic use of CAA antibiotics in Namibia. MethodsEvaluate Namibia's pharmaceutical policies and guidelines for CAA use through quantitative text analysis. The main outcome variables were the existence of antibiotic policies, therapeutic indications per antibiotic and the type/level of healthcare facility allowed to use the antibiotic. ResultsPolicies for antibiotic use were limited, with only the draft Namibia Medicines Policy having a statement on antibiotic use. Several essential antibiotics had no therapeutic indications mentioned in the guidelines. Twenty-nine antibiotics were listed for 69 therapeutic indications; CAA (49.3%) antibiotics and ATC J01C/J01D (48%) having the highest indications per antibiotic. For CAA antibiotics, this suggested use was mainly for acute respiratory infections (n=22, 37.2%). Published policies (58.6%17/29) recommended antibiotics for use at the primary healthcare (PHC) level, with CAA antibiotics recommended mostly for respiratory tract infections and genitourinary infections. ConclusionsPolicy and guidelines for antibiotic use in Namibia are not comprehensive and are skewed towards PHCs. Existing policies promote the wide use of CAA antibiotics, which may inadvertently result in their inappropriate use enhancing resistance rates. This calls for the development of more comprehensive antibiotic guidelines and essential medicine lists in tandem with local antimicrobial resistance patterns. In addition, educational initiatives among all key stakeholder groups.</t>
  </si>
  <si>
    <t>[Kibuule, Dan; Mubita, Mwangana; Naikaku, Ester] Univ Namibia, Dept Pharm Practice &amp; Policy, Sch Pharm, Windhoek, Namibia; [Kalemeera, Francis] Univ Namibia, Dept Pharmacol &amp; Therapeut, Sch Pharm, Windhoek, Namibia; [Godman, Brian B.] Karolinska Inst, Karolinska Univ Hosp Huddinge, Div Clin Pharmacol, Dept Lab Med, Stockholm, Sweden; [Godman, Brian B.] Univ Strathclyde, Strathclyde Inst Pharm &amp; Biomed Sci, Glasgow, Lanark, Scotland; [Sagwa, Evans] MSH, SIAPS, Windhoek, Namibia</t>
  </si>
  <si>
    <t>University of Namibia; University of Namibia; Karolinska Institutet; Karolinska University Hospital; University of Strathclyde</t>
  </si>
  <si>
    <t>Godman, BB (corresponding author), Univ Strathclyde, Strathclyde Inst Pharm &amp; Biomed Sci, Glasgow, Lanark, Scotland.;Godman, BB (corresponding author), Karolinska Inst, Karolinska Univ Hosp Huddinge, Div Clin Pharmacol, Stockholm, Sweden.</t>
  </si>
  <si>
    <t>brian.godman@ki.se</t>
  </si>
  <si>
    <t>Kalemeera, Francis/AAZ-7854-2021; Godman, Brian/R-8897-2019; Kibuule, Dan/AAJ-8773-2021</t>
  </si>
  <si>
    <t>Kalemeera, Francis/0000-0002-4320-5087; Mubita, Mwangana/0000-0002-8732-8644; Kibuule, Dan/0000-0002-6908-2177</t>
  </si>
  <si>
    <t>VR-Link grant (Vetenskapsradet) from the Swedish Research Council [2013-6710]</t>
  </si>
  <si>
    <t>VR-Link grant (Vetenskapsradet) from the Swedish Research Council</t>
  </si>
  <si>
    <t>The write up of this publication was in part supported by a VR-Link grant (Vetenskapsradet) from the Swedish Research Council (VR-Link 2013-6710).</t>
  </si>
  <si>
    <t>1368-5031</t>
  </si>
  <si>
    <t>1742-1241</t>
  </si>
  <si>
    <t>INT J CLIN PRACT</t>
  </si>
  <si>
    <t>Int. J. Clin. Pract.</t>
  </si>
  <si>
    <t>e12918</t>
  </si>
  <si>
    <t>10.1111/ijcp.12918</t>
  </si>
  <si>
    <t>Medicine, General &amp; Internal; Pharmacology &amp; Pharmacy</t>
  </si>
  <si>
    <t>General &amp; Internal Medicine; Pharmacology &amp; Pharmacy</t>
  </si>
  <si>
    <t>EM0HC</t>
  </si>
  <si>
    <t>gold, Green Accepted</t>
  </si>
  <si>
    <t>WOS:000394998400002</t>
  </si>
  <si>
    <t>Ng, R; Indran, N</t>
  </si>
  <si>
    <t>Ng, Reuben; Indran, Nicole</t>
  </si>
  <si>
    <t>Societal Narratives on Caregivers in Asia</t>
  </si>
  <si>
    <t>caregivers; caregiving; narratives; social gerontology; public policy; text as data; quantitative social science; psychomics; digital humanities; aging policy</t>
  </si>
  <si>
    <t>CARE; HEALTH; MIGRATION; CHILDREN; BURDEN</t>
  </si>
  <si>
    <t>Although there has been an increase in awareness of the struggles experienced by caregivers, discourse on caregiving remains confined mostly to academia, policy circles or the family unit. There have been suggestions that public discourse on informal caregiving dwells overwhelmingly on the outsize toll it takes on the health of caregivers. However, few studies have examined societal narratives on caregivers-a gap our study aims to fill. We leveraged an online media database of 12 billion words collated from over 30 million articles to explore societal narratives on caregivers in six Asian countries. Computational linguistics and statistical analysis were applied to study the content of narratives on caregivers. The prevalence of societal narratives on caregivers was highest in Singapore-five times higher than Sri Lanka, which evidenced the lowest prevalence. Findings reveal that the inadequacies of institutional care as well as the need to train and empower caregivers are pressing issues that need to be prioritized on the policy agenda in Asia. Of broader significance, the diverse capabilities across Asia present opportunities for cross-country learning and capacity-building.</t>
  </si>
  <si>
    <t>[Ng, Reuben; Indran, Nicole] Natl Univ Singapore, Lee Kuan Yew Sch Publ Policy, Singapore 119260, Singapore; [Ng, Reuben] Natl Univ Singapore, Lloyds Register Fdn Inst Publ Understanding Risk, Singapore 119260, Singapore</t>
  </si>
  <si>
    <t>National University of Singapore; National University of Singapore</t>
  </si>
  <si>
    <t>Ng, R (corresponding author), Natl Univ Singapore, Lee Kuan Yew Sch Publ Policy, Singapore 119260, Singapore.;Ng, R (corresponding author), Natl Univ Singapore, Lloyds Register Fdn Inst Publ Understanding Risk, Singapore 119260, Singapore.</t>
  </si>
  <si>
    <t>; Ng, Reuben/A-2931-2009</t>
  </si>
  <si>
    <t>Indran, Nicole/0000-0003-3095-2988; Ng, Reuben/0000-0002-1186-0570</t>
  </si>
  <si>
    <t>Social Science Research Council SSHR Fellowship [MOE2018-SSHR-004]; Lloyds Register Foundation IPUR Grant [IPUR-FY2019-RES-03-NG]; Amgen Biotechnology Singapore Research Grant</t>
  </si>
  <si>
    <t>Social Science Research Council SSHR Fellowship; Lloyds Register Foundation IPUR Grant; Amgen Biotechnology Singapore Research Grant</t>
  </si>
  <si>
    <t>We gratefully acknowledge support from the Social Science Research Council SSHR Fellowship (MOE2018-SSHR-004), Lloyds Register Foundation IPUR Grant (IPUR-FY2019-RES-03-NG) and Amgen Biotechnology Singapore Research Grant. The funders had no role in study design, data collection, analysis, writing or decision to publish.</t>
  </si>
  <si>
    <t>10.3390/ijerph182111241</t>
  </si>
  <si>
    <t>WX5XD</t>
  </si>
  <si>
    <t>WOS:000718667800001</t>
  </si>
  <si>
    <t>Rinke, EM; Dobbrick, T; Lob, C; Zirn, C; Wessler, H</t>
  </si>
  <si>
    <t>Rinke, Eike Mark; Dobbrick, Timo; Loeb, Charlotte; Zirn, Cacilia; Wessler, Hartmut</t>
  </si>
  <si>
    <t>Expert-Informed Topic Models for Document Set Discovery</t>
  </si>
  <si>
    <t>COMMUNICATION; PITFALLS; MEDIA; TEXT</t>
  </si>
  <si>
    <t>The first step in many text-as-data studies is to find documents that address a specific topic within a larger document set. Researchers often rely on simple keyword searches to do this, even though this may introduce considerable selection bias. Such bias may be even greater when researchers lack the domain knowledge required to make informed search decisions, for example, in cross-national research or research on unfamiliar social contexts. We propose expert-informed topic modeling (EITM) as a hybrid approach to tackle this problem. EITM combines the validity of external domain knowledge captured through expert surveys with probabilistic topic models to help researchers identify subsets of documents that cover initially unknown domain-specific topics, such as specific events and debates, that belong to a researcher-defined master topic. EITM is a flexible and efficient approach to the thematic selection of documents from large text corpora for further study. We benchmark and validate the method by discovering blog posts that address the public role of religion within large corpora of Australian, Swiss, and Turkish blog posts and provide researchers with a complete workflow to guide the application of EITM in their own work.</t>
  </si>
  <si>
    <t>[Rinke, Eike Mark] Univ Leeds, Sch Polit &amp; Int Studies, Leeds LS2 9JT, W Yorkshire, England; [Rinke, Eike Mark; Dobbrick, Timo] Univ Mannheim, Mannheim Ctr European Social Res MZES, Mannheim, Germany; [Loeb, Charlotte; Wessler, Hartmut] Univ Mannheim, Inst Media &amp; Commun Studies, Mannheim, Germany; [Zirn, Cacilia] Univ Mannheim, Data &amp; Web Sci Grp, Mannheim, Germany</t>
  </si>
  <si>
    <t>University of Leeds; University of Mannheim; University of Mannheim; University of Mannheim</t>
  </si>
  <si>
    <t>Rinke, EM (corresponding author), Univ Leeds, Sch Polit &amp; Int Studies, Leeds LS2 9JT, W Yorkshire, England.</t>
  </si>
  <si>
    <t>e.m.rinke@leeds.ac.uk</t>
  </si>
  <si>
    <t>Rinke, Eike/GWZ-8265-2022</t>
  </si>
  <si>
    <t>Lob, Charlotte/0000-0002-5874-6986; Rinke, Eike Mark/0000-0002-5330-7634; Wessler, Hartmut/0000-0003-4216-5471; Dobbrick, Timo/0000-0002-6252-1157</t>
  </si>
  <si>
    <t>German Research Foundation (DFG) [WE 2888/6-1]</t>
  </si>
  <si>
    <t>This research was funded by the German Research Foundation (DFG) Grant WE 2888/6-1.</t>
  </si>
  <si>
    <t>10.1080/19312458.2021.1920008</t>
  </si>
  <si>
    <t>ZJ9PR</t>
  </si>
  <si>
    <t>WOS:000668381400001</t>
  </si>
  <si>
    <t>Abercrombie, G; Batista-Navarro, R</t>
  </si>
  <si>
    <t>Abercrombie, Gavin; Batista-Navarro, Riza</t>
  </si>
  <si>
    <t>Sentiment and position-taking analysis of parliamentary debates: a systematic literature review</t>
  </si>
  <si>
    <t>Sentiment analysis; Opinion mining; Text as data; Parliamentary debates; Legislative debates</t>
  </si>
  <si>
    <t>LANGUAGE; WORDS; VOTES</t>
  </si>
  <si>
    <t>Parliamentary and legislative debate transcripts provide access to information concerning the opinions, positions, and policy preferences of elected politicians. They attract attention from researchers from a wide variety of backgrounds, from political and social sciences to computer science. As a result, the problem of computational sentiment and position-taking analysis has been tackled from different perspectives, using varying approaches and methods, and with relatively little collaboration or cross-pollination of ideas. The existing research is scattered across publications from various fields and venues. In this article, we present the results of a systematic literature review of 61 studies, all of which address the automatic analysis of the sentiment and opinions expressed, and the positions taken by speakers in parliamentary (and other legislative) debates. In this review, we discuss the existing research with regard to the aims and objectives of the researchers who work in this area, the automatic analysis tasks which they undertake, and the approaches and methods which they use. We conclude by summarizing their findings, discussing the challenges of applying computational analysis to parliamentary debates, and suggesting possible avenues for further research.</t>
  </si>
  <si>
    <t>[Abercrombie, Gavin; Batista-Navarro, Riza] Univ Manchester, Manchester, Lancs, England</t>
  </si>
  <si>
    <t>University of Manchester</t>
  </si>
  <si>
    <t>Abercrombie, G (corresponding author), Univ Manchester, Manchester, Lancs, England.</t>
  </si>
  <si>
    <t>gavin.abercrombie@manchester.ac.uk</t>
  </si>
  <si>
    <t>Batista-Navarro, Riza/ABD-6210-2021</t>
  </si>
  <si>
    <t>Abercrombie, Gavin/0000-0002-6546-3562</t>
  </si>
  <si>
    <t>10.1007/s42001-019-00060-w</t>
  </si>
  <si>
    <t>WC5PQ</t>
  </si>
  <si>
    <t>WOS:000704309900012</t>
  </si>
  <si>
    <t>Brockmeyer, T; Zimmermann, J; Kulessa, D; Hautzinger, M; Bents, H; Friederich, HC; Herzog, W; Backenstrass, M</t>
  </si>
  <si>
    <t>Brockmeyer, Timo; Zimmermann, Johannes; Kulessa, Dominika; Hautzinger, Martin; Bents, Hinrich; Friederich, Hans-Christoph; Herzog, Wolfgang; Backenstrass, Matthias</t>
  </si>
  <si>
    <t>Me, myself, and I: self-referent word use as an indicator of self-focused attention in relation to depression and anxiety</t>
  </si>
  <si>
    <t>self-focused attention; language; pronoun use; depression; chronic depression; anxiety</t>
  </si>
  <si>
    <t>ANOREXIA-NERVOSA; LANGUAGE USE; AUTOBIOGRAPHICAL MEMORIES; EPISODIC DEPRESSION; MAJOR DEPRESSION; RUMINATION; DISORDERS; VALIDITY; ONSET; MOOD</t>
  </si>
  <si>
    <t>Self-focused attention (SFA) is considered a cognitive bias that is closely related to depression. However, it is not yet well understood whether it represents a disorder-specific or a trans-diagnostic phenomenon and which role the valence of a given context is playing in this regard. Computerized quantitative text-analysis offers an integrative psycho-linguistic approach that may help to provide new insights into these complex relationships. The relative frequency of first-person singular pronouns in natural language is regarded as an objective, linguistic marker of SFA. Here we present two studies that examined the associations between SFA and symptoms of depression and anxiety in two different contexts (positive vs. negative valence), as well as the convergence between pronoun-use and self-reported aspects of SFA. In the first study, we found that the use of first-person singular pronouns during negative but not during positive memory recall was positively related to symptoms of depression and anxiety in patients with anorexia nervosa with varying levels of co-morbid depression and anxiety. In the second study, we found the same pattern of results in non-depressed individuals. In addition, use of first-person singular pronouns during negative memory recall was positively related to brooding (i.e., the assumed maladaptive sub-component of rumination) but not to reflection. These findings could not be replicated in two samples of depressed patients. However, non-chronically depressed patients used more first-person singular pronouns than healthy controls, irrespective of context. Taken together, the findings lend partial support to theoretical models that emphasize the effects of context on self-focus and consider SFA as a relevant trans-diagnostic phenomenon. In addition, the present findings point to the construct validity of pronoun-use as a linguistic marker of maladaptive self-focus.</t>
  </si>
  <si>
    <t>[Brockmeyer, Timo; Friederich, Hans-Christoph; Herzog, Wolfgang] Univ Heidelberg Hosp, Dept Gen Internal Med &amp; Psychosomat, Heidelberg, Germany; [Zimmermann, Johannes] Univ Kassel, Dept Psychol, D-34125 Kassel, Germany; [Kulessa, Dominika; Backenstrass, Matthias] Hosp Stuttgart, Inst Clin Psychol, Stuttgart, Germany; [Kulessa, Dominika; Hautzinger, Martin] Univ Tubingen, Dept Clin Psychol, Tubingen, Germany; [Bents, Hinrich] Heidelberg Univ, Ctr Psychol Psychotherapy, Heidelberg, Germany; [Friederich, Hans-Christoph] Univ Duisburg Essen, Dept Psychosomat Med &amp; Psychotherapy, LVR Clin, Essen, Germany</t>
  </si>
  <si>
    <t>Ruprecht Karls University Heidelberg; Universitat Kassel; Eberhard Karls University of Tubingen; Ruprecht Karls University Heidelberg; University of Duisburg Essen</t>
  </si>
  <si>
    <t>Brockmeyer, T (corresponding author), Univ Heidelberg Hosp, Dept Gen Internal Med &amp; Psychosomat, Heidelberg, Germany.</t>
  </si>
  <si>
    <t>Brockmeyer, Timo/K-8180-2019; Zimmermann, Johannes/K-3151-2013</t>
  </si>
  <si>
    <t>Brockmeyer, Timo/0000-0003-2544-7610; Zimmermann, Johannes/0000-0001-6975-2356</t>
  </si>
  <si>
    <t>OCT 9</t>
  </si>
  <si>
    <t>10.3389/fpsyg.2015.01564</t>
  </si>
  <si>
    <t>CU4DV</t>
  </si>
  <si>
    <t>WOS:000363477800001</t>
  </si>
  <si>
    <t>Hassanloo, F</t>
  </si>
  <si>
    <t>Hassanloo, Fatemeh</t>
  </si>
  <si>
    <t>EFFECT OF USING SIMPLIFIED VS. ORIGINAL TEXT PRACTICE ON IRANIAN EFL LEARNERS' READING COMPREHENSION ABILITY</t>
  </si>
  <si>
    <t>MODERN JOURNAL OF LANGUAGE TEACHING METHODS</t>
  </si>
  <si>
    <t>The present study was an attempt to compare the effects of using simplified reading passages versus original reading passages on Iranian EFL reading comprehension ability. To achieve this purpose, a total of 60 female Iranian EFL learners whose age ranged from 18 to 25 years old were selected through convenience sampling. According to Oxford Quick Placement Test (QPT), the students whose scores fell within the range of intermediate level of proficiency were selected as the participants of the study. These EFL learners were studying English at pre-intermediate level in International Language Center Institute, Zanjan. The participants were randomly divided into two groups, group A: experimental group (in which the participants used simplified text) and group B: control group (in which the participants used original text). As data analysis indicated, the difference between group 1 and group 2 in the post-test was meaningful. Therefore, it can be concluded that there is a meaningful difference between the performance of first group and the second group in the post-test. In fact, employing simplified text had significant effects on Iranian intermediate EFL learners' reading comprehension ability.</t>
  </si>
  <si>
    <t>[Hassanloo, Fatemeh] Islamic Azad Univ, Dept English Language, Rasht Branch, Guilan, Iran</t>
  </si>
  <si>
    <t>Islamic Azad University</t>
  </si>
  <si>
    <t>Hassanloo, F (corresponding author), Islamic Azad Univ, Dept English Language, Rasht Branch, Guilan, Iran.</t>
  </si>
  <si>
    <t>Hassanloofatemeh@yahoo.com</t>
  </si>
  <si>
    <t>MODERN JOURNAL LANGUAGE TEACHING METHODS</t>
  </si>
  <si>
    <t>MASHHAD</t>
  </si>
  <si>
    <t>NO 300, AHMADABAD ST, MASHHAD, 00000, IRAN</t>
  </si>
  <si>
    <t>2251-6204</t>
  </si>
  <si>
    <t>MOD J LANG TEACH MET</t>
  </si>
  <si>
    <t>Mod. J. Lang. Teach. Methods</t>
  </si>
  <si>
    <t>FI1OX</t>
  </si>
  <si>
    <t>WOS:000411704600007</t>
  </si>
  <si>
    <t>Lee, SH; Tak, JY; Kwak, EJ; Kim, S; Lim, TY</t>
  </si>
  <si>
    <t>Lee, Shin Haeng; Tak, Jin-Young; Kwak, Eun Joo; Kim, Seonghoon; Lim, Tae Yun</t>
  </si>
  <si>
    <t>Revisiting Sylvia Plath's and Anne Sexton's confessional poetry: Analyzing stylistic differences and evolution of poetic voice(s) through computational text analysis</t>
  </si>
  <si>
    <t>This paper proposes a new approach to reading the 'Confessional Poetry' of Sylvia Plath and Anne Sexton by combining quantitative text analysis methods with a qualitative literary interpretation. We investigate the meanings of stylistic differences between Plath's and Sexton's poems and highlight their differences in using pronouns and related sentiment words. Our data-focused research demonstrates that Plath employs rather fragmented and schizophrenic styles, as well as poetic voices with word choices that present dynamic and volatile emotions. On the other hand, Sexton's poetic voice is causal, homogeneous, and relatively stable, focusing a lot on domestic issues and the symbolic function of father. To illustrate this, three computational methods are used: (1) linking pronoun uses in each poet's work to sentiment words (Figs 1 and 2), (2) a topic-model analysis to compare Plath's and Sexton's works to see how the themes of poetry are manifested by the different patterns of word use, the so-called topics, and their co-occurrences in the poems (Figs 3 and 4), and (3) a diachronic analysis of each poet's works (using the topic model) to identify the thematic changes (Figs 5 and 6). The methods commonly testify one of the widely accepted ideas regarding Plath's and Sexton's confessional poems. Plath often breaks with the boundary of the ego, I, through complex reciprocity between I and other pronoun groups, while Sexton evokes the presence of the poet through more stable and less kinetic voices of the authorial I. Plath's and Sexton's works have long been regarded as the passive products of biological reductionism due to the traditional way of understanding the confessional genre. The aim of this paper, however, is to redefine the meaning of confessional genre, proposing that the truthfulness of the poetic voice I cannot be seperated from the stylistic issues in poetic language.</t>
  </si>
  <si>
    <t>[Lee, Shin Haeng] Chung Ang Univ, Sch Media &amp; Commun, Seoul, South Korea; [Tak, Jin-Young; Kwak, Eun Joo] Sejong Univ, Dept English Language &amp; Literature, Seoul, South Korea; [Kim, Seonghoon] Chonnam Natl Univ, Dept English, Gwangju, South Korea; [Lim, Tae Yun] Hongik Univ, Dept English, Seoul, South Korea</t>
  </si>
  <si>
    <t>Chung Ang University; Sejong University; Chonnam National University; Hongik University</t>
  </si>
  <si>
    <t>Tak, JY (corresponding author), Sejong Univ, Dept English Language &amp; Literature, Seoul, South Korea.</t>
  </si>
  <si>
    <t>jytak@sejong.ac.kr</t>
  </si>
  <si>
    <t>Chung-Ang University</t>
  </si>
  <si>
    <t>This research was supported by the Chung-Ang University Grants in 2020.</t>
  </si>
  <si>
    <t>10.1093/llc/fqab011</t>
  </si>
  <si>
    <t>YI0LA</t>
  </si>
  <si>
    <t>WOS:000743547700012</t>
  </si>
  <si>
    <t>Fobbe, S</t>
  </si>
  <si>
    <t>Fobbe, Sean</t>
  </si>
  <si>
    <t>Introducing Twin Corpora of Decisions for the International Court of Justice (ICJ) and the Permanent Court of International Justice (PCIJ)</t>
  </si>
  <si>
    <t>In this article I present the first two of a new series of open and high-quality international legal data sets: comprehensive, fully reproducible, human- and machine-readable open access collections covering one hundred years of case law of the primary judicial organs of the United Nations and the League of Nations: the Corpus of Decisions: International Court of Justice (CD-ICJ) and the Corpus of Decisions: Permanent Court of International Justice (CD-PCIJ). Each corpus is designed to capture in its entirety the published case law of its eponymous Court, including majority opinions (judgments, advisory opinions and orders), but also the minority opinions annexed to each decision (declarations, separate opinions and dissenting opinions). The corpora are enriched with useful metadata to enhance text-as-data research and enable stand-alone metadata analyses. While each corpus can stand on its own, the twin corpora are designed to be perfectly interoperable for the purposes of analyses that wish to treat the ICJ and PCIJ as a continuous entity. The most recent versions of the corpora will always be available open access at (CD-ICJ) and (CD-PCIJ).</t>
  </si>
  <si>
    <t>[Fobbe, Sean] Ludwig Maximilians Univ Munchen, Lehrstuhl Volkerrecht &amp; Offentliches Recht, Prof Huber Pl 2, D-80539 Munich, Germany</t>
  </si>
  <si>
    <t>Fobbe, S (corresponding author), Ludwig Maximilians Univ Munchen, Lehrstuhl Volkerrecht &amp; Offentliches Recht, Prof Huber Pl 2, D-80539 Munich, Germany.</t>
  </si>
  <si>
    <t>fobbe-data@posteo.de</t>
  </si>
  <si>
    <t>Fobbe, Sean/0000-0003-3808-7730</t>
  </si>
  <si>
    <t>Studienstiftung des deutschen Volkes (German Academic Scholarship Foundation); Projekt Deal</t>
  </si>
  <si>
    <t>I would like to thank the Registrar of the International Court of Justice, Professor Philippe Gautier, for his kind permission to compile and publish the data sets. I am further indebted to Dr. Teoman Hagemeyer-Witzleb and two anonymous reviewers for helpful comments that much improved the paper and data sets. Funding from the Studienstiftung des deutschen Volkes (German Academic Scholarship Foundation) in the form of a PhD scholarship is gratefully acknowledged. Open access publication was funded through Projekt Deal.</t>
  </si>
  <si>
    <t>10.1111/jels.12313</t>
  </si>
  <si>
    <t>1P8YM</t>
  </si>
  <si>
    <t>WOS:000783423400001</t>
  </si>
  <si>
    <t>Cochrane, C; Rheault, L; Godbout, JF; Whyte, T; Wong, MWC; Borwein, S</t>
  </si>
  <si>
    <t>Cochrane, Christopher; Rheault, Ludovic; Godbout, Jean-Francois; Whyte, Tanya; Wong, Michael W-C; Borwein, Sophie</t>
  </si>
  <si>
    <t>The Automatic Analysis of Emotion in Political Speech Based on Transcripts</t>
  </si>
  <si>
    <t>Text-as-data; sentiment analysis; legislatures; word embeddings</t>
  </si>
  <si>
    <t>SENTIMENT ANALYSIS; FACIAL EXPRESSION; MEDIA; BODY; TEXT; PREFERENCES; NEGATIVITY; TWITTER; NEWS; FACE</t>
  </si>
  <si>
    <t>Automatic sentiment analysis is used extensively in political science. The digitization of legislative transcripts has increased the potential application of established tools for the automated analyses of emotion in text. Unlike in writing, however, expressing emotion in speech involves intonation, facial expressions, and body lan- guage. Drawing on a new dataset of annotated texts and videos from the Canadian House of Commons, this paper does three things. First, we examine whether transcripts capture the emotional content of speeches. We find that transcripts capture sentiment, but not emotional arousal. Second, we compare strategies for the automated analysis of sentiment in text. We find that leading approaches performed reasonably well, but sentiment dictionaries generated using word embeddings surpassed these other approaches. Finally, we test the robustness of the approach based on word embeddings. Although the methodology is reasonably robust to alternative specifications, we find that dictionaries created using word embeddings are sensitive to the choice of seed words and to training corpus size. We conclude by discussing the implications for analyses of political speech.</t>
  </si>
  <si>
    <t>[Cochrane, Christopher; Rheault, Ludovic; Whyte, Tanya; Wong, Michael W-C; Borwein, Sophie] Univ Toronto, Dept Polit Sci, Sidney Smith Hall,100 St George St, Toronto, ON M5S 3G3, Canada; [Godbout, Jean-Francois] Univ Montreal, Dept Polit Sci, Montreal, PQ, Canada</t>
  </si>
  <si>
    <t>University of Toronto; Universite de Montreal</t>
  </si>
  <si>
    <t>Cochrane, C (corresponding author), Univ Toronto, Dept Polit Sci, Sidney Smith Hall,100 St George St, Toronto, ON M5S 3G3, Canada.</t>
  </si>
  <si>
    <t>christopher.cochrane@utoronto.ca</t>
  </si>
  <si>
    <t>Rheault, Ludovic/0000-0002-9599-0427; Cochrane, Christopher/0000-0002-0110-5395</t>
  </si>
  <si>
    <t>This research was funded by the Social Sciences and Humanities Research Council of Canada.</t>
  </si>
  <si>
    <t>10.1080/10584609.2021.1952497</t>
  </si>
  <si>
    <t>YW1FC</t>
  </si>
  <si>
    <t>WOS:000684714500001</t>
  </si>
  <si>
    <t>Li, YR; Chandra, Y; Fan, YY</t>
  </si>
  <si>
    <t>Li, Yiran; Chandra, Yanto; Fan, Yingying</t>
  </si>
  <si>
    <t>Unpacking government social media messaging strategies during the COVID-19 pandemic in China</t>
  </si>
  <si>
    <t>POLICY AND INTERNET</t>
  </si>
  <si>
    <t>COVID-19; government posts; response strategy; situational crisis communication theory; social media</t>
  </si>
  <si>
    <t>WEB 2.0; CRISIS; COMMUNICATION; EMERGENCY; TWITTER; INFORMATION; MANAGEMENT; CITIZENS; CORPORATE; DISASTER</t>
  </si>
  <si>
    <t>A core aspect of agile governance is effectively managing communications between a government and its citizens. However, doing so during an emergency-particularly a pandemic-is often complex and challenging. In this article, we examine how various levels of the Chinese government (central, provincial, and municipal) communicated with the public in response to the COVID-19 pandemic. Analyzing government social media posts during the COVID-19 outbreak in Wuhan (text as data), we conduct topic modeling analysis and identify four strategies that characterize Chinese governments' responses to a variety of issues at the ground level, which we label instructing information, adjusting information, advocacy, and bolstering. The results show that local government agencies predominantly used the first two strategies, whereas the central government mainly relied on the last two. These strategies explain how various levels of government engaged in agile governance through their communication with citizens, highlight the coordination and control work undertaken by governments at all levels, and demonstrate how these methods shielded the central government from blame for the pandemic.</t>
  </si>
  <si>
    <t>[Li, Yiran; Fan, Yingying] Univ Macau, Dept Govt &amp; Publ Adm, Fac Social Sci, Taipa, Macau, Peoples R China; [Chandra, Yanto] Hong Kong Polytech Univ, Dept Appl Social Sci, Fac Hlth &amp; Social Sci, Hung Hom,Kowloon, Hong Kong, Peoples R China</t>
  </si>
  <si>
    <t>University of Macau; Hong Kong Polytechnic University</t>
  </si>
  <si>
    <t>Chandra, Y (corresponding author), Hong Kong Polytech Univ, Dept Appl Social Sci, Fac Hlth &amp; Social Sci, Hung Hom,Kowloon, Hong Kong, Peoples R China.</t>
  </si>
  <si>
    <t>yanto.chandra@polyu.edu.hk</t>
  </si>
  <si>
    <t>; Chandra, Yanto/N-6238-2014</t>
  </si>
  <si>
    <t>Fan, Yingying/0000-0003-0801-1401; LI, YIRAN/0000-0001-6547-5574; Chandra, Yanto/0000-0003-1083-5813</t>
  </si>
  <si>
    <t>Start-up Research Grant of University of Macau [SRG201900152-FSS]</t>
  </si>
  <si>
    <t>Start-up Research Grant of University of Macau</t>
  </si>
  <si>
    <t>The Start-up Research Grant of University of Macau, Grant/Award Number: SRG201900152-FSS</t>
  </si>
  <si>
    <t>1944-2866</t>
  </si>
  <si>
    <t>POLICY INTERNET</t>
  </si>
  <si>
    <t>Policy Internet</t>
  </si>
  <si>
    <t>10.1002/poi3.282</t>
  </si>
  <si>
    <t>4V0WE</t>
  </si>
  <si>
    <t>WOS:000734461200001</t>
  </si>
  <si>
    <t>Bex, F; Villata, S</t>
  </si>
  <si>
    <t>Can Robots Write Treaties? Using Recurrent Neural Networks to Draft International Investment Agreements</t>
  </si>
  <si>
    <t>29th Annual International Conference on Legal Knowledge and Information Systems (JURIX)</t>
  </si>
  <si>
    <t>DEC 14-16, 2016</t>
  </si>
  <si>
    <t>Univ Nice Sophia Antipolis, Nice, FRANCE</t>
  </si>
  <si>
    <t>Dutch Fdn Legal Knowledge Based Syst</t>
  </si>
  <si>
    <t>Univ Nice Sophia Antipolis</t>
  </si>
  <si>
    <t>Recurrent neural network; investment treaties; machine learning; legal drafting; text-as-data; artificial intelligence</t>
  </si>
  <si>
    <t>Negotiating international investment agreements is costly, complex, and prone to power asymmetries. Would it then not make sense to let computers do part of the work? In this contribution, we train a character-level recurrent neural network (RNN) to write international investment agreements. Benefitting from the formulaic nature of treaty language, the RNN generates texts of lawyer-like quality on the article-level, but fails to compose treaties in a legally sensible manner. By embedding RNNs in a user-controlled pipeline we overcome this problem. First, users can specify the treaty content categories ex ante on which the RNN is trained. Second, the pipeline allows a filtering of output ex post by identifying output that corresponds most closely to a user-selected treaty design benchmark. The result is an improved system that produces meaningful texts with legally sensible composition. We test the pipeline by comparing predicted treaties to actually concluded ones and by verifying that our filter captures latent policy preferences by predicting the outcome of current investment treaty negotiations between China and the United States.</t>
  </si>
  <si>
    <t>[Alschner, Wolfgang] Grad Inst Int &amp; Dev Studies, Int Law, Geneva, Switzerland; [Alschner, Wolfgang] World Trade Inst, Bern, Switzerland; [Skougarevskiy, Dmitriy] Grad Inst Int &amp; Dev Studies, Int Econ, Geneva, Switzerland; [Skougarevskiy, Dmitriy] European Univ, St Petersburg, Russia</t>
  </si>
  <si>
    <t>SNF project Convergence versus Divergence? Text-as-data and Network Analysis of International Economic Law Treaties and Tribunals; SNIS project Diffusion of International Law: A Textual Analysis of International Investment Agreements; NCCR trade regulation</t>
  </si>
  <si>
    <t>We gratefully acknowledge the funding support from the SNF project Convergence versus Divergence? Text-as-data and Network Analysis of International Economic Law Treaties and Tribunals, from the SNIS project Diffusion of International Law: A Textual Analysis of International Investment Agreements, and from NCCR trade regulation.</t>
  </si>
  <si>
    <t>978-1-61499-726-9; 978-1-61499-725-2</t>
  </si>
  <si>
    <t>10.3233/978-1-61499-726-9-119</t>
  </si>
  <si>
    <t>BH5MN</t>
  </si>
  <si>
    <t>WOS:000401230900013</t>
  </si>
  <si>
    <t>Allee, T; Elsig, M; Lugg, A</t>
  </si>
  <si>
    <t>Allee, Todd; Elsig, Manfred; Lugg, Andrew</t>
  </si>
  <si>
    <t>Is the European Union Trade Deal with Canada New or Recycled? A Text-as-data Approach</t>
  </si>
  <si>
    <t>GLOBAL POLICY</t>
  </si>
  <si>
    <t>POWER; NEGOTIATIONS; POLITICS</t>
  </si>
  <si>
    <t>Are the rules in the Canada-European Union Comprehensive Economic and Trade Agreement (CETA) largely copied from past trade agreements, or are they new and potentially groundbreaking? Some critics charge that CETA merely replicates the failures of past trade deals, while others worry that CETA is specifying new behind the border' rules that threaten state sovereignty. Using text analysis we compare the contents in CETA to those in previous trade agreements signed by both parties. Unlike many other recent trade deals, we find that much of the content in CETA is indeed novel. On average only about 7 per cent of CETA language is copied directly from any of the 49 previous trade agreements we analyze. This same pattern holds across many of the most controversial issue areas, like investment. Some recent agreements like EU-Singapore (30%) and Canada-South Korea (24%) are replicated in part in CETA, although recycled text is more likely to come from past Canadian PTAs than EU ones. Our results suggest that fears that CETA is more of the same' are overblown and indicate that if ratified CETA likely will play an important role as a model in future trade agreements.</t>
  </si>
  <si>
    <t>[Allee, Todd; Lugg, Andrew] Univ Maryland, Govt &amp; Polit, College Pk, MD 20742 USA; [Elsig, Manfred] Univ Bern, Int Relat, World Trade Inst, Bern, Switzerland</t>
  </si>
  <si>
    <t>University System of Maryland; University of Maryland College Park; University of Bern</t>
  </si>
  <si>
    <t>Allee, T (corresponding author), Univ Maryland, Govt &amp; Polit, College Pk, MD 20742 USA.</t>
  </si>
  <si>
    <t>Elsig, Manfred/0000-0001-6950-108X; Lugg, Andrew/0000-0003-2940-5661</t>
  </si>
  <si>
    <t>1758-5880</t>
  </si>
  <si>
    <t>1758-5899</t>
  </si>
  <si>
    <t>GLOB POLICY</t>
  </si>
  <si>
    <t>Glob. Policy</t>
  </si>
  <si>
    <t>10.1111/1758-5899.12420</t>
  </si>
  <si>
    <t>ET8VZ</t>
  </si>
  <si>
    <t>WOS:000400582700012</t>
  </si>
  <si>
    <t>Lutskiv, A; Popovych, N</t>
  </si>
  <si>
    <t>Lytvyn, V; Vysotska, V; Hamon, T; Grabar, N; Sharonova, N; Cherednichenko, O; Kanishcheva, O</t>
  </si>
  <si>
    <t>Lutskiv, Andriy; Popovych, Nataliya</t>
  </si>
  <si>
    <t>Big Data Approach to Developing Adaptable Corpus Tools</t>
  </si>
  <si>
    <t>COMPUTATIONAL LINGUISTICS AND INTELLIGENT SYSTEMS (COLINS 2020), VOL I: MAIN CONFERENCE</t>
  </si>
  <si>
    <t>CEUR Workshop Proceedings-Series</t>
  </si>
  <si>
    <t>4th International Conference on Computational Linguistics and Intelligent Systems (COLINS)</t>
  </si>
  <si>
    <t>APR 23-24, 2020</t>
  </si>
  <si>
    <t>Lviv, UKRAINE</t>
  </si>
  <si>
    <t>Lviv Polytechn Natl Univ,Natl Tech Univ, Kharkiv Polytechn Inst,Univ Paris 13, Inst Galilee,Politechnika Slaska,Ukrainian Sci &amp; Educ IT Soc,Lviv IT Cluster,SoftServe,Manning Publicat Co,Kharkiv IT Cluster,Fortifier,Envion Software,PI MINDS,SSA Grp,SYTOSS</t>
  </si>
  <si>
    <t>adaptable text corpus; Big Data; natural language processing; natural language understanding; statistics; machine learning; data mining; conceptual analysis; corpus-based translation studies; conceptual seme; componential analysis</t>
  </si>
  <si>
    <t>Thesis deals with the development of corpus tools which allow building corpus of religious and historical texts. It is foreseen that the corpus has the features of data ingestion, text data preprocessing, statistics calculation, qualitative and quantitative text analysis. All these features are customizable. With Big Data approach is meant that corpus tools are treated as the data platform and the corpus itself is treated as a combination of data lake and data warehouse solutions. There have been suggested the ways for resolving algorithmic, methodological and architectural problems which arise while building corpus tool. The effectiveness of natural language processing and natural language understanding methods, libraries and tools on the example of building historical and religious texts' corpora have been checked. There have been created the workflows which comprise data extraction from sources, data transformation, data enrichment and loading into corpus storage with proper qualitative and quantitative characteristics. Data extraction approaches which are common for ingestion into data lake were used. Transformations and enrichments were realized by means of natural language processing and natural language understanding techniques. Calculation of statistical characteristics was done by means of machine learning techniques. Finding keywords and relations between them became possible thanks to the employment of latent semantic analysis, terms and N-gram frequencies, term frequency-inverse document frequencies. Computation complexity and number of information noise were reduced by singular value decomposition. The influence of singular value decomposition parameters on the text processing accuracy has been analyzed. The results of corpus-based computational experiment for religious text concept analysis have been shown. The architectural approaches to building corpus-based data platform and the usage of software tools, frameworks and specific libraries have been suggested.</t>
  </si>
  <si>
    <t>[Lutskiv, Andriy] Ternopil Ivan Puluj Natl Tech Univ, Comp Syst &amp; Networks Dept, Ternopol, Ukraine; [Popovych, Nataliya] Uzhgorod Natl Univ, State Univ, Dept Multicultural Educ &amp; Translat, Uzhgorod, Ukraine</t>
  </si>
  <si>
    <t>Ministry of Education &amp; Science of Ukraine; Ternopil Ivan Puluj National Technical University; Ministry of Education &amp; Science of Ukraine; Uzhgorod National University</t>
  </si>
  <si>
    <t>Lutskiv, A (corresponding author), Ternopil Ivan Puluj Natl Tech Univ, Comp Syst &amp; Networks Dept, Ternopol, Ukraine.</t>
  </si>
  <si>
    <t>1.andriy@gmail.com; nataliya.popovych@uzhnu.edu.ua</t>
  </si>
  <si>
    <t>Lutskiv, Andriy/0000-0002-9250-4075</t>
  </si>
  <si>
    <t>RWTH AACHEN</t>
  </si>
  <si>
    <t>Aachen</t>
  </si>
  <si>
    <t>Ahornstr. 55, Aachen, *, GERMANY</t>
  </si>
  <si>
    <t>1613-0073</t>
  </si>
  <si>
    <t>CEUR WORKSHOP PROCEE</t>
  </si>
  <si>
    <t>BR4EW</t>
  </si>
  <si>
    <t>WOS:000651107900028</t>
  </si>
  <si>
    <t>Lorenzo, O; Herrera, L; Anastasiu, I</t>
  </si>
  <si>
    <t>Lorenzo, Oswaldo; Herrera, Lucia; Anastasiu, Ioana</t>
  </si>
  <si>
    <t>Social diffusion of music in Spain through the popular press</t>
  </si>
  <si>
    <t>INTERNATIONAL REVIEW OF THE AESTHETICS AND SOCIOLOGY OF MUSIC</t>
  </si>
  <si>
    <t>print press; music and society; social diffusion of musical knowledge; qualitative &amp; quantitative text analysis</t>
  </si>
  <si>
    <t>This paper deals with the manner in which the popular print press, as a major mass-media industry in Spain, is succeeding nowadays in accomplishing the process of disseminating the contextual patterns of common music into the national media. This article deals mainly with press treatment of musical patterns and the socio-educative influence of the musical message upon the entire Spanish population. Thus, the social transmission of the musical knowledge that the print press covers is studied here by evaluating the existing musical content that reflects on the determined string lines, which implement the particularities of musical diffusion to the population. It is the print press that has been studied here instead of other mass-media, because it largely determines the social information received by means of Radio and Television, so becoming an instrument of more importance as compared to what seems to have been the initial impact of the other two. Although its value as mass-media is underestimated in favour of the almighty Television and Radio, especially for the mentioned reason, it is perhaps forgotten that radio and/or television journalists, including those specialized in music diffusion, are descended from the print press and that they do work within it, in parallel connection. Consequently, the print press represents not only an information musical pointer, but also a strong base indicator of musical information existing in the mass-media, as if it were a guide to customary knowledge that is devoured by a large part of Spanish population. As a matter of fact, an exhaustive analysis, both qualitative and quantitative, of the contents prevailing in the sample of texts published in 2005, and the content in the main daily newspapers of general diffusion in the national mass-media has been obtained by pointing out the empirical results and the conclusions of the mentioned analysis.</t>
  </si>
  <si>
    <t>Univ Granada, Fac Educ &amp; Humanidades Melilla, Melilla 52005, Spain; Univ Granada, Dept Didact Musical Express, E-18071 Granada, Spain; Univ Granada, Dept Dev &amp; Educ Psychol, E-18071 Granada, Spain</t>
  </si>
  <si>
    <t>University of Granada; University of Granada; University of Granada</t>
  </si>
  <si>
    <t>Lorenzo, O (corresponding author), Univ Granada, Fac Educ &amp; Humanidades Melilla, Carretera Alfonso XIII,S-N, Melilla 52005, Spain.</t>
  </si>
  <si>
    <t>oswaldo@ugr.es</t>
  </si>
  <si>
    <t>Torres, Lucía Herrera/L-9006-2014; Lorenzo, Oswaldo/B-7028-2015; Torres, Lucía Herrera/L-4915-2019</t>
  </si>
  <si>
    <t>Torres, Lucía Herrera/0000-0002-5860-1357; Lorenzo, Oswaldo/0000-0002-1087-8138; Torres, Lucía Herrera/0000-0002-5860-1357</t>
  </si>
  <si>
    <t>CROATIAN MUSICOLOGICAL SOC</t>
  </si>
  <si>
    <t>ZAGREB</t>
  </si>
  <si>
    <t>OPATICKA 18, HR-71000 ZAGREB, CROATIA</t>
  </si>
  <si>
    <t>0351-5796</t>
  </si>
  <si>
    <t>INT REV AESTHET SOC</t>
  </si>
  <si>
    <t>Int. Rev. Aesthet. Sociol. Music</t>
  </si>
  <si>
    <t>222NW</t>
  </si>
  <si>
    <t>WOS:000250305200005</t>
  </si>
  <si>
    <t>Di Cocco, J; Monechi, B</t>
  </si>
  <si>
    <t>Di Cocco, Jessica; Monechi, Bernardo</t>
  </si>
  <si>
    <t>How Populist are Parties? Measuring Degrees of Populism in Party Manifestos Using Supervised Machine Learning</t>
  </si>
  <si>
    <t>populism; textual analysis; text-as-data; political parties; computational politics</t>
  </si>
  <si>
    <t>POLITICAL COMMUNICATION STYLE; POLICY POSITIONS; DISCOURSE; ORIENTATIONS; TEXTS; MODEL</t>
  </si>
  <si>
    <t>One of the main challenges in comparative studies on populism concerns its temporal and spatial measurements within and between a large number of parties and countries. Textual analysis has proved useful for these purposes, and automated methods can further improve research in this direction. Here, we propose a method to derive a score of parties' levels of populism using supervised machine learning to perform textual analysis on national manifestos. We illustrate the advantages of our approach, which allows for measuring populism for a vast number of parties and countries without resource-intensive human-coding processes and provides accurate, updated information for temporal and spatial comparisons of populism. Furthermore, our method allows for obtaining a continuous score of populism, which ensures more fine-grained analyses of the party landscape while reducing the risk of arbitrary classifications. To illustrate the potential contribution of this score, we use it as a proxy for parties' levels of populism, analyzing average trends in six European countries from the early 2000s for nearly two decades.</t>
  </si>
  <si>
    <t>[Di Cocco, Jessica] Sapienza Univ, Dept Econ, Via Castro Laurenziano 19, I-00161 Rome, Italy; [Monechi, Bernardo] Sony Comp Sci Labs, 6 Rue Amyot, F-75005 Paris, France</t>
  </si>
  <si>
    <t>Di Cocco, J (corresponding author), Sapienza Univ, Dept Econ, Via Castro Laurenziano 19, I-00161 Rome, Italy.</t>
  </si>
  <si>
    <t>jessica.dicocco@uniroma1.it</t>
  </si>
  <si>
    <t>Di Cocco, Jessica/0000-0001-8355-6730</t>
  </si>
  <si>
    <t>PII S1047198721000292</t>
  </si>
  <si>
    <t>10.1017/pan.2021.29</t>
  </si>
  <si>
    <t>1S6BM</t>
  </si>
  <si>
    <t>WOS:000779558200001</t>
  </si>
  <si>
    <t>Rosemblat, G; Fiszman, M; Shin, D; Kilicoglu, H</t>
  </si>
  <si>
    <t>Rosemblat, Graciela; Fiszman, Marcelo; Shin, Dongwook; Kilicoglu, Halil</t>
  </si>
  <si>
    <t>Towards a characterization of apparent contradictions in the biomedical literature using context analysis</t>
  </si>
  <si>
    <t>Contradictions; Biomedical research literature; Natural language processing; Semantic relations</t>
  </si>
  <si>
    <t>VITAMIN-E</t>
  </si>
  <si>
    <t>Background: With the substantial growth in the biomedical research literature, a larger number of claims are published daily, some of which seemingly disagree with or contradict prior claims on the same topics. Resolving such contradictions is critical to advancing our understanding of human disease and developing effective treatments. Automated text analysis techniques can facilitate such analysis by extracting claims from the literature, flagging those that are potentially contradictory, and identifying any study characteristics that may explain such contradictions. Methods: Using SemMedDB, our own PubMed-scale repository of semantic predications (subject-relation-object triples), we identified apparent contradictions in the biomedical research literature and developed a categorization of contextual characteristics that explain such contradictions. Clinically relevant semantic predications relating to 20 diseases and involving opposing predicate pairs (e.g., an intervention TREATS or CAUSES a disease) were retrieved from SemMedDB. After addressing inference, uncertainty, generic concepts, and NLP errors through automatic and manual filtering steps, a set of apparent contradictions were identified and characterized. Results: We retrieved 117,676 predication instances from 62,360 PubMed abstracts (Jan 1980-Dec 2016). From these instances, automatic filtering steps generated 2236 candidate contradictory pairs. Through manual analysis, we determined that 58 of these pairs (2.6%) were apparent contradictions. We identified five main categories of contextual characteristics that explain these contradictions: (a) internal to the patient, (b) external to the patient, (c) endogenous/exogenous, (d) known controversy, and (e) contradictions in literature. Categories (a) and (b) were subcategorized further (e.g., species, dosage) and accounted for the bulk of the contradictory information. Conclusions: Semantic predications, by accounting for lexical variability, and SemMedDB, owing to its literature scale, can support identification and elucidation of potentially contradictory claims across the biomedical domain. Further filtering and classification steps are needed to distinguish among them the true contradictory claims. The ability to detect contradictions automatically can facilitate important biomedical knowledge management tasks, such as tracking and verifying scientific claims, summarizing research on a given topic, identifying knowledge gaps, and assessing evidence for systematic reviews, with potential benefits to the scientific community. Future work will focus on automating these steps for fully automatic recognition of contradictions from the biomedical research literature.</t>
  </si>
  <si>
    <t>[Rosemblat, Graciela; Fiszman, Marcelo; Shin, Dongwook; Kilicoglu, Halil] NIH, Natl Lib Med, 8600 Rockville Pike, Bethesda, MD 20894 USA</t>
  </si>
  <si>
    <t>National Institutes of Health (NIH) - USA; NIH National Library of Medicine (NLM)</t>
  </si>
  <si>
    <t>Rosemblat, G (corresponding author), NIH, Natl Lib Med, 8600 Rockville Pike, Bethesda, MD 20894 USA.</t>
  </si>
  <si>
    <t>grosemblat@mail.nih.gov; fiszmanm@gmail.com; shindongwoo@mail.nlm.nih.gov; halil@illinois.edu</t>
  </si>
  <si>
    <t>intramural research program at the U.S. National Library of Medicine, National Institutes of Health</t>
  </si>
  <si>
    <t>This work was supported by the intramural research program at the U.S. National Library of Medicine, National Institutes of Health.</t>
  </si>
  <si>
    <t>10.1016/j.jbi.2019.103275</t>
  </si>
  <si>
    <t>LD0BW</t>
  </si>
  <si>
    <t>Bronze, Green Accepted</t>
  </si>
  <si>
    <t>WOS:000525699600014</t>
  </si>
  <si>
    <t>Benoit, S; Scherschel, K; Ates, Z; Nasr, L; Kandampully, J</t>
  </si>
  <si>
    <t>Benoit, Sabine; Scherschel, Katrin; Ates, Zelal; Nasr, Linda; Kandampully, Jay</t>
  </si>
  <si>
    <t>Showcasing the diversity of service research Theories, methods, and success of service articles</t>
  </si>
  <si>
    <t>JOURNAL OF SERVICE MANAGEMENT</t>
  </si>
  <si>
    <t>Workshop on Let's Talk About Service (LTAS)</t>
  </si>
  <si>
    <t>DEC, 2015</t>
  </si>
  <si>
    <t>Univ Namur, Namur, BELGIUM</t>
  </si>
  <si>
    <t>Univ Namur</t>
  </si>
  <si>
    <t>Publishing; Data; Theories; Methodology; Service research; Article success</t>
  </si>
  <si>
    <t>MAJOR MARKETING JOURNALS; SCIENTIFIC MANUSCRIPT; MANAGEMENT RESEARCH; DOMINANT LOGIC; IMPACT; ONLINE; PERSPECTIVES; PUBLICATION; STATISTICS; GUIDELINES</t>
  </si>
  <si>
    <t>Purpose - The purpose of this paper is to make two main contributions: first, showcase the diversity of service research in terms of the variety of used theories and methods, and second, explain (post-publication) success of articles operationalized as interest in an article (downloads), usage (citations), and awards (best paper nomination). From there, three sub-contributions are derived: stimulate a dialogue about existing norms and practices in the service field, enable and encourage openness amongst service scholars, and motivate scholars to join the field. Design/methodology/approach - A mixed method approach is used in combining quantitative and qualitative research methods while analyzing 158 Journal of Service Management (JOSM) articles on several criteria such as their theory, methodology, and main descriptive elements (e.g. number of authors or references) and then using automated text analysis (e.g. investigating the readability of articles, etc.). Findings - The results show that the JOSM publishes a large variety of articles with regard to theories, methods of data collection, and types of data analysis. For example, JOSM has published a mixture of qualitative and quantitative articles and papers containing firm-level and customer-level data. Further, the results show that even though conceptual articles create the same amount of interest (downloads), they are used more (citations). Research limitations/implications - This paper presents many descriptive results which do not allow for making inferences toward the entire service research discipline. Further, it is only based on one service research journal (JOSM) through a five-year span of publication. Practical implications - The results have a number of implications for the discipline that are presented and discussed. Amongst them are that: the discipline should be more open toward conceptual articles, service research shows an imbalance toward theory testing, there is more potential to work with transactional data, and writing style should be more accessible (i.e. readable). Originality/value - This paper is the first to conduct an in-depth analysis of service research articles to stimulate dialogue about common publishing practices in the JOSM and to increase the openness of the field.</t>
  </si>
  <si>
    <t>[Benoit, Sabine; Scherschel, Katrin] Univ Surrey, Surrey Business Sch, Guildford, Surrey, England; [Ates, Zelal] TH Koln Univ Appl Sci, Fac Business Econ &amp; Law, Cologne, Germany; [Ates, Zelal] Univ Liege, HEC Liege, Liege, Belgium; [Nasr, Linda] Texas State Univ, Dept Mkt, San Marcos, TX USA; [Kandampully, Jay] Ohio State Univ, Consumer Sci Program, Columbus, OH 43210 USA</t>
  </si>
  <si>
    <t>University of Surrey; University of Liege; Texas State University System; Texas State University San Marcos; University System of Ohio; Ohio State University</t>
  </si>
  <si>
    <t>Benoit, S (corresponding author), Univ Surrey, Surrey Business Sch, Guildford, Surrey, England.</t>
  </si>
  <si>
    <t>s.benoit@surrey.ac.uk</t>
  </si>
  <si>
    <t>1757-5818</t>
  </si>
  <si>
    <t>1757-5826</t>
  </si>
  <si>
    <t>J SERV MANAGE</t>
  </si>
  <si>
    <t>J. Serv. Manage.</t>
  </si>
  <si>
    <t>10.1108/JOSM-05-2017-0102</t>
  </si>
  <si>
    <t>FN5WL</t>
  </si>
  <si>
    <t>WOS:000416079500001</t>
  </si>
  <si>
    <t>Gastinger, M; Schmidtke, H</t>
  </si>
  <si>
    <t>Gastinger, Markus; Schmidtke, Henning</t>
  </si>
  <si>
    <t>Measuring precision precisely: A dictionary-based measure of imprecision</t>
  </si>
  <si>
    <t>REVIEW OF INTERNATIONAL ORGANIZATIONS</t>
  </si>
  <si>
    <t>Article; Data Paper; Early Access</t>
  </si>
  <si>
    <t>International organizations; Design of international institutions; Legalization; Precision; Text as data; Dictionary-based approach</t>
  </si>
  <si>
    <t>INTERNATIONAL-ORGANIZATIONS; INSTITUTIONS; VAGUENESS; DESIGN; LAW</t>
  </si>
  <si>
    <t>How can we measure and explain the precision of international organizations' (IOs) founding treaties? We define precision by its negative - imprecision - as indeterminate language that intentionally leaves a wide margin of interpretation for actors after agreements enter into force. Compiling a dictionary of imprecision from almost 500 scholarly contributions and leveraging insight from linguists that a single vague word renders the whole sentence vague, we introduce a dictionary-based measure of imprecision (DIMI) that is replicable, applicable to all written documents, and yields a continuous measure bound between zero and one. To demonstrate that DIMI usefully complements existing approaches and advances the study of (im-)precision, we apply it to a sample of 76 IOs. Our descriptive results show high face validity and closely track previous characterizations of these IOs. Finally, we explore patterns in the data, expecting that imprecision in IO treaties increases with the number of states, power asymmetries, and the delegation of authority, while it decreases with the pooling of authority. In a sample of major IOs, we find robust empirical support for the power asymmetries and delegation propositions. Overall, DIMI provides exciting new avenues to study precision in International Relations and beyond.</t>
  </si>
  <si>
    <t>[Gastinger, Markus] Univ Salzburg, Rudolfskai 42, A-5020 Salzburg, Austria; [Schmidtke, Henning] Harvard &amp; GIGA German Inst Global &amp; Area Studies, Minda de Gunzburg Ctr European Studies, Neuer Jungfernstieg 21, D-20354 Hamburg, Germany</t>
  </si>
  <si>
    <t>Salzburg University</t>
  </si>
  <si>
    <t>Gastinger, M (corresponding author), Univ Salzburg, Rudolfskai 42, A-5020 Salzburg, Austria.</t>
  </si>
  <si>
    <t>markus.gastinger@plus.ac.at; henning.schmidtke@giga-hamburg.de</t>
  </si>
  <si>
    <t>Gastinger, Markus/I-6579-2019</t>
  </si>
  <si>
    <t>Gastinger, Markus/0000-0002-8516-5183</t>
  </si>
  <si>
    <t>Paris Lodron University of Salzburg; European Union [840135]</t>
  </si>
  <si>
    <t>Paris Lodron University of Salzburg; European Union(European Commission)</t>
  </si>
  <si>
    <t>Open access funding provided by Paris Lodron University of Salzburg. This project has received funding from the European Union's Horizon 2020 research and innovation programme under the Marie Sklodowska-Curie grant agreement No 840135.</t>
  </si>
  <si>
    <t>1559-7431</t>
  </si>
  <si>
    <t>1559-744X</t>
  </si>
  <si>
    <t>REV INT ORGAN</t>
  </si>
  <si>
    <t>Rev. Int. Organ.</t>
  </si>
  <si>
    <t>10.1007/s11558-022-09476-y</t>
  </si>
  <si>
    <t>4U7HC</t>
  </si>
  <si>
    <t>WOS:000858959600001</t>
  </si>
  <si>
    <t>Schafer, MS; Hase, V</t>
  </si>
  <si>
    <t>Schaefer, Mike S.; Hase, Valerie</t>
  </si>
  <si>
    <t>Computational methods for the analysis of climate change communication: Towards an integrative and reflexive approach</t>
  </si>
  <si>
    <t>big data; climate change communication; computational methods; news media; social media</t>
  </si>
  <si>
    <t>BIG DATA; SOCIAL MEDIA; CHALLENGES; TWITTER; METAANALYSIS; SCIENCE; FUTURE</t>
  </si>
  <si>
    <t>Computational methods, in particular text-as-data or Natural Language Processing (NLP) approaches, have become popular to study climate change communication as a global and large-scale phenomenon. Scholars have discussed opportunities and challenges of these methods for climate change communication, with some proponents and critics taking strong positions, either embracing the potential of computational methods or critically questioning their value. Mirroring developments in the broader social scientific debate, we aim to bring both sides together by proposing a reflexive, integrative approach for computational research on climate change communication: We reflect on strengths (e.g., making data big and small, nowcasting observations) and weaknesses (e.g., introducing empiricist epistemologies, ignoring biases) of computational approaches. Moreover, we also provide concrete and constructive guidance on when and how to integrate (or not integrate) these methods based on theoretical considerations. We thereby understand computational methods as part of an ever-increasing, diverse toolbox for analyzing climate change communication. This article is categorized under: The Social Status of Climate Change Knowledge &gt; Knowledge and Practice The Social Status of Climate Change Knowledge &gt; Sociology/Anthropology of Climate Knowledge</t>
  </si>
  <si>
    <t>[Schaefer, Mike S.] Univ Zurich, IKMZ, Zurich, Switzerland; [Hase, Valerie] Ludwig Maximilians Univ Munchen, Munich, Germany</t>
  </si>
  <si>
    <t>University of Zurich; University of Munich</t>
  </si>
  <si>
    <t>Schafer, MS (corresponding author), Univ Zurich, IKMZ, Zurich, Switzerland.</t>
  </si>
  <si>
    <t>m.schacfer@ikmz.uzh.ch</t>
  </si>
  <si>
    <t>Hase, Valerie/0000-0001-6656-4894</t>
  </si>
  <si>
    <t>10.1002/wcc.806</t>
  </si>
  <si>
    <t>5Y1VQ</t>
  </si>
  <si>
    <t>WOS:000879077700001</t>
  </si>
  <si>
    <t>Bestvater, SE; Monroe, BL</t>
  </si>
  <si>
    <t>Bestvater, Samuel E.; Monroe, Burt L.</t>
  </si>
  <si>
    <t>Sentiment is Not Stance: Target-Aware Opinion Classification for Political Text Analysis</t>
  </si>
  <si>
    <t>text-as-data; sentiment analysis; political stance; machine learning</t>
  </si>
  <si>
    <t>COMMUNICATION; TWITTER; NEWS</t>
  </si>
  <si>
    <t>Sentiment analysis techniques have a long history in natural language processing and have become a standard tool in the analysis of political texts, promising a conceptually straightforward automated method of extracting meaning from textual data by scoring documents on a scale from positive to negative. However, while these kinds of sentiment scores can capture the overall tone of a document, the underlying concept of interest for political analysis is often actually the document's stance with respect to a given target-how positively or negatively it frames a specific idea, individual, or group-as this reflects the author's underlying political attitudes. In this paper, we question the validity of approximating author stance through sentiment scoring in the analysis of political texts, and advocate for greater attention to be paid to the conceptual distinction between a document's sentiment and its stance. Using examples from open-ended survey responses and from political discussions on social media, we demonstrate that in many political text analysis applications, sentiment and stance do not necessarily align, and therefore sentiment analysis methods fail to reliably capture ground-truth document stance, amplifying noise in the data and leading to faulty conclusions.</t>
  </si>
  <si>
    <t>[Bestvater, Samuel E.; Monroe, Burt L.] Penn State Univ, Dept Polit Sci, University Pk, PA 16802 USA</t>
  </si>
  <si>
    <t>Bestvater, SE (corresponding author), Penn State Univ, Dept Polit Sci, University Pk, PA 16802 USA.</t>
  </si>
  <si>
    <t>seb654@psu.edu; burtmonroe@psu.edu</t>
  </si>
  <si>
    <t>Bestvater, Samuel/0000-0003-0301-0100</t>
  </si>
  <si>
    <t>Center for Social Data Analytics at Pennsylvania State University</t>
  </si>
  <si>
    <t>Funding for this project was provided by the Center for Social Data Analytics at Pennsylvania State University.</t>
  </si>
  <si>
    <t>PII S1047198722000109</t>
  </si>
  <si>
    <t>10.1017/pan.2022.10</t>
  </si>
  <si>
    <t>0S6ST</t>
  </si>
  <si>
    <t>WOS:000786402200001</t>
  </si>
  <si>
    <t>Proportional Classification Revisited: Automatic Content Analysis of Political Manifestos Using Active Learning</t>
  </si>
  <si>
    <t>content analysis; active learning; proportional classification; text classification; text as data; supervised machine learning; computer-assisted content analysis; computational social science; big data</t>
  </si>
  <si>
    <t>BIG DATA; COMPUTER; TEXT; RELIABILITY; CODER</t>
  </si>
  <si>
    <t>Supervised machine learning is a promising methodological innovation for content analysis (CA) to approach the challenge of ever-growing amounts of text in the digital era. Social scientists have pointed to accurate measurement of category proportions and trends in large collections as their primary goal. Proportional classification, for example, allows for time-series analysis of diachronic data sets or correlation of categories with text-external covariates. We evaluate the performance of two common approaches for this goal: a method based on regression analysis with feature profiles from entire collections and a method aggregating classifier decisions for individual documents. For both, we observed a significant negative effect on classification performance due to the uneven distribution of characteristic language structures within the text collection. For proportional classification, this poses considerable problems. To fix this problem, we propose a workflow of active learning, which alternates between machine learning and human coding. Results from experiments with empirical data (political manifestos) demonstrate that active learning enables researchers to create training sets for automatic CA efficiently, reliably, and with high accuracy for the desired goal while retaining control over the automatic process.</t>
  </si>
  <si>
    <t>[Wiedemann, Gregor] Hamburg Univ, Language Technol Grp, Hamburg, Germany</t>
  </si>
  <si>
    <t>Wiedemann, G (corresponding author), Hamburg Univ, Hamburg, Germany.</t>
  </si>
  <si>
    <t>gwiedemann@informatik.uni-hamburg.de</t>
  </si>
  <si>
    <t>10.1177/0894439318758389</t>
  </si>
  <si>
    <t>HN9QA</t>
  </si>
  <si>
    <t>WOS:000460532800001</t>
  </si>
  <si>
    <t>Mapping the Universe of International Investment Agreements</t>
  </si>
  <si>
    <t>TREATIES; DIFFUSION</t>
  </si>
  <si>
    <t>Traditional means of content analysis are ill-equipped to deal with the vast universe of international investment agreements (IIAs). In this article, we propose a novel approach to efficiently investigate over 2100 IIAs and their 24,000 articles in unprecedented detail by treating treaty text as data. Our suggested metric yields new and surprising insights about the IIA universe at four different levels. First, at the global level, we use our approach to investigate the effect of asymmetries on negotiation outcomes finding that developed countries tend to be the IIA system's rule-makers, while developing countries tend to be its rule-takers. Second, on the country level, our method can trace consistency and legal innovation in national treaty networks uncovering hitherto unknown investment policy changes such as the Finnish shift to a pre-establishment template in 1999. Third, on the inter-treaty level, our metric can detect investment policy diffusion highlighting that Israel, for instance, copied its bilateral investment treaty (BIT) language from British investment agreements. Finally, on the individual treaty level, our approach enables us to assess the novelty of newly concluded agreements, like the Trans-Pacific Partnership, by relating them to prior practice. Our metric thus provides researchers, practitioners and policy-makers with a powerful novel tool to analyze the IIA universe.</t>
  </si>
  <si>
    <t>[Alschner, Wolfgang; Skougarevskiy, Dmitriy] Grad Inst, Geneva, Switzerland; [Alschner, Wolfgang; Skougarevskiy, Dmitriy] World Trade Inst, Bern, Switzerland; [Skougarevskiy, Dmitriy] European Univ, St Petersburg, Russia</t>
  </si>
  <si>
    <t>Alschner, W (corresponding author), Grad Inst, Geneva, Switzerland.;Alschner, W (corresponding author), World Trade Inst, Bern, Switzerland.</t>
  </si>
  <si>
    <t>wolfgang.alschner@graduateinstitute.ch; dmitriy.skugarevskiy@graduateinstitute.ch</t>
  </si>
  <si>
    <t>SNF project 'Convergence versus Divergence? Text-as-data and Network Analysis of International Economic Law Treaties and Tribunals'; SNIS project 'Diffusion of International Law: A Textual Analysis of International Investment Agreements'; NCCR</t>
  </si>
  <si>
    <t>SNF project 'Convergence versus Divergence? Text-as-data and Network Analysis of International Economic Law Treaties and Tribunals'; SNIS project 'Diffusion of International Law: A Textual Analysis of International Investment Agreements'; NCCR(Swiss National Science Foundation (SNSF))</t>
  </si>
  <si>
    <t>We gratefully acknowledge the funding support from the SNF project 'Convergence versus Divergence? Text-as-data and Network Analysis of International Economic Law Treaties and Tribunals', from the SNIS project 'Diffusion of International Law: A Textual Analysis of International Investment Agreements', and from NCCR trade regulation.</t>
  </si>
  <si>
    <t>10.1093/jiel/jgw056</t>
  </si>
  <si>
    <t>DY7ZZ</t>
  </si>
  <si>
    <t>WOS:000385349100001</t>
  </si>
  <si>
    <t>Garlick, A</t>
  </si>
  <si>
    <t>Garlick, Alex</t>
  </si>
  <si>
    <t>Laboratories of Politics: There is Bottom-up Diffusion of Policy Attention in the American Federal System</t>
  </si>
  <si>
    <t>state politics; text as data; policy; legislation; federalism</t>
  </si>
  <si>
    <t>US STATE; LEGISLATURES; AGENDAS; HEALTH; MODEL</t>
  </si>
  <si>
    <t>A persistent question in the study of American federalism is if the states actually serve as laboratories of democracy for the country as a whole. I argue that political attention to policy areas can diffuse upwards, from state legislatures to Congress. National and state legislators share a party brand and can learn from policy debates in other levels. In particular, we should expect to see the diffusion of messaging legislation, or bills that were introduced without the intention of becoming law, after members of Congress observe their political effects in the states. Using an original dataset of introduced bills in all 50 state legislatures in 22 policy areas since 1991 drawn from LexisNexis, I show a positive association between changes in the number of state legislative bills introduced in 12 policy areas and the number of Congressional bills introduced in the next session, which is taken as evidence of bottom-up diffusion. This relationship is more prevalent between Republican state legislators and members of Congress, within state delegations, and in issue areas where the interest group community lobbies before both the states and national government. To the extent that states are laboratories for the nation, they may be political laboratories.</t>
  </si>
  <si>
    <t>[Garlick, Alex] Coll New Jersey, Polit Sci, 2000 Pennington Rd, Ewing, NJ 08628 USA</t>
  </si>
  <si>
    <t>College of New Jersey</t>
  </si>
  <si>
    <t>Garlick, A (corresponding author), Coll New Jersey, Polit Sci, 2000 Pennington Rd, Ewing, NJ 08628 USA.</t>
  </si>
  <si>
    <t>garlicka@tcnj.edu</t>
  </si>
  <si>
    <t>10.1177/10659129211068059</t>
  </si>
  <si>
    <t>ZK2MD</t>
  </si>
  <si>
    <t>WOS:000762826900001</t>
  </si>
  <si>
    <t>Kiener, F; Gnehm, AS; Clematide, S; Backes-Gellner, U</t>
  </si>
  <si>
    <t>Kiener, Fabienne; Gnehm, Ann-Sophie; Clematide, Simon; Backes-Gellner, Uschi</t>
  </si>
  <si>
    <t>IT skills in vocational training curricula and labour market outcomes</t>
  </si>
  <si>
    <t>JOURNAL OF EDUCATION AND WORK</t>
  </si>
  <si>
    <t>IT skills; text as data; curricula content analyses; apprenticeship training</t>
  </si>
  <si>
    <t>WAGE STRUCTURE; REQUIREMENTS; TEXT</t>
  </si>
  <si>
    <t>We use vocational training curricula to investigate how IT skills are trained within broader skills packages and how these relate to labour market outcomes. Skills packages are the typical combinations of IT skills (e.g., CNC) and technical or nontechnical skills (e.g., material sciences or work safety) that are jointly required in the real world and occur in training curricula. This broadened perspective of teaching IT skills offers new insights into how digital skills can be successfully integrated into future education and training programmes. We use legally binding vocational education and training (VET) curricula of dual apprenticeship training in Switzerland. We apply natural language processing methods to analyse the extensive curriculum texts, which meticulously define the skills that have to be taught. We identify four typical skills packages, each of which are centred around one of four different types of IT skill (CNC/CAD, control technologies, system technologies, IT-applications). Our empirical analyses show that VET graduates trained in these skills packages receive positive labour market outcomes compared to VET graduates without these skills packages. Moreover, we find that the positive outcomes are not just driven by differences in cognitive skill requirements of the respective occupations.</t>
  </si>
  <si>
    <t>[Kiener, Fabienne; Backes-Gellner, Uschi] Univ Zurich, Dept Business Adm, Zurich, Switzerland; [Gnehm, Ann-Sophie] Univ Zurich, Dept Sociol, Zurich, Switzerland; [Clematide, Simon] Univ Zurich, Dept Computat Linguist, Zurich, Switzerland</t>
  </si>
  <si>
    <t>University of Zurich; University of Zurich; University of Zurich</t>
  </si>
  <si>
    <t>Backes-Gellner, U (corresponding author), Univ Zurich, Dept Business Adm, Zurich, Switzerland.</t>
  </si>
  <si>
    <t>backes-gellner@business.uzh.ch</t>
  </si>
  <si>
    <t>Backes-Gellner, Uschi/D-6652-2014</t>
  </si>
  <si>
    <t>Backes-Gellner, Uschi/0000-0002-7511-9757; Clematide, Simon/0000-0003-1365-0662</t>
  </si>
  <si>
    <t>Swiss State Secretariat for Education, Research, and Innovation through its Leading House VPET-ECON: A Research Center on the Economics of Education, Firm Behavior and Training Policies</t>
  </si>
  <si>
    <t>This work was supported by the Swiss State Secretariat for Education, Research, and Innovation through its Leading House VPET-ECON: A Research Center on the Economics of Education, Firm Behavior and Training Policies.</t>
  </si>
  <si>
    <t>1363-9080</t>
  </si>
  <si>
    <t>1469-9435</t>
  </si>
  <si>
    <t>J EDUC WORK</t>
  </si>
  <si>
    <t>J. Educ. Work</t>
  </si>
  <si>
    <t>OCT 3</t>
  </si>
  <si>
    <t>6-7</t>
  </si>
  <si>
    <t>10.1080/13639080.2022.2126968</t>
  </si>
  <si>
    <t>5B3XN</t>
  </si>
  <si>
    <t>WOS:000860671600001</t>
  </si>
  <si>
    <t>Zhang, YF; Dong, CQ</t>
  </si>
  <si>
    <t>Zhang, Yafei; Dong, Chuqing</t>
  </si>
  <si>
    <t>Understand corporate social responsibility from an agenda setting perspective: a cross-national analysis of newspaper using computer-assisted content analysis</t>
  </si>
  <si>
    <t>JOURNAL OF GLOBAL RESPONSIBILITY</t>
  </si>
  <si>
    <t>Global responsibility; Corporate social responsibility; Sentiment analysis; Topic modeling; News media; Agenda-setting theory; CSR; Cross-boundaries</t>
  </si>
  <si>
    <t>AUTOMATED CONTENT-ANALYSIS; NEWS MEDIA; CSR; COMMUNICATION; PERCEPTIONS; CHINESE; LEXISNEXIS; EMERGENCE; EVOLUTION; SALIENCE</t>
  </si>
  <si>
    <t>Purpose This study aims to explore multifaceted corporate social responsibility (CSR) covered in popular English newspapers in the UK, USA, mainland China and Hong Kong from 2000 to 2016 via a computer-assisted analytical approach. This study moves the understanding of CSR away from corporate self-reporting to the mass media and raises interesting questions about the role of the news media in presenting CSR as a multifaceted, socially constructed concept. Design/methodology/approach Data were retrieved from CSR-related news articles from 2000 to 2016 that were archived in the LexisNexis database. Guided by the theoretical framework of agenda setting, a computer-assisted content analysis (Latent Dirichlet Allocation) was used to analyze 4,487 CSR-related articles from both business and non-business news sources. Analysis of variance was used to compare salient CSR topics in each country/region. Findings This study identifies newspapers as an alternate to corporations' attempts to distribute CSR information and construct CSR meaning. The findings revealed that the news communicates a variety of CSR issues that are aligned or beyond what CSR was defined in corporate CSR reporting, as suggested in previous studies. In addition, CSR news coverages differ between the business and nonbusiness news sources. Furthermore, the media tone of CSR coverage significantly differed across the regions and between the business and nonbusiness newspapers. Social implications Emerging topics in CSR news coverage, such as business education, could help companies identify untapped CSR realms in the market. Originality/value This study contributes to CSR communication research by adding a non-corporate perspective regarding what CSR means and should be focused on. The news media presents CSR using a heterogeneous approach as they not only provide surface reports on corporations' CSR activities but also offer in-depth discussions.</t>
  </si>
  <si>
    <t>[Zhang, Yafei] West Texas A&amp;M Univ, Paul &amp; Virginia Engler Coll Business, Canyon, TX USA; [Dong, Chuqing] Michigan State Univ, Advertising &amp; Publ Relat Dept, Coll Commun Arts &amp; Sci, E Lansing, MI 48824 USA</t>
  </si>
  <si>
    <t>Texas A&amp;M University System; West Texas A&amp;M University; Michigan State University</t>
  </si>
  <si>
    <t>Dong, CQ (corresponding author), Michigan State Univ, Advertising &amp; Publ Relat Dept, Coll Commun Arts &amp; Sci, E Lansing, MI 48824 USA.</t>
  </si>
  <si>
    <t>yzhang@wtamu.edu; cdong@msu.edu</t>
  </si>
  <si>
    <t>Dong, Chuqing/0000-0003-1522-7577</t>
  </si>
  <si>
    <t>2041-2568</t>
  </si>
  <si>
    <t>2041-2576</t>
  </si>
  <si>
    <t>J GLOB RESPONSIB</t>
  </si>
  <si>
    <t>J. Glob. Responsib.</t>
  </si>
  <si>
    <t>MAY 25</t>
  </si>
  <si>
    <t>10.1108/JGR-08-2020-0084</t>
  </si>
  <si>
    <t>SI9BC</t>
  </si>
  <si>
    <t>WOS:000653102000001</t>
  </si>
  <si>
    <t>Siegel, AA; Nikitin, E; Barbera, P; Sterling, J; Pullen, B; Bonneau, R; Nagler, J; Tucker, JA</t>
  </si>
  <si>
    <t>Siegel, Alexandra A.; Nikitin, Evgenii; Barbera, Pablo; Sterling, Joanna; Pullen, Bethany; Bonneau, Richard; Nagler, Jonathan; Tucker, Joshua A.</t>
  </si>
  <si>
    <t>Trumping Hate on Twitter? Online Hate Speech in the 2016 US Election Campaign and its Aftermath</t>
  </si>
  <si>
    <t>QUARTERLY JOURNAL OF POLITICAL SCIENCE</t>
  </si>
  <si>
    <t>Hate speech; social media; Donald Trump; Twitter; text-as-data</t>
  </si>
  <si>
    <t>DISCURSIVE OPPORTUNITIES; SILENCE</t>
  </si>
  <si>
    <t>To what extent did online hate speech and white nationalist rhetoric on Twitter increase over the course of Donald Trump's 2016 presidential election campaign and its immediate aftermath? The prevailing narrative suggests that Trump's political rise - and his unexpected victory - lent legitimacy to and popularized bigoted rhetoric that was once relegated to the dark corners of the Internet. However, our analysis of over 750 million tweets related to the election, in addition to almost 400 million tweets from a random sample of American Twitter users, provides systematic evidence that hate speech did not increase on Twitter over this period. Using both machine-learning-augmented dictionary-based methods and a novel classification approach leveraging data from Reddit communities associated with the alt-right movement, we observe no persistent increase in hate speech or white nationalist language either over the course of the campaign or in the six months following Trump's election. While key campaign events and policy announcements produced brief spikes in hateful language, these bursts quickly dissipated. Overall we find no empirical support for the proposition that Trump's divisive campaign or election increased hate speech on Twitter.</t>
  </si>
  <si>
    <t>[Siegel, Alexandra A.] Univ Colorado, Dept Polit Sci, Boulder, CO 80309 USA; [Siegel, Alexandra A.; Nikitin, Evgenii; Barbera, Pablo; Sterling, Joanna; Pullen, Bethany; Bonneau, Richard; Nagler, Jonathan; Tucker, Joshua A.] NYU, Ctr Social Media &amp; Polit CSMaP, 550 1St Ave, New York, NY 10003 USA; [Nikitin, Evgenii; Nagler, Jonathan; Tucker, Joshua A.] NYU, Dept Polit, 550 1St Ave, New York, NY 10003 USA; [Barbera, Pablo] Univ Southern Calif, Dept Polit Sci &amp; Int Relat, Los Angeles, CA 90007 USA; [Sterling, Joanna] Princeton Univ, Dept Psychol, Princeton, NJ 08544 USA; [Sterling, Joanna] NYU, New York, NY USA; [Bonneau, Richard] NYU, Dept Biol, New York, NY 10003 USA; [Bonneau, Richard] Simons Fdn, New York, NY USA</t>
  </si>
  <si>
    <t>University of Colorado System; University of Colorado Boulder; New York University; New York University; University of Southern California; Princeton University; New York University; New York University</t>
  </si>
  <si>
    <t>Tucker, JA (corresponding author), NYU, Ctr Social Media &amp; Polit CSMaP, 550 1St Ave, New York, NY 10003 USA.;Tucker, JA (corresponding author), NYU, Dept Polit, 550 1St Ave, New York, NY 10003 USA.</t>
  </si>
  <si>
    <t>alexandra.siegel@colorado.edu; e.nikitin@nyu.edu; pbarbera@usc.edu; joanna.sterling@princeton.edu; bethanyjpullen@gmail.com; rbonneau@flatironinstitute.org; jonathan.nagler@nyu.edu; joshua.tucker@nyu.edu</t>
  </si>
  <si>
    <t>Bonneau, Richard/GZL-2900-2022; Siegel, Alexandra A./M-1331-2019; Bonneau, Richard/ABD-6737-2021</t>
  </si>
  <si>
    <t>Siegel, Alexandra A./0000-0003-0792-7813; Nikitin, Evgenii/0000-0001-7181-1036</t>
  </si>
  <si>
    <t>INSPIRE program of the National Science Foundation [SES-1248077]; William and Flora Hewlett Foundation; Rita Allen Foundation; Knight Foundation; Bill and Melinda Gates Foundation; Craig Newmark Philanthropies; Democracy Fund; Intel Corporation; New York University Global Institute for Advanced Study; Faculty of Arts and Sciences Research Investment Fund at New York University</t>
  </si>
  <si>
    <t>INSPIRE program of the National Science Foundation; William and Flora Hewlett Foundation; Rita Allen Foundation; Knight Foundation; Bill and Melinda Gates Foundation(Bill &amp; Melinda Gates Foundation); Craig Newmark Philanthropies; Democracy Fund; Intel Corporation(Intel Corporation); New York University Global Institute for Advanced Study; Faculty of Arts and Sciences Research Investment Fund at New York University</t>
  </si>
  <si>
    <t>The authors gratefully acknowledge the financial support for the NYU Social Media and Political Participation (SMaPP) lab from the INSPIRE program of the National Science Foundation (Award SES-1248077), the William and Flora Hewlett Foundation, the Rita Allen Foundation, the Knight Foundation, the Bill and Melinda Gates Foundation, Craig Newmark Philanthropies, the Democracy Fund, the Intel Corporation, the New York University Global Institute for Advanced Study, and the Faculty of Arts and Sciences Research Investment Fund at New York University. We thank Sean Kates for his feedback in designing our coding scheme, NYU Undergraduate SMaPP Research Assistants for their coding work, and Yvan Scher and Leon Yin for programming support. A.S. and J.T. designed the research plan and outline for the paper. A.S. conducted the statistical analysis and wrote the first draft of the paper. A.S, J.S., and B.P. designed and implemented the dictionary-based coding method. E.N. designed and conducted the non-dictionary based analysis. P.B., R.B., and J.N. contributed to the data collection and design of the analytic tools, and strategy for data analysis and presentation. AS, JT, PB, RB, and JN contributed to revising the manuscript.</t>
  </si>
  <si>
    <t>1554-0626</t>
  </si>
  <si>
    <t>1554-0634</t>
  </si>
  <si>
    <t>Q J POLIT SCI</t>
  </si>
  <si>
    <t>Q. J. Polit. Sci.</t>
  </si>
  <si>
    <t>10.1561/100.00019045</t>
  </si>
  <si>
    <t>PU4EZ</t>
  </si>
  <si>
    <t>WOS:000609261200003</t>
  </si>
  <si>
    <t>Esmaeili, B; Hallowell, MR; Rajagopalan, B</t>
  </si>
  <si>
    <t>Esmaeili, Behzad; Hallowell, Matthew R.; Rajagopalan, Balaji</t>
  </si>
  <si>
    <t>Attribute-Based Safety Risk Assessment. I: Analysis at the Fundamental Level</t>
  </si>
  <si>
    <t>JOURNAL OF CONSTRUCTION ENGINEERING AND MANAGEMENT</t>
  </si>
  <si>
    <t>Risk management; Content analysis; Construction safety; Safety attributes; Labor and personnel issues</t>
  </si>
  <si>
    <t>IDENTIFYING ROOT CAUSES; SUBJECTIVE-PROBABILITY; CONSTRUCTION SITES; IDENTIFICATION; RELIABILITY; MANAGEMENT; FATALITIES; HAZARDS; DESIGN; MODEL</t>
  </si>
  <si>
    <t>Quantifying safety risks and performing comparative analyses is an emerging research field. Unfortunately, current risk assessment strategies are problematic because they require every new infrastructure feature and construction method to be individually evaluated using laborious research processes. To enhance the current construction safety management methods, an attribute-based risk identification and analysis method is presented that helps designers and preconstruction planners identify and model safety risk independently of specific activities or building components. The inspiration for this new risk management technique was derived from the Human Genome Project, which implies that while there are billions of people around the world, their vulnerability towards specific kinds of disease can be explained by a limited number of genes. This concept for attribute-based risk assessment was adapted by testing the hypothesis that injuries and fatalities in construction result from a finite number of hazardous attributes of the work environment. The research reported in this paper includes content of large, representative, and reliable national database of 1,812 injury reports of struck-by incidents. The combined manual and automated content analysis procedure was created for this specific application to overcome the challenges associated with a large and complex dataset. In total, 22 safety risk attributes that lead to struck-by incidents were identified and their relative risks were quantified. The results can be used by practitioners to integrate robust safety risk data into technological models and management systems, thereby facilitating proactive safety management. The contribution of fundamental and empirical attribute-based safety risk data fills a knowledge gap that has long prevented the integration of empirical safety data with technological models. It is expected that this new knowledge will serve as a catalyst for proactive safety management in emerging technologies. (c) 2015 American Society of Civil Engineers.</t>
  </si>
  <si>
    <t>[Esmaeili, Behzad] Univ Nebraska, Durham Sch Architectural Engn &amp; Construct, Lincoln, NE 68588 USA; [Hallowell, Matthew R.] UCB, Construct Engn, Boulder, CO 80309 USA; [Hallowell, Matthew R.; Rajagopalan, Balaji] UCB, Dept Civil Environm &amp; Architectural Engn, Boulder, CO 80309 USA; [Rajagopalan, Balaji] UCB, Cooperat Inst Res Environm Sci, Boulder, CO 80309 USA</t>
  </si>
  <si>
    <t>University of Nebraska System; University of Nebraska Lincoln; University of Colorado System; University of Colorado Boulder; University of Colorado System; University of Colorado Boulder; University of Colorado System; University of Colorado Boulder</t>
  </si>
  <si>
    <t>Esmaeili, B (corresponding author), Univ Nebraska, Durham Sch Architectural Engn &amp; Construct, 113 Nebraska Hall, Lincoln, NE 68588 USA.</t>
  </si>
  <si>
    <t>besmaeili2@unl.edu; matthew.hallowell@colorado.edu; balajir@colorado.edu</t>
  </si>
  <si>
    <t>Hallowell, Matthew R/G-7918-2016; Rajagopalan, Balaji/CAJ-3111-2022; Rajagopalan, Balaji/A-5383-2013</t>
  </si>
  <si>
    <t>Rajagopalan, Balaji/0000-0002-6883-7240; Esmaeili, Behzad/0000-0003-3858-1843</t>
  </si>
  <si>
    <t>National Science Foundation [1253179]; Bentley Systems</t>
  </si>
  <si>
    <t>National Science Foundation(National Science Foundation (NSF)); Bentley Systems</t>
  </si>
  <si>
    <t>The National Science Foundation is thanked for supporting the research reported in this paper through an Early Career Award (i.e., the CAREER Program). This paper is based upon work supported by the National Science Foundation under Grant No. 1253179. Any opinions, findings, and conclusions or recommendations expressed in this material are those of the writers and do not necessarily reflect the views of the National Science Foundation. Bentley Systems is recognized for their financial support for the research reported in this paper and Mr. Dean Bowman in particular who provided invaluable insight to the application of this method. The contributions of the undergraduate research assistants who assisted with data extraction are recognized, i.e., Elizabeth Snatchko, Similoluwa Ogundipe, Michael Gartman, Mark Baker, and Anthony Renstrorm.</t>
  </si>
  <si>
    <t>ASCE-AMER SOC CIVIL ENGINEERS</t>
  </si>
  <si>
    <t>RESTON</t>
  </si>
  <si>
    <t>1801 ALEXANDER BELL DR, RESTON, VA 20191-4400 USA</t>
  </si>
  <si>
    <t>0733-9364</t>
  </si>
  <si>
    <t>1943-7862</t>
  </si>
  <si>
    <t>J CONSTR ENG M</t>
  </si>
  <si>
    <t>J. Constr. Eng. Manage.</t>
  </si>
  <si>
    <t>10.1061/(ASCE)CO.1943-7862.0000980</t>
  </si>
  <si>
    <t>Construction &amp; Building Technology; Engineering, Industrial; Engineering, Civil</t>
  </si>
  <si>
    <t>CN1LP</t>
  </si>
  <si>
    <t>WOS:000358181800001</t>
  </si>
  <si>
    <t>Kulkarni, R; Di Minin, E</t>
  </si>
  <si>
    <t>Kulkarni, Ritwik; Di Minin, Enrico</t>
  </si>
  <si>
    <t>Automated retrieval of information on threatened species from online sources using machine learning</t>
  </si>
  <si>
    <t>biodiversity; digital conservation; machine learning; natural language processing; wildlife trade</t>
  </si>
  <si>
    <t>SOCIAL MEDIA DATA; BIODIVERSITY; TRADE</t>
  </si>
  <si>
    <t>1. As resources for conservation are limited, gathering and analysing information from digital platforms can help investigate the global biodiversity crisis in a cost-efficient manner. Development and application of methods for automated content analysis of digital data sources are especially important in the context of investigating human-nature interactions. 2. In this study, we introduce novel application methods to automatically collect and analyse textual data on species of conservation concern from digital platforms. An end-to-end pipeline is constructed that begins from searching and downloading news articles about species listed in Appendix I of the Convention on International Trade in Endangered Species of Wild Fauna and Flora (CITES) along with news articles from specific Twitter handles and proceeds with implementing natural language processing and machine learning methods to filter and retain only relevant articles. A crucial aspect here is the automatic annotation of training data, which can be challenging in many machine learning applications. A Named Entity Recognition model is then used to extract additional relevant information for each article. 3. The data collected over a 1-month period included 15,088 articles focusing on 585 species listed in Appendix I of CITES. The accuracy of the neural network to detect relevant articles was 95.91% while the Named Entity recognition model helped extract information on prices, location and quantities of traded animals and plants. A regularly updated database, which can be queried and analysed for various research purposes and to inform conservation decision making, is generated by the system. 4. The results demonstrate that natural language processing can be used successfully to extract information from digital text content. The proposed methods can be applied to multiple digital data platforms at the same time and used to investigate human-nature interactions in conservation science and practice.</t>
  </si>
  <si>
    <t>[Kulkarni, Ritwik; Di Minin, Enrico] Univ Helsinki, Dept Geosci &amp; Geog, Helsinki Lab Interdisciplinary Conservat Sci, Helsinki, Finland; [Di Minin, Enrico] Univ Helsinki, Helsinki Inst Sustainabil Sci HELSUS, Helsinki, Finland; [Di Minin, Enrico] Univ KwaZulu Natal, Sch Life Sci, Durban, South Africa</t>
  </si>
  <si>
    <t>University of Helsinki; University of Helsinki; University of Kwazulu Natal</t>
  </si>
  <si>
    <t>Kulkarni, R (corresponding author), Univ Helsinki, Dept Geosci &amp; Geog, Helsinki Lab Interdisciplinary Conservat Sci, Helsinki, Finland.</t>
  </si>
  <si>
    <t>ritwik.kulkarni@helsinki.fi</t>
  </si>
  <si>
    <t>; Di Minin, Enrico/J-6904-2013</t>
  </si>
  <si>
    <t>Kulkarni, Ritwik/0000-0002-1320-9693; Di Minin, Enrico/0000-0002-5562-318X</t>
  </si>
  <si>
    <t>European Research Council (ERC) under the European Union's Horizon 2020 research and innovation programme [802933]</t>
  </si>
  <si>
    <t>R.K. and E.D.M. thank the European Research Council (ERC) for funding under the European Union's Horizon 2020 research and innovation programme (grant agreement 802933).</t>
  </si>
  <si>
    <t>10.1111/2041-210X.13608</t>
  </si>
  <si>
    <t>TC0ZC</t>
  </si>
  <si>
    <t>WOS:000647946900001</t>
  </si>
  <si>
    <t>Beukes, EW; Onozuka, J; Brazell, TP; Manchaiah, V</t>
  </si>
  <si>
    <t>Beukes, Eldre W.; Onozuka, Joy; Brazell, Torryn P.; Manchaiah, Vinaya</t>
  </si>
  <si>
    <t>Coping With Tinnitus During the COVID-19 Pandemic</t>
  </si>
  <si>
    <t>THERAPY</t>
  </si>
  <si>
    <t>Purpose: The COVID-19 pandemic disrupted normal operations of health care services, broad sectors of the economy, and the ability to socialize freely. For those with tinnitus, such changes can be factors in exacerbating tinnitus. The purpose of this study was to determine tinnitus help-seeking behavior, which resources individuals utilized to cope during the pandemic, and what additional support is desired. Method: An exploratory cross-sectional study design including 1,522 adults with tinnitus living in North America (Canada and the United States) was used. Data were collected through an online survey distributed by the American Tinnitus Association via e-mail. Free text from open-ended questions was analyzed using the automated content analysis. The responses to the structured questionnaire were analyzed using descriptive and nonparametric statistics. Results: Significantly less tinnitus support was sought during the pandemic, and very few respondents utilized tinnitus support networks during the pandemic at the time the survey was conducted. Nonetheless, seeking support during the pandemic was significantly associated with significantly less tinnitus distress. The most frequently utilized resources for coping during the pandemic were contacting family and friends, spending time outdoors or in nature, relaxation, and exercise. Such tools for coping were associated with significantly less tinnitus distress. The support requested and advice provided by participants to health care services had overlap. The main support needs related to managing tinnitus included addressing hearing loss, providing peer support, finding cures, and accessing trained and understanding health care providers to help. The advice for professionals related to tinnitus management included the need for cures, personalized support, addressing hearing loss, targeting the tinnitus percept, and providing more information about the condition. Conclusions: These findings provide suggestions on how to better support those with tinnitus at a time when health care is undergoing rapid changes. Findings can be used by stakeholders, clinical practitioners, and tinnitus support services to devise ways to work more effectively together to improve access to patient-driven, suitable, accessible, and evidence-based support.</t>
  </si>
  <si>
    <t>[Beukes, Eldre W.; Manchaiah, Vinaya] Lamar Univ, Dept Speech &amp; Hearing Sci, Beaumont, TX 77710 USA; [Beukes, Eldre W.] Anglia Ruskin Univ, Dept Vis &amp; Hearing Sci, Cambridge, England; [Onozuka, Joy; Brazell, Torryn P.] Amer Tinnitus Assoc, Washington, DC USA; [Manchaiah, Vinaya] Manipal Univ, Sch Allied Hlth Sci, Dept Speech &amp; Hearing, Manipal, Karnataka, India</t>
  </si>
  <si>
    <t>Texas State University System; Lamar University; Anglia Ruskin University; Manipal Academy of Higher Education (MAHE)</t>
  </si>
  <si>
    <t>Beukes, EW (corresponding author), Lamar Univ, Dept Speech &amp; Hearing Sci, Beaumont, TX 77710 USA.;Beukes, EW (corresponding author), Anglia Ruskin Univ, Dept Vis &amp; Hearing Sci, Cambridge, England.</t>
  </si>
  <si>
    <t>ebeukes@lamar.edu</t>
  </si>
  <si>
    <t>Beukes, Eldre W/0000-0002-9434-9160; Manchaiah, Vinaya/0000-0002-1254-8407</t>
  </si>
  <si>
    <t>National Institute on Deafness and Other Communication Disorders [R21DC017214]</t>
  </si>
  <si>
    <t>National Institute on Deafness and Other Communication Disorders(United States Department of Health &amp; Human ServicesNational Institutes of Health (NIH) - USANIH National Institute on Deafness &amp; Other Communication Disorders (NIDCD))</t>
  </si>
  <si>
    <t>This work was partly funded by the National Institute on Deafness and Other Communication Disorders under Award R21DC017214 to V. M. We would like to thank the many people who completed the online survey distributed by the American Tinnitus Association.</t>
  </si>
  <si>
    <t>10.1044/2021_AJA-20-00188</t>
  </si>
  <si>
    <t>SS6ND</t>
  </si>
  <si>
    <t>WOS:000661870900013</t>
  </si>
  <si>
    <t>Costa, H; Gilmore, AB; Peeters, S; McKee, M; Stuckler, D</t>
  </si>
  <si>
    <t>Costa, Helia; Gilmore, Anna B.; Peeters, Silvy; McKee, Martin; Stuckler, David</t>
  </si>
  <si>
    <t>Quantifying the influence of the tobacco industry on EU governance: automated content analysis of the EU Tobacco Products Directive</t>
  </si>
  <si>
    <t>TOBACCO CONTROL</t>
  </si>
  <si>
    <t>POLICY POSITIONS; POLITICAL TEXTS</t>
  </si>
  <si>
    <t>Objective The tobacco industry spends large sums lobbying the European Union (EU) institutions, yet whether such lobbying significantly affects tobacco policy is not well understood. We used novel quantitative text mining techniques to evaluate the impact of industry pressure on the contested EU Tobacco Products Directive revision. Design Policy positions of 18 stakeholders including the tobacco industry, health NGOs and tobacco retailers were evaluated using their text submissions to EU consultations and impact assessments. Using Wordscores to calculate word frequencies, we developed a scale ranging from 0-tobacco industry to 1-public health organisations, which was then used to track changes in the policy position of the European Commission's 2010 consultation document, its 2012 final proposal and the European Parliament and Council's approved legislation in March 2014. Results Several stakeholders' positions were closer to the tobacco industry than that of health NGOs, including retailers (omega= 0.35), trade unions (omega= 0.34) and publishers (omega= 0.33 and omega= 0.40). Over time the European Commission's position shifted towards the tobacco industry from omega= 0.52 (95% CI 0.50 to 0.54) to omega= 0.40 (95% CI 0.39 to 0.42). This transition reflected an increasing use of words pertaining to business and the economy in the Commission's document. Our findings were robust to alternative methods of scoring policy positions in EU documents. Conclusions Using quantitative text mining techniques, we observed that tobacco industry lobbying activity at the EU was associated with significant policy shifts in the EU Tobacco Products Directive legislation towards the tobacco industry's submissions. In the light of the Framework Convention on Tobacco Control, additional governance strategies are needed to prevent undue influence of the tobacco industry on EU policy making.</t>
  </si>
  <si>
    <t>[Costa, Helia; Stuckler, David] Univ Oxford, Dept Sociol, Oxford OX1 3UQ, England; [Gilmore, Anna B.; Peeters, Silvy] Univ Bath, Dept Hlth, Bath BA2 7AY, Avon, England; [Gilmore, Anna B.; Peeters, Silvy] UK Ctr Tobacco &amp; Alcohol Studies, Bath, Avon, England; [McKee, Martin; Stuckler, David] London Sch Hyg &amp; Trop Med, Dept Publ Hlth &amp; Policy, London WC1, England</t>
  </si>
  <si>
    <t>University of Oxford; University of Bath; University of London; London School of Hygiene &amp; Tropical Medicine</t>
  </si>
  <si>
    <t>Stuckler, D (corresponding author), Univ Oxford, Dept Sociol, Manor Rd Bldg,Manor Rd, Oxford OX1 3UQ, England.</t>
  </si>
  <si>
    <t>david.stuckler@chch.ox.ac.uk</t>
  </si>
  <si>
    <t>gilmore, anna B/I-7130-2012; Mckee, Martin/E-6673-2018; McKee, Marc D/E-2187-2011</t>
  </si>
  <si>
    <t>gilmore, anna B/0000-0003-0281-1248; Mckee, Martin/0000-0002-0121-9683; McKee, Marc D/0000-0001-8349-965X; Stuckler, David/0000-0002-1288-8401</t>
  </si>
  <si>
    <t>European Research Council [313590-HRES]; Wellcome Trust; US National Cancer Institute [RO1CA160695]; NATIONAL CANCER INSTITUTE [R01CA160695] Funding Source: NIH RePORTER; Medical Research Council [MR/K023195/1B, MR/K023195/1] Funding Source: researchfish</t>
  </si>
  <si>
    <t>European Research Council(European Research Council (ERC)European Commission); Wellcome Trust(Wellcome TrustEuropean Commission); US National Cancer Institute(United States Department of Health &amp; Human ServicesNational Institutes of Health (NIH) - USANIH National Cancer Institute (NCI)); NATIONAL CANCER INSTITUTE(United States Department of Health &amp; Human ServicesNational Institutes of Health (NIH) - USANIH National Cancer Institute (NCI)); Medical Research Council(UK Research &amp; Innovation (UKRI)Medical Research Council UK (MRC)European Commission)</t>
  </si>
  <si>
    <t>HC and DS are supported by European Research Council Award 313590-HRES. DS is also supported by the Wellcome Trust. ABG and SP's work on this project was supported by Grant Number RO1CA160695 from the US National Cancer Institute.</t>
  </si>
  <si>
    <t>BMJ PUBLISHING GROUP</t>
  </si>
  <si>
    <t>BRITISH MED ASSOC HOUSE, TAVISTOCK SQUARE, LONDON WC1H 9JR, ENGLAND</t>
  </si>
  <si>
    <t>0964-4563</t>
  </si>
  <si>
    <t>1468-3318</t>
  </si>
  <si>
    <t>TOB CONTROL</t>
  </si>
  <si>
    <t>Tob. Control</t>
  </si>
  <si>
    <t>10.1136/tobaccocontrol-2014-051822</t>
  </si>
  <si>
    <t>AR9XX</t>
  </si>
  <si>
    <t>WOS:000343931700011</t>
  </si>
  <si>
    <t>Dawson, J; Holloway, J; Debortoli, N; Gilmore, E</t>
  </si>
  <si>
    <t>Dawson, Jackie; Holloway, Jean; Debortoli, Nathan; Gilmore, Elisabeth</t>
  </si>
  <si>
    <t>Treatment of International Economic Trade in Intergovernmental Panel on Climate Change (IPCC) Reports</t>
  </si>
  <si>
    <t>CURRENT CLIMATE CHANGE REPORTS</t>
  </si>
  <si>
    <t>Climate change; IPCC reports; Trade; Transport; Global economy</t>
  </si>
  <si>
    <t>IMPACTS; ADAPTATION; CONSEQUENCES; AGRICULTURE; KNOWLEDGE; CO2</t>
  </si>
  <si>
    <t>Purpose of the Review Climate change presents significant risks to the international trade and supply chain systems with potentially profound and cascading effects for the global economy. A robust international trade system may also be central to managing future climate risks. Here, we assess the treatment (or lack thereof) of trade in a selection of recent Intergovernmental Panel on Climate Change (IPCC) assessment and special reports using a quantitative text analysis. IPCC reports are considered the preeminent source of relevant climate change information and underpin international climate change negotiations. Study Findings Results show that international trade has not had substantial coverage in recent IPCC assessments. Relevant keywords associated with trade appear in very limited ways, generally in relation to the words product and transport. These keywords are often referring to emissions associated with transportation and the movement of food and global food systems. The influence of trade is given larger consideration with respect to the costs and trade-offs of climate mitigation policies, especially the interactions with food availability, that appear in Working Group III reports compared with the risks to trade from climate change impacts in Working Group II. Trade in relation to other economic sectors is largely absent as well as risks from potential climate-related trade disruption. There is almost no treatment of the potential impacts, risks, and adaptation strategies to manage the climate related-implications for international trade. Recommendations Given the importance of trade to economic growth, we recommend that additional attention be paid to trade and related economic issues in future IPCC assessment and special reports, specifically on the interactions of climate impacts and risks on trade and the potential for trade to moderate these risks. To achieve this, there must be efforts to increase the base of scientific literature focused on climate change and international trade as well as increased effort made among IPCC lead authors to review trade literature that may lie outside conventional climate change scholarship.</t>
  </si>
  <si>
    <t>[Dawson, Jackie; Holloway, Jean; Debortoli, Nathan] Univ Ottawa, Dept Geog Environm &amp; Geomat, Ottawa, ON, Canada; [Gilmore, Elisabeth] Clark Univ, Dept Int Dev Community &amp; Environm, Worcester, MA 01610 USA</t>
  </si>
  <si>
    <t>University of Ottawa; Clark University</t>
  </si>
  <si>
    <t>Dawson, J (corresponding author), Univ Ottawa, Dept Geog Environm &amp; Geomat, Ottawa, ON, Canada.</t>
  </si>
  <si>
    <t>jackie.dawson@uottawa.ca</t>
  </si>
  <si>
    <t>Debortoli, Nathan S./F-2591-2016</t>
  </si>
  <si>
    <t>Debortoli, Nathan S./0000-0002-2467-243X; Dawson, Jackie/0000-0002-3532-2742</t>
  </si>
  <si>
    <t>Canada Research Chairs program; Clear Seas; ArcticNet; MEOPAR</t>
  </si>
  <si>
    <t>Canada Research Chairs program(Canada Research Chairs); Clear Seas; ArcticNet; MEOPAR</t>
  </si>
  <si>
    <t>The authors would like to acknowledge the support provided for this research from the Canada Research Chairs program, Clear Seas, ArcticNet, and MEOPAR.</t>
  </si>
  <si>
    <t>2198-6061</t>
  </si>
  <si>
    <t>CURR CLIM CHANGE REP</t>
  </si>
  <si>
    <t>Curr. Clim. Chang. Rep.</t>
  </si>
  <si>
    <t>10.1007/s40641-020-00163-x</t>
  </si>
  <si>
    <t>Meteorology &amp; Atmospheric Sciences</t>
  </si>
  <si>
    <t>OV1NN</t>
  </si>
  <si>
    <t>WOS:000574379900001</t>
  </si>
  <si>
    <t>Hsu, A; Brandt, J; Widerberg, O; Chan, S; Weinfurter, A</t>
  </si>
  <si>
    <t>Hsu, Angel; Brandt, John; Widerberg, Oscar; Chan, Sander; Weinfurter, Amy</t>
  </si>
  <si>
    <t>Exploring links between national climate strategies and non-state and subnational climate action in nationally determined contributions (NDCs)</t>
  </si>
  <si>
    <t>PARIS AGREEMENT; GOVERNANCE; ORCHESTRATION; PERFORMANCE; NEED</t>
  </si>
  <si>
    <t>Non-state and sub-national actors (e.g. companies, civil society, cities and regions, collectively referred to as 'NSAs') could bridge the ambition gap left by insufficiently ambitious nationally determined contributions (NDCs) under the Paris Agreement. Increasing effective non-state and sub-national contributions could both support NDCs' implementation and spur ambitious updates to these national climate action plans. The impact of NSAs depends partly on whether and how national climate strategies recognize them. Yet, systematic knowledge about the extent to which national governments envisage a role for non-state and sub-national climate action is scarce. How do governments refer to NSAs in their NDCs; and what capacities, functions, and in which sectors do they envisage non-state contributions? We apply structural topic modelling (STM), an efficient quantitative text analysis technique seldom used in global climate governance research, to 147 NDCs to explore whether and how national governments incorporate non-state and subnational contributions into their international climate commitments. Using this method, we identify key topics for non-state and subnational engagement in NDCs, including vulnerability and adaptation, monitoring, general and sector-specific collaboration, and policy support. We find that developing countries overwhelmingly reference NSAs more frequently than developed countries. We also find predominantly negative trade-offs in how countries link to NSAs, suggesting countries tend to mention NSAs' contributions in specific roles rather than across multiple sectors. Our findings suggest there is scope for countries to broaden their linkage to NSAs in their updated NDCs to further catalyze engagement. Key policy insights Linkages to NSA initiatives (including cities, regions, businesses or civil society) in NDCs under the Paris Agreement are mostly made by developing countries. Developing countries describe NSAs primarily in the context of vulnerability and adaptation policy implementation, while developed countries mainly describe these actors' role as collaborators across a range of functions. Closer coordination between NSAs and national governments, to fully leverage NSA contributions to NDCs, can be achieved by explicitly outlining NSAs' contributions in future updates of NDCs.</t>
  </si>
  <si>
    <t>[Hsu, Angel; Weinfurter, Amy] Yale NUS Coll, Environm Studies, Singapore, Singapore; [Hsu, Angel; Brandt, John; Weinfurter, Amy] Yale Sch Forestry &amp; Environm Studies, New Haven, CT 06511 USA; [Widerberg, Oscar] Vrije Univ Amsterdam, Inst Environm Studies, Bonn, Germany; [Chan, Sander] DIE, German Dev Inst, Bonn, Germany; [Chan, Sander] Univ Utrecht, Copernicus Inst Sustainable Dev, Utrecht, Netherlands</t>
  </si>
  <si>
    <t>Yale NUS College; Yale University; Deutsches Institut Entwicklungspolitik (DIE); Utrecht University</t>
  </si>
  <si>
    <t>Hsu, A (corresponding author), Yale NUS Coll, Environm Studies, Singapore, Singapore.;Hsu, A (corresponding author), Yale Sch Forestry &amp; Environm Studies, New Haven, CT 06511 USA.</t>
  </si>
  <si>
    <t>angel.hsu@yale.edu</t>
  </si>
  <si>
    <t>Widerberg, Oscar/0000-0002-8088-3709; Chan, Sander/0000-0001-7852-3838; Brandt, John/0000-0001-6212-0460</t>
  </si>
  <si>
    <t>APR 20</t>
  </si>
  <si>
    <t>10.1080/14693062.2019.1624252</t>
  </si>
  <si>
    <t>LG1IX</t>
  </si>
  <si>
    <t>WOS:000475253000001</t>
  </si>
  <si>
    <t>Eichstaedt, JC; Kern, ML; Yaden, DB; Schwartz, HA; Giorgi, S; Park, G; Hagan, CA; Tobolsky, VA; Smith, LK; Buffone, A; Iwry, J; Seligman, MEP; Ungar, LH</t>
  </si>
  <si>
    <t>Eichstaedt, Johannes C.; Kern, Margaret L.; Yaden, David B.; Schwartz, H. A.; Giorgi, Salvatore; Park, Gregory; Hagan, Courtney A.; Tobolsky, Victoria A.; Smith, Laura K.; Buffone, Anneke; Iwry, Jonathan; Seligman, Martin E. P.; Ungar, Lyle H.</t>
  </si>
  <si>
    <t>Closed- and Open-Vocabulary Approaches to Text Analysis: A Review, Quantitative Comparison, and Recommendations</t>
  </si>
  <si>
    <t>text analysis; computational social science; method comparison; language; natural language processing</t>
  </si>
  <si>
    <t>LATENT SEMANTIC ANALYSIS; SOCIAL MEDIA; LANGUAGE USE; NATURAL-LANGUAGE; SECRET LIFE; WORDS; REPRESENTATIONS; DICTIONARIES; TRAITS; MODELS</t>
  </si>
  <si>
    <t>Technology now makes it possible to understand efficiently and at large scale how people use language to reveal their everyday thoughts, behaviors, and emotions. Written text has been analyzed through both theory-based, closed-vocabulary methods from the social sciences as well as datadriven, open-vocabulary methods from computer science, but these approaches have not been comprehensively compared. To provide guidance on best practices for automatically analyzing written text, this narrative review and quantitative synthesis compares five predominant closed- and open-vocabulary methods: Linguistic Inquiry and Word Count (LIWC), the General Inquirer, DICTION, Latent Dirichlet Allocation, and Differential Language Analysis. We compare the linguistic features associated with gender, age, and personality across the five methods using an existing dataset of Facebook status updates and self-reported survey data from 65,896 users. Results are fairly consistent across methods. The closed-vocabulary approaches efficiently summarize concepts and are helpful for understanding how people think, with LIWC2015 yielding the strongest, most parsimonious results. Open- vocabulary approaches reveal more specific and concrete patterns across a broad range of content domains, better address ambiguous word senses, and are less prone to misinterpretation, suggesting that they are well-suited for capturing the nuances of everyday psychological processes. We detail several errors that can occur in closed-vocabulary analyses, the impact of sample size, number of words per user and number of topics included in open-vocabulary analyses, and implications of different analytical decisions. We conclude with recommendations for researchers, advocating for a complementary approach that combines closed- and open-vocabulary methods. Translational Abstract A considerable amount of text data exists online that capture people's everyday thoughts, emotions, and behaviors. Technological advances now make it possible to analyze such data efficiently and at large scale, providing insights into everyday psychological processes as they occur in the real world. To provide guidance on best practice approaches for using such data effectively, this synthesis reviews and quantitively compares the main closed-vocabulary approaches (theoretically derived lists of words from the social sciences) and open-vocabulary approaches (data-driven techniques from computer science that explore many words, phrases, and topics) for automated text analysis. We find that the different methods are complementary; closed-vocabulary approaches provide a way to study the fundamental patterns of how people think and feel, whereas open-vocabulary approaches best elucidate what people think and feel.</t>
  </si>
  <si>
    <t>[Eichstaedt, Johannes C.] Stanford Univ, Dept Psychol, 450 Jane Stanford Way,Bldg 420, Stanford, CA 94305 USA; [Eichstaedt, Johannes C.] Stanford Univ, Inst Human Ctr AI, Stanford, CA 94305 USA; [Kern, Margaret L.] Univ Melbourne, Melbourne Grad Sch Educ, Melbourne, Vic, Australia; [Yaden, David B.] Johns Hopkins Med, Dept Psychiat &amp; Behav Sci, Baltimore, MD USA; [Schwartz, H. A.] SUNY Stony Brook, Dept Comp Sci, New York, NY USA; [Giorgi, Salvatore; Park, Gregory; Hagan, Courtney A.; Tobolsky, Victoria A.; Smith, Laura K.; Buffone, Anneke; Iwry, Jonathan; Seligman, Martin E. P.; Ungar, Lyle H.] Univ Penn, Dept Psychol, Philadelphia, PA 19104 USA</t>
  </si>
  <si>
    <t>Stanford University; Stanford University; University of Melbourne; Johns Hopkins University; Johns Hopkins Medicine; State University of New York (SUNY) System; SUNY Community College; State University of New York (SUNY) Stony Brook; University of Pennsylvania</t>
  </si>
  <si>
    <t>Eichstaedt, JC (corresponding author), Stanford Univ, Dept Psychol, 450 Jane Stanford Way,Bldg 420, Stanford, CA 94305 USA.;Kern, ML (corresponding author), Univ Melbourne, Melbourne Grad Sch Educ, Melbourne, Vic, Australia.</t>
  </si>
  <si>
    <t>johannes.stanford@gmail.com; peggy.kern@unimelb.edu.au</t>
  </si>
  <si>
    <t>Eichstaedt, Johannes/0000-0002-3220-2972; Giorgi, Salvatore/0000-0001-7381-6295; Yaden, David/0000-0002-9604-6227</t>
  </si>
  <si>
    <t>10.1037/met0000349</t>
  </si>
  <si>
    <t>WO0PV</t>
  </si>
  <si>
    <t>WOS:000712166200002</t>
  </si>
  <si>
    <t>Fear, Hope, and COVID-19: Emotional Elite Rhetoric and Its Impact on the Public During the First Wave of the COVID-19 Pandemic</t>
  </si>
  <si>
    <t>emotions; covid-19; political communication; computational text analysis; text-as-data</t>
  </si>
  <si>
    <t>RISK PERCEPTION; COMMUNICATION; BEHAVIOR; TWITTER; OPINION; SUPPORT</t>
  </si>
  <si>
    <t>Research shows that emotions matter in politics, and they matter during a public health crisis. Yet, a comprehensive analysis of emotional political rhetoric during the COVID-19 crisis is still missing. Based on parties' position in the political arena (government versus populist radical parties), I expect differences in how specific emotions are employed and in how these messages actually influence the public. To test my hypotheses, I use word embeddings and neural network classifiers to measure fear and hope appeals in social media messages of political parties in four European countries. Furthermore, I rely on more than 1,400,000 public tweets of random citizens to estimate the impact of party messages. To do so, I employ vector autoregression (VAR) analysis to compare retweet volumes of political messages to emotional expressions in public tweets. Results indicate two main findings, (1) populist radical parties communicate less about the pandemic and decrease fear and increase hope appeals while COVID case numbers are rising whereas government parties exhibit the opposite pattern; (2) increased diffusion of party tweets consistently precedes change in partisans' emotional expressions the following day. The findings can carry important implications for (affective) polarization and the level of protective behavior among the population.</t>
  </si>
  <si>
    <t>[Widmann, Tobias] Aarhus Univ, Dept Polit Sci, Aarhus, Denmark</t>
  </si>
  <si>
    <t>Widmann, T (corresponding author), European Univ Inst, Dept Polit &amp; Social Sci, Via Rocettini 9, I-50014 Florence, Italy.</t>
  </si>
  <si>
    <t>widmann@ps.au.dk</t>
  </si>
  <si>
    <t>10.1111/pops.12831</t>
  </si>
  <si>
    <t>4L2TA</t>
  </si>
  <si>
    <t>WOS:000792505100001</t>
  </si>
  <si>
    <t>Gessler, T; Hunger, S</t>
  </si>
  <si>
    <t>Gessler, Theresa; Hunger, Sophia</t>
  </si>
  <si>
    <t>How the refugee crisis and radical right parties shape party competition on immigration</t>
  </si>
  <si>
    <t>Immigration; radical right; party competition; refugee crisis; text-as-data; mainstream parties</t>
  </si>
  <si>
    <t>POLITICAL-PARTIES; ISSUE OWNERSHIP; MEASURING POPULISM; WESTERN-EUROPE; NEWS COVERAGE; MAINSTREAM; IMPACT; VISIBILITY; POSITIONS; SUPPORT</t>
  </si>
  <si>
    <t>While the structure of party competition evolves slowly, crisis-like events can induce short-term change to the political agenda. This may be facilitated by challenger parties who might benefit from increased attention to issues they own. We study the dynamic of such shifts through mainstream parties' response to the 2015 refugee crisis, which strongly affected public debate and election outcomes across Europe. Specifically, we analyse how parties changed their issue emphasis and positions regarding immigration before, during, and after the refugee crisis. Our study is based on a corpus of 120,000 press releases between 2013 and 2017 from Austria, Germany, and Switzerland. We identify immigration-related press releases using a novel dictionary and estimate party positions. The resulting monthly salience and positions measures allow for studying changes in close time-intervals, providing crucial detail for disentangling the impact of the crisis itself and the contribution of right-wing parties. While we provide evidence that attention to immigration increased drastically for all parties during the crisis, radical right parties drove the attention of mainstream parties. However, the attention of mainstream parties to immigration decreased toward the end of the refugee crisis and there is limited evidence of parties accommodating the positions of the radical right.</t>
  </si>
  <si>
    <t>[Gessler, Theresa] Univ Zurich, Dept Polit Sci, Zurich, Switzerland; [Hunger, Sophia] WZB Berlin Social Sci Ctr, Ctr Civil Soc Res, Berlin, Germany</t>
  </si>
  <si>
    <t>Hunger, S (corresponding author), WZB Berlin Social Sci Ctr, Ctr Civil Soc Res, Berlin, Germany.</t>
  </si>
  <si>
    <t>Gessler, Theresa/AAB-5676-2019; Hunger, Sophia/ABF-9781-2020</t>
  </si>
  <si>
    <t>Gessler, Theresa/0000-0003-2339-6266; Hunger, Sophia/0000-0002-3859-5674</t>
  </si>
  <si>
    <t>10.1017/psrm.2021.64</t>
  </si>
  <si>
    <t>WOS:000792311900001</t>
  </si>
  <si>
    <t>Yeung, RC; Stastna, M; Fernandes, MA</t>
  </si>
  <si>
    <t>Yeung, Ryan C.; Stastna, Marek; Fernandes, Myra A.</t>
  </si>
  <si>
    <t>Understanding autobiographical memory content using computational text analysis</t>
  </si>
  <si>
    <t>MEMORY</t>
  </si>
  <si>
    <t>Autobiographical memory; involuntary autobiographical memory; text as data; natural language processing; content analysis</t>
  </si>
  <si>
    <t>RECURRENT INVOLUNTARY MEMORIES; INTRUSIVE MEMORIES; CONSTRUCTION; SENTIMENT; IDENTITY; FEATURES; TRAUMA; WORDS; OLD; KEY</t>
  </si>
  <si>
    <t>Although research on autobiographical memory (AM) continues to grow, there remain few methods to analyze AM content. Past approaches are typically manual, and prohibitively time- and labour-intensive. These methodological limitations are concerning because content may provide insights into the nature and functions of AM. In particular, analyzing content in recurrent involuntary autobiographical memories (IAMs; those that spring to mind unintentionally and repetitively) could resolve controversies about whether these memories typically involve mundane or distressing events. Here, we present computational methods that can analyze content in thousands of participants' AMs, without needing to hand-code each memory. A sample of 6,187 undergraduates completed surveys about recurrent IAMs, resulting in 3,624 text descriptions. Using frequency analyses, we identified common (e.g., time, friend) and distinctive words in recurrent IAMs (e.g., argument as distinctive to negative recurrent IAMs). Using structural topic modelling, we identified coherent topics (e.g., Negative past relationships, Conversations, Experiences with family members) within recurrent IAMs and found that topic use significantly differed depending on the valence of these memories. Computational methods allowed us to analyze large quantities of AM content with enhanced granularity and reproducibility. We present the means to enable future research on AM content at an unprecedented scope and scale.</t>
  </si>
  <si>
    <t>[Yeung, Ryan C.; Fernandes, Myra A.] Univ Waterloo, Dept Psychol, Waterloo, ON, Canada; [Stastna, Marek] Univ Waterloo, Dept Appl Math, Waterloo, ON, Canada</t>
  </si>
  <si>
    <t>University of Waterloo; University of Waterloo</t>
  </si>
  <si>
    <t>Yeung, RC (corresponding author), Univ Waterloo, Dept Psychol, Psychol Anthropol &amp; Sociol PAS Bldg, 200 Univ Ave West, Waterloo, ON N2L 3G1, Canada.</t>
  </si>
  <si>
    <t>Fernandes, Myra/0000-0002-1467-0342; Stastna, Marek/0000-0003-1770-2044</t>
  </si>
  <si>
    <t>Natural Sciences and Engineering Research Council of Canada (NSERC) [CGSD3-535024-2019]; NSERC Discovery Grant [2020-03917]</t>
  </si>
  <si>
    <t>Natural Sciences and Engineering Research Council of Canada (NSERC)(Natural Sciences and Engineering Research Council of Canada (NSERC)); NSERC Discovery Grant(Natural Sciences and Engineering Research Council of Canada (NSERC))</t>
  </si>
  <si>
    <t>This work was supported by the Natural Sciences and Engineering Research Council of Canada (NSERC) through an Alexander Graham Bell Canada Graduate Scholarship (CGSD3-535024-2019) awarded to author Ryan C. Yeung, and an NSERC Discovery Grant (2020-03917) awarded to author Myra A. Fernandes. Data and code supporting the findings of this study are openly available on the Open Science Framework at https://doi.org/10.17605/OSF.IO/3584C.This study was not preregistered.</t>
  </si>
  <si>
    <t>0965-8211</t>
  </si>
  <si>
    <t>1464-0686</t>
  </si>
  <si>
    <t>Memory</t>
  </si>
  <si>
    <t>NOV 26</t>
  </si>
  <si>
    <t>10.1080/09658211.2022.2104317</t>
  </si>
  <si>
    <t>5L6HN</t>
  </si>
  <si>
    <t>WOS:000838580000001</t>
  </si>
  <si>
    <t>Gallagher, RJ; Frank, MR; Mitchell, L; Schwartz, AJ; Reagan, AJ; Danforth, CM; Dodds, PS</t>
  </si>
  <si>
    <t>Gallagher, Ryan J.; Frank, Morgan R.; Mitchell, Lewis; Schwartz, Aaron J.; Reagan, Andrew J.; Danforth, Christopher M.; Dodds, Peter Sheridan</t>
  </si>
  <si>
    <t>Generalized word shift graphs: a method for visualizing and explaining pairwise comparisons between texts</t>
  </si>
  <si>
    <t>EPJ DATA SCIENCE</t>
  </si>
  <si>
    <t>Text as data; Data visualization; Word shift graphs; Sentiment analysis; Computational social science; Digital humanities; Natural language processing; Information theory</t>
  </si>
  <si>
    <t>A common task in computational text analyses is to quantify how two corpora differ according to a measurement like word frequency, sentiment, or information content. However, collapsing the texts' rich stories into a single number is often conceptually perilous, and it is difficult to confidently interpret interesting or unexpected textual patterns without looming concerns about data artifacts or measurement validity. To better capture fine-grained differences between texts, we introduce generalized word shift graphs, visualizations which yield a meaningful and interpretable summary of how individual words contribute to the variation between two texts for any measure that can be formulated as a weighted average. We show that this framework naturally encompasses many of the most commonly used approaches for comparing texts, including relative frequencies, dictionary scores, and entropy-based measures like the Kullback-Leibler and Jensen-Shannon divergences. Through a diverse set of case studies ranging from presidential speeches to tweets posted in urban green spaces, we demonstrate how generalized word shift graphs can be flexibly applied across domains for diagnostic investigation, hypothesis generation, and substantive interpretation. By providing a detailed lens into textual shifts between corpora, generalized word shift graphs help computational social scientists, digital humanists, and other text analysis practitioners fashion more robust scientific narratives.</t>
  </si>
  <si>
    <t>[Gallagher, Ryan J.] Northeastern Univ, Network Sci Inst, Boston, MA 02115 USA; [Frank, Morgan R.] Univ Pittsburgh, Dept Informat &amp; Networked Syst, Pittsburgh, PA 15260 USA; [Frank, Morgan R.] MIT, Connect Sci, Cambridge, MA 02139 USA; [Frank, Morgan R.] Stanford Univ, Inst Human Ctr Artificial Intelligence, Stanford, CA 94305 USA; [Mitchell, Lewis] Univ Adelaide, Sch Math Sci, Adelaide, SA 5005, Australia; [Schwartz, Aaron J.; Danforth, Christopher M.; Dodds, Peter Sheridan] Univ Vermont, Vermont Complex Syst Ctr, Computat Story Lab, Burlington, VT 05401 USA; [Schwartz, Aaron J.; Danforth, Christopher M.; Dodds, Peter Sheridan] Univ Vermont, Vermont Adv Comp Core, Burlington, VT 05401 USA; [Schwartz, Aaron J.] Univ Vermont, Gund Inst Environm, Burlington, VT 05401 USA; [Schwartz, Aaron J.] Univ Vermont, Rubenstein Sch Environm &amp; Nat Resources, Burlington, VT 05401 USA; [Schwartz, Aaron J.] Univ Colorado Boulder, Dept Ecol &amp; Evolutionary Biol, Boulder, CO USA; [Reagan, Andrew J.] MassMutual Data Sci, Amherst, MA 01002 USA; [Danforth, Christopher M.; Dodds, Peter Sheridan] Univ Vermont, MassMutual Ctr Excellence Complex Syst &amp; Data Sci, Burlington, VT 05401 USA; [Danforth, Christopher M.; Dodds, Peter Sheridan] Univ Vermont, Dept Math &amp; Stat, Burlington, VT 05401 USA</t>
  </si>
  <si>
    <t>Northeastern University; Pennsylvania Commonwealth System of Higher Education (PCSHE); University of Pittsburgh; Massachusetts Institute of Technology (MIT); Stanford University; University of Adelaide; University of Vermont; University of Vermont; University of Vermont; University of Vermont; University of Colorado System; University of Colorado Boulder; University of Vermont; University of Vermont</t>
  </si>
  <si>
    <t>Gallagher, RJ (corresponding author), Northeastern Univ, Network Sci Inst, Boston, MA 02115 USA.</t>
  </si>
  <si>
    <t>gallagher.r@northeastern.edu</t>
  </si>
  <si>
    <t>Dodds, Peter/C-9119-2014</t>
  </si>
  <si>
    <t>Dodds, Peter/0000-0003-1973-8614</t>
  </si>
  <si>
    <t>Massachusetts Mutual Life Insurance Company; Google Open Source under the Open-Source Complex Ecosystems And Networks (OCEAN) project</t>
  </si>
  <si>
    <t>Massachusetts Mutual Life Insurance Company; Google Open Source under the Open-Source Complex Ecosystems And Networks (OCEAN) project(Google Incorporated)</t>
  </si>
  <si>
    <t>CMD and PSD are grateful for financial support from the Massachusetts Mutual Life Insurance Company and Google Open Source under the Open-Source Complex Ecosystems And Networks (OCEAN) project. Neither funding source had any role in the collection, analysis, or interpretation of the data.</t>
  </si>
  <si>
    <t>2193-1127</t>
  </si>
  <si>
    <t>EPJ DATA SCI</t>
  </si>
  <si>
    <t>EPJ Data Sci.</t>
  </si>
  <si>
    <t>JAN 19</t>
  </si>
  <si>
    <t>10.1140/epjds/s13688-021-00260-3</t>
  </si>
  <si>
    <t>Mathematics, Interdisciplinary Applications; Social Sciences, Mathematical Methods</t>
  </si>
  <si>
    <t>Mathematics; Mathematical Methods In Social Sciences</t>
  </si>
  <si>
    <t>PY4ST</t>
  </si>
  <si>
    <t>WOS:000612036500001</t>
  </si>
  <si>
    <t>Atkinson, ML; Mousavi, R; Windett, JH</t>
  </si>
  <si>
    <t>Atkinson, Mary Layton; Mousavi, Reza; Windett, Jason H.</t>
  </si>
  <si>
    <t>Detecting Diverse Perspectives: Using Text Analytics to Reveal Sex Differences in Congressional Debate About Defense</t>
  </si>
  <si>
    <t>substantive representation; women in Congress; text as data; defense policy</t>
  </si>
  <si>
    <t>GENDER-DIFFERENCES; NATIONAL-SECURITY; CANDIDATE GENDER; UNITED-STATES; WOMEN; ISSUES; STEREOTYPES; ELECTIONS; ATTITUDES; SPEECHES</t>
  </si>
  <si>
    <t>Scholars interested in substantive representation for women have primarily focused on whether women vote for and prioritize women's issue legislation. It is now well established that female lawmakers do vote for and introduce bills on issues like reproductive rights, childcare, and women's health at rates higher than men. With this finding widely accepted, scholars have more recently investigated levels of female involvement on a wider range of topics and find that women are just as active as men-sometimes even more active-on an array of policy topics other than women's issues. Several studies show women are more active sponsors of defense-related bills than are their male colleagues. We provide a case study that investigates whether female lawmakers offer distinct perspectives on these topics. We use structural topic modeling to explore sex and party differences in floor speeches delivered in the House of Representatives. Our analysis of these floor speeches given in the 109th Congress reveals that women and men do focus their attention on distinct facets of defense issues-focusing on the implications of war for women, civilians, and communities-and that these differences are conditioned by party.</t>
  </si>
  <si>
    <t>[Atkinson, Mary Layton; Windett, Jason H.] UNC Charlotte, Dept Polit Sci &amp; Publ Adm, Publ Policy PhD Program, Charlotte, NC USA</t>
  </si>
  <si>
    <t>Atkinson, ML (corresponding author), UNC Charlotte, Polit Sci &amp; Publ Adm, 9201 Univ City Blvd, Charlotte, NC 28223 USA.</t>
  </si>
  <si>
    <t>matkinson@uncc.edu</t>
  </si>
  <si>
    <t>10.1177/10659129211045048</t>
  </si>
  <si>
    <t>ZK2NC</t>
  </si>
  <si>
    <t>WOS:000762829400001</t>
  </si>
  <si>
    <t>Kergroach, S</t>
  </si>
  <si>
    <t>Kergroach, Sandrine</t>
  </si>
  <si>
    <t>National innovation policies for technology upgrading through GVCs: A cross-country comparison</t>
  </si>
  <si>
    <t>TECHNOLOGICAL FORECASTING AND SOCIAL CHANGE</t>
  </si>
  <si>
    <t>Technology upgrading; Policy mix; Global value chains; Innovation; Benchmarking</t>
  </si>
  <si>
    <t>GLOBAL VALUE CHAINS; SYSTEMS</t>
  </si>
  <si>
    <t>This paper considers how innovation policy mixes are designed for increasing a country's participation in global value chains (GVCs) and accelerating industrial and technological upgrading. A benchmarking concept compares science, technology and innovation (STI) policies across countries taking into account country absorptive capacities, performance in GVCs and the way these policies are embedded in the national STI policy context. Data cover selected OECD and emerging economies drawing on the EC/OECD STI Policy database. An exploratory text-as-data approach is taken. National policy mixes for GVC integration and technology upgrading seem to be developed on the basis of prior positioning in GVCs. Policy mixes are polymorphs in so far as they combine different instruments across different policy domains with different functions according to national structural features and comparative advantages. While essential, especially to technology upgrading, industrial and cluster policies are not the only channels of policy intervention. Foreign direct investment (FDI)-related policies and initiatives in support of the internationalisation of firms and universities also appear to be key. Financial instruments remain the most popular policy tools for supporting integration into GVCs and countries combine a broad range of funding mechanisms with international investment promotion activities and the deployment of networking and world-class research facilities.</t>
  </si>
  <si>
    <t>[Kergroach, Sandrine] Org Econ Cooperat &amp; Dev, 2 Rue Andre Pascal, F-75775 Paris 16, France</t>
  </si>
  <si>
    <t>Organisation for Economic Co-operation &amp; Development (OECD)</t>
  </si>
  <si>
    <t>Kergroach, S (corresponding author), Org Econ Cooperat &amp; Dev, 2 Rue Andre Pascal, F-75775 Paris 16, France.</t>
  </si>
  <si>
    <t>sandrine.kergroach@oecd.org</t>
  </si>
  <si>
    <t>0040-1625</t>
  </si>
  <si>
    <t>1873-5509</t>
  </si>
  <si>
    <t>TECHNOL FORECAST SOC</t>
  </si>
  <si>
    <t>Technol. Forecast. Soc. Chang.</t>
  </si>
  <si>
    <t>10.1016/j.techfore.2018.04.033</t>
  </si>
  <si>
    <t>Business; Regional &amp; Urban Planning</t>
  </si>
  <si>
    <t>IH7IZ</t>
  </si>
  <si>
    <t>WOS:000474678600025</t>
  </si>
  <si>
    <t>Arora, N; Saggar, R; Singh, B</t>
  </si>
  <si>
    <t>Arora, Nischay; Saggar, Ridhima; Singh, Balwinder</t>
  </si>
  <si>
    <t>Nexus between risk disclosure and corporate reputation: a longitudinal approach</t>
  </si>
  <si>
    <t>JOURNAL OF STRATEGY AND MANAGEMENT</t>
  </si>
  <si>
    <t>Risk disclosure; Corporate reputation; Market capitalization; Legitimacy theory</t>
  </si>
  <si>
    <t>Purpose The study aims to explore the unexplored domain by examining the impact of risk disclosure on corporate reputation in an emerging economy, like India, characterized by huge information asymmetry and uncertainty. Design/methodology/approach In total two measures of corporate reputation, i.e. market capitalization and excess of market value over book value have been deployed to measure reputation. Automated content analysis has been executed to measure the extent of total risk disclosure. The empirical analysis is premised on a sample of S&amp;P BSE-100 index spanning over the period of ten years from 2009-2010 to 2018-2019; which eventually gets reduced to 58 nonfinancial firms. In order to unearth the risk-reputation relationship, a panel regression technique has been employed. Findings The main findings unmask that corporate risk disclosure has a positive bearing on corporate reputation. Substantiating legitimacy theory, its alternative measures like market capitalization and excess of market value over book value divulged to positively influence corporate reputation. Research limitations/implications The study has certain limitations: since there is no standard method of measuring reputation, the results may vary subject to the changes in proxies of corporate reputation. The study also analyzed S&amp;P BSE 100 index in India, and future research needs to approach a larger sample and in other emerging economies to fill up enough empirical evidence in this domain. Practical implications The findings provide insight into the managers on making higher divulgence of material risk information for augmenting corporate reputation. In other words, it indirectly propels the firm to exhibit higher risk information for building reputational capital. From the investor's standpoint, they should admire such firms which dispel more risk information and should have positive outlook toward them, which in turn prompts them to disclose more risks. Originality/value This study is unique as it is the first longitudinal study examining the impact of risk disclosure on corporate reputation in Indian settings. It, thus, assists in furthering the risk disclosure literature where there is hardly any study that comprehensively looks into risk-reputation liaison among Indian nonfinancial companies.</t>
  </si>
  <si>
    <t>[Arora, Nischay; Saggar, Ridhima; Singh, Balwinder] Guru Nanak Dev Univ, Univ Sch Financial Studies, Amritsar, Punjab, India</t>
  </si>
  <si>
    <t>Guru Nanak Dev University</t>
  </si>
  <si>
    <t>Arora, N (corresponding author), Guru Nanak Dev Univ, Univ Sch Financial Studies, Amritsar, Punjab, India.</t>
  </si>
  <si>
    <t>aroranischay008@gmail.com; saggarridhima@gmail.com; bksaini@gmail.com</t>
  </si>
  <si>
    <t>1755-425X</t>
  </si>
  <si>
    <t>J STRATEGY MANAG</t>
  </si>
  <si>
    <t>J. Strategy Manag.</t>
  </si>
  <si>
    <t>10.1108/JSMA-06-2020-0162</t>
  </si>
  <si>
    <t>WL7DW</t>
  </si>
  <si>
    <t>WOS:000612963800001</t>
  </si>
  <si>
    <t>Chen, YN; Hakkani-Tur, D</t>
  </si>
  <si>
    <t>Calzolari, N; Choukri, K; Declerck, T; Goggi, S; Grobelnik, M; Maegaard, B; Mariani, J; Mazo, H; Moreno, A; Odijk, J; Piperidis, S</t>
  </si>
  <si>
    <t>Yun-Nung Chen; Hakkani-Tur, Dilek</t>
  </si>
  <si>
    <t>AIMU: Actionable Items for Meeting Understanding</t>
  </si>
  <si>
    <t>LREC 2016 - TENTH INTERNATIONAL CONFERENCE ON LANGUAGE RESOURCES AND EVALUATION</t>
  </si>
  <si>
    <t>10th International Conference on Language Resources and Evaluation (LREC)</t>
  </si>
  <si>
    <t>MAY 23-28, 2016</t>
  </si>
  <si>
    <t>European Language Resources Assoc,Evaluat &amp; Language Resources Distribut Agcy,Ist Linguistica Computazionale,European Media Lab GmbH,Intel</t>
  </si>
  <si>
    <t>actionable item; meeting understanding; convolotional deep structured semantic model (CDSSM); embeddings</t>
  </si>
  <si>
    <t>With emerging conversational data, automated content analysis is needed for better data interpretation, so that it is accurately understood and can be effectively integrated and utilized in various applications. ICSI meeting corpus is a publicly released data set of multi-party meetings in an organization that has been released over a decade ago, and has been fostering meeting understanding research since then. The original data collection includes transcription of participant turns as well as meta-data annotations, such as disfluencies and dialog act tags. This paper presents an extended set of annotations for the ICSI meeting corpus with a goal of deeply understanding meeting conversations, where participant turns are annotated by actionable items that could be performed by an automated meeting assistant. In addition to the user utterances that contain an actionable item, annotations also include the arguments associated with the actionable item. The set of actionable items are determined by aligning human-human interactions to human-machine interactions, where a data annotation schema designed for a virtual personal assistant (human-machine genre) is adapted to the meetings domain (human-human genre). The data set is formed by annotating participants' utterances in meetings with potential intents/actions considering their contexts. The set of actions target what could be accomplished by an automated meeting assistant, such as taking a note of action items that a participant commits to, or finding emails or topic related documents that were mentioned during the meeting. A total of 10 defined intents/actions are considered as actionable items in meetings. Turns that include actionable intents were annotated for 22 public ICSI meetings, that include a total of 21K utterances, segmented by speaker turns. Participants' spoken turns, possible actions along with associated arguments and their vector representations as computed by convolutional deep structured semantic models are included in the data set for future research. We present a detailed statistical analysis of the data set and analyze the performance of applying convolutional deep structured semantic models for an actionable item detection task. The data is available at http://research.microsoft.com/projects/meetingunderstanding/.</t>
  </si>
  <si>
    <t>[Yun-Nung Chen; Hakkani-Tur, Dilek] Microsoft Res, Redmond, WA 98052 USA</t>
  </si>
  <si>
    <t>Microsoft</t>
  </si>
  <si>
    <t>Chen, YN (corresponding author), Microsoft Res, Redmond, WA 98052 USA.</t>
  </si>
  <si>
    <t>y.v.chen@ieee.org; dilek@ieee.org</t>
  </si>
  <si>
    <t>EUROPEAN LANGUAGE RESOURCES ASSOC-ELRA</t>
  </si>
  <si>
    <t>55-57, RUE BRILLAT-SAVARIN, PARIS, 75013, FRANCE</t>
  </si>
  <si>
    <t>978-2-9517408-9-1</t>
  </si>
  <si>
    <t>BO8EW</t>
  </si>
  <si>
    <t>WOS:000526952500117</t>
  </si>
  <si>
    <t>Smith, DJ; Rodiguez-Labajos, B</t>
  </si>
  <si>
    <t>Smith, David J.; Rodriguez-Labajos, Beatriz</t>
  </si>
  <si>
    <t>Turning the wheel away from biophysical indicators in coastal zone management: Towards a stakeholder-based systemic framework</t>
  </si>
  <si>
    <t>ECOLOGICAL INDICATORS</t>
  </si>
  <si>
    <t>Indicators; Systemic; Coastal zones; Climate change; Monitoring; Coastal zone management; Framework; Quadruple helix stakeholders</t>
  </si>
  <si>
    <t>MULTI-HAZARD-ASSESSMENT; CLIMATE-CHANGE; ECOSYSTEM SERVICES; FISHERIES MANAGEMENT; RESOURCE-MANAGEMENT; VULNERABILITY; COMMUNITY; IMPACTS; METHODOLOGY; GOVERNANCE</t>
  </si>
  <si>
    <t>Coastal zone management is a pressing matter, especially in developing countries, which are highly vulnerable to the effects of climate change. Human systems are underrepresented in the vast array of indicators aimed at assisting coastal zone management decisions. Clearly, there is room to better capture natural and human system relationships and interactions in coastal area assessments. A case in point is the well-known Coastal Hazard Wheel (CHW). Hence three main objectives guide this paper: (i) Analysing the existing set of indicator themes and categories in coastal areas; (ii) Contrasting this set of indicators with the perceived needs of local coastal stakeholders from a developing country; and (iii) Proposing indicator categories to be included as part of a systemic coastal zone management framework. To this end, we undertook an automated content analysis of 1116 peer-reviewed articles on the subject matter. The analysis and a stringent set of criteria led to 40 articles that were reviewed to identify suitable indicators. In parallel, field research in Ghana allowed for a set of indicators from the quadruple helix stakeholders operating in coastal zones to be elicited. Contrasting the two sets of indicators resulted in three situations. The first involves 14 indicator categories that co-occur in the literature and the detected needs from local coastal stakeholders. In the second situation, the categories mentioned in the literature were those not mentioned at local level. A third situation appeared when the local coastal stakeholders mentioned categories of indicators that were not identified in the reviewed literature. After examining each case, we advocate for the indicators in the first situation to be incorporated into the current coastal indicator monitoring frameworks (for example by upgrading the CHW). The unique contribution of this paper is the combination of literature and stakeholder-based indicator sub-categories that should be added to the current set of coastal monitoring frameworks.</t>
  </si>
  <si>
    <t>[Smith, David J.; Rodriguez-Labajos, Beatriz] Autonomous Univ Barcelona UAB, Edifici ICTA ICP,Carrer Columnes S-N,Campus UAB, Barcelona 08193, Spain</t>
  </si>
  <si>
    <t>Autonomous University of Barcelona</t>
  </si>
  <si>
    <t>Smith, DJ (corresponding author), Autonomous Univ Barcelona UAB, Edifici ICTA ICP,Carrer Columnes S-N,Campus UAB, Barcelona 08193, Spain.</t>
  </si>
  <si>
    <t>david.smith@weandb.org; Beatriz.Rodriguez@uab.cat</t>
  </si>
  <si>
    <t>Rodriguez-Labajos, Beatriz/I-6257-2015</t>
  </si>
  <si>
    <t>Rodriguez-Labajos, Beatriz/0000-0002-0559-910X</t>
  </si>
  <si>
    <t>1470-160X</t>
  </si>
  <si>
    <t>1872-7034</t>
  </si>
  <si>
    <t>ECOL INDIC</t>
  </si>
  <si>
    <t>Ecol. Indic.</t>
  </si>
  <si>
    <t>10.1016/j.ecolind.2021.107527</t>
  </si>
  <si>
    <t>RI9BQ</t>
  </si>
  <si>
    <t>WOS:000637200800003</t>
  </si>
  <si>
    <t>Lamy, FR; Daniulaityte, R; Nahhas, RW; Barratt, MJ; Smith, AG; Sheth, A; Martins, SS; Boyer, EW; Carlson, RG</t>
  </si>
  <si>
    <t>Lamy, Francois R.; Daniulaityte, Raminta; Nahhas, Ramzi W.; Barratt, Monica J.; Smith, Alan G.; Sheth, Amit; Martins, Silvia S.; Boyer, Edward W.; Carlson, Robert G.</t>
  </si>
  <si>
    <t>Increases in synthetic cannabinoids-related harms: Results from a longitudinal web-based content analysis</t>
  </si>
  <si>
    <t>INTERNATIONAL JOURNAL OF DRUG POLICY</t>
  </si>
  <si>
    <t>Synthetic cannabinoids; Web-forums; Semantic web; Drug use ontology; NLP text processing</t>
  </si>
  <si>
    <t>TEXAS POISON CENTERS; CASE SERIES; CANNABIMIMETIC INDOLES; PUBLIC-HEALTH; SUBSTANCE USE; TWITTER DATA; SPICE; INTERNET; DRUG; INTOXICATION</t>
  </si>
  <si>
    <t>Background: Synthetic Cannabinoid Receptor Agonists (SCRA), also known as K2 or Spice, have drawn considerable attention due to their potential of abuse and harmful consequences. More research is needed to understand user experiences of SCRA-related effects. We use semi-automated information processing techniques through eDrugTrends platform to examine SCRA-related effects and their variations through a longitudinal content analysis of web-forum data. Method: English language posts from three drug-focused web-forums were extracted and analyzed between January 1st 2008 and September 30th 2015. Search terms are based on the Drug Use Ontology (DAO) created for this study (189 SCRA-related and 501 effect-related terms). EDrugTrends NLP-based text processing tools were used to extract posts mentioning SCRA and their effects. Generalized linear regression was used to fit restricted cubic spline functions of time to test whether the proportion of drug related posts that mention SCRA (and no other drug) and the proportion of these SCRA-only posts that mention SCRA effects have changed over time, with an adjustment for multiple testing. Results: 19,052 SCRA-related posts (Bluelight (n = 2782), Forum A (n = 3882), and Forum B (n = 12,388)) posted by 2543 international users were extracted. The most frequently mentioned effects were getting high (44.0%), hallucinations (10.8%), and anxiety (10.2%). The frequency of SCRA-only posts declined steadily over the study period. The proportions of SCRA-only posts mentioning positive effects (e.g., High and Euphoria) steadily decreased, while the proportions of SCRA-only posts mentioning negative effects (e.g., Anxiety, 'Nausea, Overdose) increased over the same period. Conclusion: This study's findings indicate that the proportion of negative effects mentioned in web forum posts and linked to SCRA has increased over time, suggesting that recent generations of SCRA generate more harms. This is also one of the first studies to conduct automated content analysis of web forum data related to illicit drug use. (C) 2017 Elsevier B.V. All rights reserved.</t>
  </si>
  <si>
    <t>[Lamy, Francois R.; Daniulaityte, Raminta; Carlson, Robert G.] Wright State Univ, Dept Populat &amp; Publ Hlth Sci, Ctr Intervent Treatment &amp; Addict Res, Dayton, OH 45435 USA; [Lamy, Francois R.; Daniulaityte, Raminta; Smith, Alan G.; Sheth, Amit; Carlson, Robert G.] Wright State Univ, Dept Comp Sci &amp; Engn, Ohio Ctr Excellence Knowledge Enabled Comp, Dayton, OH 45435 USA; [Nahhas, Ramzi W.] Wright State Univ, Dept Populat &amp; Publ Hlth Sci, Dayton, OH 45435 USA; [Nahhas, Ramzi W.] Wright State Univ, Dept Psychiat, Dayton, OH 45435 USA; [Barratt, Monica J.] UNSW Australia, Natl Drug &amp; Alcohol Res, Drug Policy Modelling Program, Sydney, NSW, Australia; [Barratt, Monica J.] Curtin Univ, Fac Hlth Sci, Natl Drug Res Inst, Bentley, WA, Australia; [Barratt, Monica J.] Burnet Inst, Ctr Populat Hlth, Melbourne, Vic, Australia; [Martins, Silvia S.] Columbia Univ, Dept Epidemiol, New York, NY USA; [Boyer, Edward W.] Harvard Med Sch, Brigham &amp; Womens Hosp, Boston, MA USA</t>
  </si>
  <si>
    <t>University System of Ohio; Wright State University Dayton; University System of Ohio; Wright State University Dayton; University System of Ohio; Wright State University Dayton; University System of Ohio; Wright State University Dayton; University of New South Wales Sydney; Curtin University; Burnet Institute; Columbia University; Harvard University; Brigham &amp; Women's Hospital; Harvard Medical School</t>
  </si>
  <si>
    <t>Lamy, FR (corresponding author), Wright State Univ, Dept Populat &amp; Publ Hlth Sci, Ctr Intervent Treatment &amp; Addict Res, Dayton, OH 45435 USA.</t>
  </si>
  <si>
    <t>francois.lamy@wright.edu</t>
  </si>
  <si>
    <t>Nahhas, Ramzi W./AAT-4729-2021; Martins, Silvia Saboia/C-9405-2014; Barratt, Monica J/AAX-8698-2020; Boyer, Edward/AAF-3609-2020; Sheth, Amit/ABC-4600-2020</t>
  </si>
  <si>
    <t>Martins, Silvia Saboia/0000-0003-3059-9993; Barratt, Monica J/0000-0002-1015-9379; Sheth, Amit/0000-0002-0021-5293; LAMY, Francois/0000-0001-6542-1381; Daniulaityte, Raminta/0000-0001-6507-3866</t>
  </si>
  <si>
    <t>National Institute on Drug Abuse (NIDA) [R01 DA039454-01]; NHMRC [APP1070140]; Australian Government under the Substance Misuse Prevention and Service Improvement Grants Fund; NATIONAL INSTITUTE ON DRUG ABUSE [R01DA039454] Funding Source: NIH RePORTER</t>
  </si>
  <si>
    <t>National Institute on Drug Abuse (NIDA)(United States Department of Health &amp; Human ServicesNational Institutes of Health (NIH) - USANIH National Institute on Drug Abuse (NIDA)); NHMRC(National Health and Medical Research Council (NHMRC) of Australia); Australian Government under the Substance Misuse Prevention and Service Improvement Grants Fund(Australian Government); NATIONAL INSTITUTE ON DRUG ABUSE(United States Department of Health &amp; Human ServicesNational Institutes of Health (NIH) - USANIH National Institute on Drug Abuse (NIDA)European Commission)</t>
  </si>
  <si>
    <t>This study was supported by the National Institute on Drug Abuse (NIDA), Grant No. R01 DA039454-01 (Daniulaityte, PI; Sheth, PI). The funding source had no further role in the study design, in the collection, analysis and interpretation of the data, in the writing of the report, or in the decision to submit the paper for publication.; Monica Barratt is supported by a fellowship from the NHMRC (APP1070140). The National Drug and Alcohol Research Centre and the National Drug Research Institute are supported by funding from the Australian Government under the Substance Misuse Prevention and Service Improvement Grants Fund. We also acknowledge the contribution of the Victorian Operational Infrastructure Support Program received by the Burnet Institute.</t>
  </si>
  <si>
    <t>0955-3959</t>
  </si>
  <si>
    <t>1873-4758</t>
  </si>
  <si>
    <t>INT J DRUG POLICY</t>
  </si>
  <si>
    <t>Int. J. Drug Policy</t>
  </si>
  <si>
    <t>10.1016/j.drugpo.2017.05.007</t>
  </si>
  <si>
    <t>FD9VR</t>
  </si>
  <si>
    <t>WOS:000407870700014</t>
  </si>
  <si>
    <t>D'Acunto, D; Volo, S; Filieri, R</t>
  </si>
  <si>
    <t>D'Acunto, David; Volo, Serena; Filieri, Raffaele</t>
  </si>
  <si>
    <t>Most Americans like their privacy. Exploring privacy concerns through US guests' reviews</t>
  </si>
  <si>
    <t>Privacy concerns; Cultural proximity; User-generated content; Hotel chains; Automated content analysis; Hotel reviews</t>
  </si>
  <si>
    <t>INFORMATION PRIVACY; NATURAL-LANGUAGE; CONSUMER PRIVACY; ONLINE REVIEWS; RATINGS; CULTURE; TOURISM; HOTELS; SATISFACTION; HOSPITALITY</t>
  </si>
  <si>
    <t>Purpose - This study aims to explore US hotel guests' privacy concerns with a twofold aim as follows: to investigate the privacy categories, themes and attributes most commonly discussed by guests in their reviews and to examine the influence of cultural proximity on privacy concerns. Design/methodology/approach - This study combined automated text analytics with content analysis. The database consisted of 68,000 hotel reviews written by US guests lodged in different types of hotels in five European cities. Linguistic Inquiry Word Count, Leximancer and SPSS software were used for data analysis. Automated text analytics and a validated privacy dictionary were used to investigate the reviews by exploring the categories, themes and attributes of privacy concerns. Content analysis was used to analyze the narratives and select representative snippets. Findings - The findings revealed various categories, themes and concepts related to privacy concerns. The two most commonly discussed categories were privacy restriction and outcome state. The main themes discussed in association with privacy were room, hotel, breakfast and several concepts within each of these themes were identified. Furthermore, US guests showed the lowest levels of privacy concerns when staying at American hotel chains as opposed to non-American chains or independent hotels, highlighting the role of cultural proximity in privacy concerns. Practical implications - Hotel managers can benefit from the results by improving their understanding of hotel and service attributes mostly associated with privacy concerns. Specific suggestions are provided to hoteliers on how to increase guests' privacy and on how to manage issues related to cultural distance with guests. Originality/value - This study contributes to the hospitality literature by investigating a neglected issue: on-site hotel guests' privacy concerns. Using an unobtrusive method of data collection and text analytics, this study offers valuable insights into the categories of privacy, the most recurrent themes in hotel guests' reviews and the potential relationship between cultural proximity and privacy concerns.</t>
  </si>
  <si>
    <t>[D'Acunto, David] Univ Pisa, Dept Econ &amp; Management, Pisa, Italy; [Volo, Serena] Free Univ Bozen Bokano, Fac Econ &amp; Management, Bokano, Italy; [Filieri, Raffaele] Audencia Business Sch, Mkt Dept, Digital Mkt, Nantes, France</t>
  </si>
  <si>
    <t>University of Pisa; Audencia</t>
  </si>
  <si>
    <t>Volo, S (corresponding author), Free Univ Bozen Bokano, Fac Econ &amp; Management, Bokano, Italy.</t>
  </si>
  <si>
    <t>serena.volo@unibz.it</t>
  </si>
  <si>
    <t>D'Acunto, David/ABF-1381-2020; Filieri, Raffaele/AAK-2553-2021</t>
  </si>
  <si>
    <t>D'Acunto, David/0000-0001-9143-9163; Filieri, Raffaele/0000-0002-3534-8547</t>
  </si>
  <si>
    <t>Free University of Bozen (Italy) [CUP I56D18000040005]</t>
  </si>
  <si>
    <t>Free University of Bozen (Italy)</t>
  </si>
  <si>
    <t>Y The corresponding author, Prof Dr Serena Volo, acknowledges the following funding source: Free University of Bozen (Italy) Start-up Project: Designing tourism experiences using insights from novel data sources CUP I56D18000040005.</t>
  </si>
  <si>
    <t>10.1108/IJCHM-11-2020-1329</t>
  </si>
  <si>
    <t>ZB7FR</t>
  </si>
  <si>
    <t>WOS:000680302900001</t>
  </si>
  <si>
    <t>Kroeber, C</t>
  </si>
  <si>
    <t>Kroeber, Corinna</t>
  </si>
  <si>
    <t>When Do Men MPs Claim to Represent Women in Plenary Debates-Time-Series Cross-Sectional Evidence from the German States</t>
  </si>
  <si>
    <t>gender; parliaments; substantive representation; parties; women; text as data</t>
  </si>
  <si>
    <t>SUBSTANTIVE REPRESENTATION; CRITICAL MASS; DESCRIPTIVE REPRESENTATION; GENDER; RETHINKING; PARTIES; POLITICIANS; COMMITTEES; BEHAVIOR; QUOTAS</t>
  </si>
  <si>
    <t>Extensive scholarly work engages with the growing number of women in legislatures around the world and highlights their role as advocates of women's interests during parliamentary decision-making processes. This article sheds light on the reactions of men MPs (members of parliament) to this trend by uncovering how women's numerical strength in party parliamentary groups shapes the issues that their men colleagues emphasize when speaking about women during plenary debates. I argue that, the higher the share of women in a party parliamentary group, the more will men representatives emphasize women's interests in the context of issues they can easily relate to-either because the issues lie in men's area of responsibility according to ideas about traditional role distributions in the society, for example, the financing of gender equality projects, or because they are part of broader patterns of societal inequality, such as poverty or health. I provide empirical evidence for this argument based on original time-series cross-sectional data from plenary debates in six German states between 2005 and 2021 using a structural topic model. These findings shed light on men's role as critical actors and have implications for gender equality and the functioning of representative democracy more broadly.</t>
  </si>
  <si>
    <t>[Kroeber, Corinna] Univ Greifswald, Ernst Lohmeyer Pl 3, D-17489 Greifswald, Germany</t>
  </si>
  <si>
    <t>Kroeber, C (corresponding author), Univ Greifswald, Ernst Lohmeyer Pl 3, D-17489 Greifswald, Germany.</t>
  </si>
  <si>
    <t>Corinna.Kroeber@uni-greifswald.de</t>
  </si>
  <si>
    <t>Krober, Corinna/0000-0002-9712-1647</t>
  </si>
  <si>
    <t>Deutsche Forschungsgemeinschaft (DFG) [442430596]</t>
  </si>
  <si>
    <t>The author(s) disclosed receipt of the following financial support for the research, authorship, and/or publication of this article: This research is funded by the Deutsche Forschungsgemeinschaft (DFG) - 442430596.</t>
  </si>
  <si>
    <t>10.1177/10659129221119199</t>
  </si>
  <si>
    <t>4E0TD</t>
  </si>
  <si>
    <t>WOS:000847546700001</t>
  </si>
  <si>
    <t>Broude, T; Haftel, YZ; Thompson, A</t>
  </si>
  <si>
    <t>Broude, Tomer; Haftel, Yoram Z.; Thompson, Alexander</t>
  </si>
  <si>
    <t>The Trans-Pacific Partnership and Regulatory Space: A Comparison of Treaty Texts</t>
  </si>
  <si>
    <t>INVESTMENT TREATIES; DESIGN; LEGALIZATION; POLITICS</t>
  </si>
  <si>
    <t>The Trans-Pacific Partnership (TPP) agreement, signed in February of 2016, is an ambitious effort to set high standards on a 'mega-regional' level. This article examines the TPP's investment provisions with a focus on their most controversial dimension: the extent to which they constrain the 'state regulatory space' (SRS) of host states. We embrace the text-as-data approach by coding the TPP and other investment agreements among TPP parties on design features related to SRS. The challenges presented by this coding exercise demonstrate some of the advantages of manual coding over automated methods when nuance and interpretation are required. With our data, we first compare the TPP to other agreements and find that it scores relatively high on SRS, although it falls within the range of existing agreements and does not seem to chart new territory in this regard. We then investigate which existing agreements are most similar to and dissimilar from the TPP with respect to SRS. Using regression analysis, we consider a number of factors to explain this variation and find that the TPP is most similar to agreements involving the USA, to agreements among Western Hemispheric countries, to other free trade agreements with investment chapters, and to more recent agreements. However, different factors seem to matter if we look only at provisions related to investor-state dispute settlement versus substantive provisions, implying that it is important to distinguish between the substantive and procedural dimensions of treaties.</t>
  </si>
  <si>
    <t>[Broude, Tomer] Hebrew Univ Jerusalem, Dept Int Relat, Law, Jerusalem, Israel; [Broude, Tomer] Hebrew Univ Jerusalem, Fac Law, Jerusalem, Israel; [Broude, Tomer] Hebrew Univ Jerusalem, Minerva Ctr Human Rights, Jerusalem, Israel; [Haftel, Yoram Z.] Hebrew Univ Jerusalem, Dept Int Relat, Study Peace &amp; Reg Cooperat, Jerusalem, Israel; [Thompson, Alexander] Ohio State Univ, Dept Polit Sci, Columbus, OH 43210 USA</t>
  </si>
  <si>
    <t>Hebrew University of Jerusalem; Hebrew University of Jerusalem; Hebrew University of Jerusalem; Hebrew University of Jerusalem; University System of Ohio; Ohio State University</t>
  </si>
  <si>
    <t>Broude, T (corresponding author), Hebrew Univ Jerusalem, Dept Int Relat, Law, Jerusalem, Israel.;Broude, T (corresponding author), Hebrew Univ Jerusalem, Fac Law, Jerusalem, Israel.;Broude, T (corresponding author), Hebrew Univ Jerusalem, Minerva Ctr Human Rights, Jerusalem, Israel.</t>
  </si>
  <si>
    <t>tomerbroude@gmail.com; yoram.haftel@gmail.com; thompson.1191@osu.edu</t>
  </si>
  <si>
    <t>10.1093/jiel/jgx016</t>
  </si>
  <si>
    <t>FD1IM</t>
  </si>
  <si>
    <t>WOS:000407291000008</t>
  </si>
  <si>
    <t>Genovese, F; McAlexander, RJ; Urpelainen, J</t>
  </si>
  <si>
    <t>Genovese, Federica; McAlexander, Richard J.; Urpelainen, Johannes</t>
  </si>
  <si>
    <t>Institutional roots of international alliances: Party groupings and position similarity at global climate negotiations</t>
  </si>
  <si>
    <t>Climate change politics; United Nations; Institutions; Negotiation groups; Coalitions; Text analysis</t>
  </si>
  <si>
    <t>POLITICS; ORGANIZATIONS; PROMISE; MULTILATERALISM; GOVERNANCE; POWERS; UNFCCC; FUTURE; REGIME; LIMITS</t>
  </si>
  <si>
    <t>A large literature in international relations explores the domestic origin of national positions at international organizations (IOs). Less researched is the institutional assembling within IOs, and how alliances formed around negotiation groups affect countries' positions. We explore this question in the context of the United Nations Framework Convention on Climate Change (UNFCCC), focusing on the role that institutional coalitions have on members' statement similarity. Our baseline expectation is that similar economic development is the main determinant of coalitionbuilding, so more common preferences emerge among members of economically similar negotiation groups. At the same time, and in line with other institutionalist views, we hold that some coalitions reflect alternative cross-cutting dimensions of interdependence and that this may increase the position similarity of their members. In the case of climate cooperation, we suggest that a high level of shared environmental vulnerability in a group may also cluster countries' positions. We interrogate our expectations with new text-as-data measures that estimate associations of countries' statements at the UNFCCC between 2010 and 2016. We find that states in more economically homogenous negotiation blocs share more similar national statements. Additionally, similar themes emerge among more vulnerable countries, although these are only amplified in small and uniform negotiation groups. Our evidence has implications for global cooperation based on a North-South dialogue and for the effectiveness of institutionalized coalitions at international organizations.</t>
  </si>
  <si>
    <t>[Genovese, Federica] Univ Essex, Dept Govt, Wivenhoe Pk, Colchester CO4 3SQ, Essex, England; [McAlexander, Richard J.] Univ Penn, Perry World House,3803 Locust Walk, Philadelphia, PA 19104 USA; [Urpelainen, Johannes] Johns Hopkins SAIS, Rome 428, Washington, DC USA</t>
  </si>
  <si>
    <t>University of Essex; University of Pennsylvania; Johns Hopkins University</t>
  </si>
  <si>
    <t>McAlexander, RJ (corresponding author), Univ Penn, Perry World House,3803 Locust Walk, Philadelphia, PA 19104 USA.</t>
  </si>
  <si>
    <t>fgenov@essex.ac.uk; richardmcalexander@gmail.com; Johannes.urpelainen@gmail.com</t>
  </si>
  <si>
    <t>McAlexander, Richard/0000-0002-2165-2652</t>
  </si>
  <si>
    <t>10.1007/s11558-022-09470-4</t>
  </si>
  <si>
    <t>3L3VD</t>
  </si>
  <si>
    <t>WOS:000834691300001</t>
  </si>
  <si>
    <t>Ng, R</t>
  </si>
  <si>
    <t>Ng, Reuben</t>
  </si>
  <si>
    <t>Societal Age Stereotypes in the US and UK from a Media Database of 1.1 Billion Words</t>
  </si>
  <si>
    <t>ageism; age discrimination; aging narratives; media portrayals of aging; text as data; psychomics; quantitative social science</t>
  </si>
  <si>
    <t>NEGATIVE STEREOTYPES; AGING STEREOTYPES; OLDER; PERCEPTIONS; PORTRAYALS; MAGAZINE; YOUNGER; IMAGES; WOMEN</t>
  </si>
  <si>
    <t>Recently, 194 World Health Organization member states called on the international organization to develop a global campaign to combat ageism, citing its alarming ubiquity, insidious threat to health, and prevalence in the media. Existing media studies of age stereotypes have mostly been single-sourced. This study harnesses a 1.1-billion-word media database comprising the British National Corpus and Corpus of Contemporary American English-with genres including spoken/television, fiction, magazines, newspapers-to provide a comprehensive view of ageism in the United Kingdom and United States. The US and UK were chosen as they are home to the largest media conglomerates with tremendous power to shape public opinion. The most commonly used synonym of older adults was identified, and its most frequently used descriptors were analyzed for valence. Such computational linguistics techniques represent a new advance in studying aging narratives. The key finding is consistent, though no less alarming: Negative descriptions of older adults outnumber positive ones by six times. Negative descriptions tend to be physical, while positive ones tend to be behavioral. Magazines contain the highest levels of ageism, followed by the spoken genre, newspapers, and fiction. Findings underscore the need to increase public awareness of ageism and lay the groundwork to design targeted societal campaigns to tackle ageism-one of our generation's most pernicious threats.</t>
  </si>
  <si>
    <t>[Ng, Reuben] Natl Univ Singapore, Lee Kuan Yew Sch Publ Policy, Singapore 119260, Singapore; [Ng, Reuben] Natl Univ Singapore, Lloyds Register Fdn, Inst Publ Understanding Risk, Singapore 119260, Singapore</t>
  </si>
  <si>
    <t>Ng, R (corresponding author), Natl Univ Singapore, Lee Kuan Yew Sch Publ Policy, Singapore 119260, Singapore.;Ng, R (corresponding author), Natl Univ Singapore, Lloyds Register Fdn, Inst Publ Understanding Risk, Singapore 119260, Singapore.</t>
  </si>
  <si>
    <t>spprng@nus.edu.sg</t>
  </si>
  <si>
    <t>Ng, Reuben/A-2931-2009</t>
  </si>
  <si>
    <t>Ng, Reuben/0000-0002-1186-0570</t>
  </si>
  <si>
    <t>Social Science Research Council SSHR Fellowship [MOE2018-SSHR-004]; Lloyd's Register Foundation IPUR Grant [IPUR-FY2019-RES-03-NG]</t>
  </si>
  <si>
    <t>Social Science Research Council SSHR Fellowship; Lloyd's Register Foundation IPUR Grant</t>
  </si>
  <si>
    <t>We gratefully acknowledge the support by the Social Science Research Council SSHR Fellowship (MOE2018-SSHR-004), and the Lloyd's Register Foundation IPUR Grant (IPUR-FY2019-RES-03-NG). The funders had no role in study design, data collection, analysis, or writing.</t>
  </si>
  <si>
    <t>10.3390/ijerph18168822</t>
  </si>
  <si>
    <t>UG3VW</t>
  </si>
  <si>
    <t>WOS:000689185400001</t>
  </si>
  <si>
    <t>Shchepilova, AV; Vikulova, LG; Vostrikova, OV; Shevchenko, NL; Kasyanova, NB</t>
  </si>
  <si>
    <t>Shchepilova, A., V; Vikulova, L. G.; Vostrikova, O. V.; Shevchenko, N. L.; Kasyanova, N. B.</t>
  </si>
  <si>
    <t>THE EVALUATION VECTOR OF A REVIEW IN MUSICAL DISCOURSE</t>
  </si>
  <si>
    <t>YAZYK I KULTURA-LANGUAGE AND CULTURE</t>
  </si>
  <si>
    <t>musical discourse; evaluation; evaluation scale; music critic; review</t>
  </si>
  <si>
    <t>This paper is the first to present the results of discourse analysis of the music disc reviews from BBC Music Magazine. Music communication management aims music values distribution and music and aesthetic tastes cultivation at the audience. This process takes place both at traditional philharmonic and concert hall stages as well as via media sources, such as radio, television and the press. A modern music magazine exceeds the scope of a print version and becomes a multimodal and multisensory resource. Music critics, whose reviews compile a significant part of the BBC Music Magazine volumes, play an important role in attracting readers to music life. Being members of a professional discourse community, the authors of these articles indirectly influence the development of music communication in the English-speaking world. The addressee of such journalistic messages are not only educated, by and large, music lovers, but also performers and sound companies. The article provides the notion of musical discourse. The results received in the process of qualitative and quantitative text analysis show, what lexical and stylistic means the music critics use to influence the audience, creating positive, satisfactory or negative image in readers. Evaluation requires the correspondence of the critic's inner scale with the one offered in BBC Music Magazine. Thus three basic evaluation modalities resulted in the division of star rated reviews in three groups. The first group includes four and five star reviews, where positive image of music is created with the help of adjectives sometimes intensified with adverbs and positive nouns. Comparison and metaphors are also frequently used. The balance in the description of positive and negative elements obtained by the use of contrasting conjunctions together with the verb lack form three star satisfactory reviews. Finally, negative lexical means and irony are characteristic of negative two star reviews. The explanation and the origin of nowadays modern star rating is also given in this article. The basic differences between the reviews of different types (positive, satisfactory and negative) were distinguished with the help of Tropes 8.4.4. program. The quantitative analysis revealed the highest subjectiveness in negative reviews, the balance of positive and negative features in satisfactory ones and small or very small quantity of negative elements in positive reviews.</t>
  </si>
  <si>
    <t>[Shchepilova, A., V; Vikulova, L. G.; Shevchenko, N. L.; Kasyanova, N. B.] Moscow City Univ, Inst Foreign Languages, Romance Philol Dept, Moscow, Russia; [Shchepilova, A., V] Moscow City Univ, Inst Foreign Languages, Moscow, Russia; [Vostrikova, O. V.] Moscow City Univ, Pushkin State Russian Language Inst, Dept Social &amp; Humanitarian Disciplines, Moscow, Russia; [Vostrikova, O. V.] Moscow City Univ, Inst Foreign Languages, English Philol Dept, Moscow, Russia; [Kasyanova, N. B.] Moscow City Univ, Inst Foreign Languages, French Language &amp; Linguodidact Dept, Moscow, Russia</t>
  </si>
  <si>
    <t>Moscow City University; Moscow City University; Moscow City University; Pushkin State Russian Language Institute; Moscow City University; Moscow City University</t>
  </si>
  <si>
    <t>Shchepilova, AV (corresponding author), Moscow City Univ, Inst Foreign Languages, Romance Philol Dept, Moscow, Russia.;Shchepilova, AV (corresponding author), Moscow City Univ, Inst Foreign Languages, Moscow, Russia.</t>
  </si>
  <si>
    <t>chepilovaa@yandex.ru; vikulovalg@mail.ru; o.w.wolke@list.ru; nadezhdashevchen-ko86@gmail.com; kassian-ata@yandex.ru</t>
  </si>
  <si>
    <t>Shevchenko, Nadezhda/AHC-9122-2022; Kasyanova, Natalia/AAK-3683-2021</t>
  </si>
  <si>
    <t xml:space="preserve">Shevchenko, Nadezhda/0000-0001-9976-1640; </t>
  </si>
  <si>
    <t>TOMSK STATE UNIV</t>
  </si>
  <si>
    <t>TOMSK</t>
  </si>
  <si>
    <t>LENIN AVE, 36, TOMSK, 634050, RUSSIA</t>
  </si>
  <si>
    <t>1999-6195</t>
  </si>
  <si>
    <t>2311-3235</t>
  </si>
  <si>
    <t>YAZYK JULT</t>
  </si>
  <si>
    <t>Yazyk Kult.</t>
  </si>
  <si>
    <t>10.17223/19996195/42/3</t>
  </si>
  <si>
    <t>GV0HE</t>
  </si>
  <si>
    <t>WOS:000445738900003</t>
  </si>
  <si>
    <t>Chen, AT; Swaminathan, A; Kearns, WR; Alberts, NM; Law, EF; Palermo, TM</t>
  </si>
  <si>
    <t>Chen, Annie T.; Swaminathan, Aarti; Kearns, William R.; Alberts, Nicole M.; Law, Emily F.; Palermo, Tonya M.</t>
  </si>
  <si>
    <t>Understanding User Experience: Exploring Participants' Messages With a Web-Based Behavioral Health Intervention for Adolescents With Chronic Pain</t>
  </si>
  <si>
    <t>data visualization; natural language processing; chronic pain; cluster analysis; technology</t>
  </si>
  <si>
    <t>VISUAL ANALYTICS; MENTAL-HEALTH; FOOD CHOICE; THERAPY; COMMUNICATION; DEPRESSION; GENDER</t>
  </si>
  <si>
    <t>Background: Delivery of behavioral health interventions on the internet offers many benefits, including accessibility, cost-effectiveness, convenience, and anonymity. In recent years, an increased number of internet interventions have been developed, targeting a range of conditions and behaviors, including depression, pain, anxiety, sleep disturbance, and eating disorders. Human support (coaching) is a common component of internet interventions that is intended to boost engagement; however, little is known about how participants interact with coaches and how this may relate to their experience with the intervention. By examining the data that participants produce during an intervention, we can characterize their interaction patterns and refine treatments to address different needs. Objective: In this study, we employed text mining and visual analytics techniques to analyze messages exchanged between coaches and participants in an internet-delivered pain management intervention for adolescents with chronic pain and their parents. Methods: We explored the main themes in coaches' and participants' messages using an automated textual analysis method, topic modeling. We then clustered participants' messages to identify subgroups of participants with similar engagement patterns. Results: First, we performed topic modeling on coaches' messages. The themes in coaches' messages fell into 3 categories: Treatment Content, Administrative and Technical, and Rapport Building. Next, we employed topic modeling to identify topics from participants' message histories. Similar to the coaches' topics, these were subsumed under 3 high-level categories: Health Management and Treatment Content, Questions and Concerns, and Activities and Interests. Finally, the cluster analysis identified 4 clusters, each with a distinguishing characteristic: Assignment-Focused, Short Message Histories, Pain-Focused, and Activity-Focused. The name of each cluster exemplifies the main engagement patterns of that cluster. Conclusions: In this secondary data analysis, we demonstrated how automated text analysis techniques could be used to identify messages of interest, such as questions and concerns from users. In addition, we demonstrated how cluster analysis could be used to identify subgroups of individuals who share communication and engagement patterns, and in turn facilitate personalization of interventions for different subgroups of patients. This work makes 2 key methodological contributions. First, this study is innovative in its use of topic modeling to provide a rich characterization of the textual content produced by coaches and participants in an internet-delivered behavioral health intervention. Second, to our knowledge, this is the first example of the use of a visual analysis method to cluster participants and identify similar patterns of behavior based on intervention message content.</t>
  </si>
  <si>
    <t>[Chen, Annie T.; Swaminathan, Aarti; Kearns, William R.] Univ Washington, Dept Biomed Informat &amp; Med Educ, Sch Med, Seattle, WA USA; [Alberts, Nicole M.] St Jude Childrens Res Hosp, Dept Psychol, 332 N Lauderdale St, Memphis, TN 38105 USA; [Law, Emily F.; Palermo, Tonya M.] Univ Washington, Dept Anesthesiol &amp; Pain Med, Sch Med, Seattle, WA USA; [Law, Emily F.; Palermo, Tonya M.] Seattle Childrens Res Inst, Ctr Child Hlth Behav &amp; Dev, Seattle, WA USA</t>
  </si>
  <si>
    <t>University of Washington; University of Washington Seattle; St Jude Children's Research Hospital; University of Washington; University of Washington Seattle; Seattle Children's Hospital</t>
  </si>
  <si>
    <t>Chen, AT (corresponding author), Univ Washington, Dept Biomed Informat &amp; Med Educ, Sch Med, UW Med South Lake Union, 850 Republican St,Box 358047,C238, Seattle, WA 98109 USA.</t>
  </si>
  <si>
    <t>atchen@uw.edu</t>
  </si>
  <si>
    <t>Chen, Annie T./0000-0003-3070-8336; Kearns, William/0000-0002-2582-2794; Palermo, Tonya/0000-0001-6036-6715</t>
  </si>
  <si>
    <t>NIH [K23NS089966, R01HD062538]; NIH National Library of Medicine Biomedical and Health Informatics Training Grant at the University of Washington [T15LM007442]; NATIONAL INSTITUTE OF NEUROLOGICAL DISORDERS AND STROKE [K23NS089966] Funding Source: NIH RePORTER; NATIONAL LIBRARY OF MEDICINE [T15LM007442] Funding Source: NIH RePORTER</t>
  </si>
  <si>
    <t>NIH(United States Department of Health &amp; Human ServicesNational Institutes of Health (NIH) - USA); NIH National Library of Medicine Biomedical and Health Informatics Training Grant at the University of Washington; NATIONAL INSTITUTE OF NEUROLOGICAL DISORDERS AND STROKE(United States Department of Health &amp; Human ServicesNational Institutes of Health (NIH) - USANIH National Institute of Neurological Disorders &amp; Stroke (NINDS)); NATIONAL LIBRARY OF MEDICINE(United States Department of Health &amp; Human ServicesNational Institutes of Health (NIH) - USANIH National Library of Medicine (NLM))</t>
  </si>
  <si>
    <t>This study was supported by NIH R01HD062538 (PI: TMP), and we would like to thank the children and families who participated. WRK's work on this study was supported by NIH National Library of Medicine Biomedical and Health Informatics Training Grant at the University of Washington Grant Nr. T15LM007442, and EFL's work on this study was supported by NIH K23NS089966.</t>
  </si>
  <si>
    <t>APR 15</t>
  </si>
  <si>
    <t>e11756</t>
  </si>
  <si>
    <t>10.2196/11756</t>
  </si>
  <si>
    <t>HU8OG</t>
  </si>
  <si>
    <t>Green Submitted, Green Published, gold</t>
  </si>
  <si>
    <t>WOS:000465548100001</t>
  </si>
  <si>
    <t>Xiang, Z; Shin, S; Li, N</t>
  </si>
  <si>
    <t>Xiang, Zheng; Shin, Seunghun; Li, Nao</t>
  </si>
  <si>
    <t>Online tourism-related text: a perspective article</t>
  </si>
  <si>
    <t>TOURISM REVIEW</t>
  </si>
  <si>
    <t>Big data; Knowledge management; Information technology; Tourism marketing; Text analytics; Language of tourism</t>
  </si>
  <si>
    <t>HELPFULNESS; HOSPITALITY; LESSONS</t>
  </si>
  <si>
    <t>Purpose - This paper aims to outline the development of online tourism-related text with particular focus on the role of technology in transforming this text. It also offers a vision of this ongoing development for the next 75 years, followed by a discussion of its implications for tourism research. Design/methodology/approach - This paper offers a critical analysis and synthesis of the literature and brings a number of conceptual and theoretical frameworks to present a rich, in-depth discussion of the subject. Findings - There have been important transformations in online tourism-related text because of the development of information technology. Particularly, the internet, along with more recent social media and the smartphone, has produced vast amount of text in a variety of formats and modalities. Computer programs are increasingly smarter in collecting, processing, understanding and even generating textual content in the context of tourism. Future communications will likely be mediated and dominated by artificial intelligence-based technologies, emerging interfaces and a mix of text and visual contents. Research limitations/implications - Tourism research entails a paradigm shift that recognizes the changing characteristics of online tourism-related text and the importance of new conceptual and methodological tools for understanding the new language of tourism. Originality/value - This paper offers a unique view that connects the socio-linguistic basis of tourism with the development of information technology. It may serve as the conceptual foundation for tourism research that uses text as data in understanding a range of marketing and managerial problems in tourism.</t>
  </si>
  <si>
    <t>[Xiang, Zheng; Shin, Seunghun] Virginia Polytech Inst &amp; State Univ, Howard Feiertag Dept Hospitality &amp; Tourism Manage, Blacksburg, VA 24061 USA; [Li, Nao] Beijing Union Univ, Coll Tourism, Beijing, Peoples R China</t>
  </si>
  <si>
    <t>Virginia Polytechnic Institute &amp; State University; Beijing Union University</t>
  </si>
  <si>
    <t>Xiang, Z (corresponding author), Virginia Polytech Inst &amp; State Univ, Howard Feiertag Dept Hospitality &amp; Tourism Manage, Blacksburg, VA 24061 USA.</t>
  </si>
  <si>
    <t>philxz@vt.edu; ssh15@vt.edu; lytlinao@buu.edu.cn</t>
  </si>
  <si>
    <t>Shin, Seunghun/GMW-5176-2022; Xiang, Zheng/Y-2485-2019</t>
  </si>
  <si>
    <t>Xiang, Zheng/0000-0003-2608-4882; Shin, Seunghun/0000-0001-7022-6732</t>
  </si>
  <si>
    <t>1660-5373</t>
  </si>
  <si>
    <t>1759-8451</t>
  </si>
  <si>
    <t>TOUR REV</t>
  </si>
  <si>
    <t>Tour. Rev.</t>
  </si>
  <si>
    <t>10.1108/TR-06-2019-0246</t>
  </si>
  <si>
    <t>LP6KB</t>
  </si>
  <si>
    <t>WOS:000534426700075</t>
  </si>
  <si>
    <t>Text as data: Using text-based features for proteins representation and for computational prediction of their characteristics</t>
  </si>
  <si>
    <t>Biomedical text mining; Machine learning; Text classification; Protein subcellular location; Protein function prediction; Protein annotation; Text mining; Protein representation; Protein location prediction</t>
  </si>
  <si>
    <t>SUBCELLULAR-LOCALIZATION; FUNCTIONAL ANNOTATION; BIOMEDICAL LITERATURE; AUTOMATIC EXTRACTION; SEQUENCE; ALGORITHM; GENOMICS; KEYWORDS</t>
  </si>
  <si>
    <t>The current era of large-scale biology is characterized by a fast-paced growth in the number of sequenced genomes and, consequently, by a multitude of identified proteins whose function has yet to be determined. Simultaneously, any known or postulated information concerning genes and proteins is part of the ever-growing published scientific literature, which is expanding at a rate of over a million new publications per year. Computational tools that attempt to automatically predict and annotate protein characteristics, such as function and localization patterns, are being developed along with systems that aim to support the process via text mining. Most work on protein characterization focuses on features derived directly from protein sequence data. Protein-related work that does aim to utilize the literature typically concentrates on extracting specific facts (e.g., protein interactions) from text. In the past few years we have taken a different route, treating the literature as a source of text-based features, which can be employed just as sequence-based protein-features were used in earlier work, for predicting protein subcellular location and possibly also function. We discuss here in detail the overall approach, along with results from work we have done in this area demonstrating the value of this method and its potential use. (C) 2014 The Authors. Published by Elsevier Inc.</t>
  </si>
  <si>
    <t>[Shatkay, Hagit] Univ Delaware, Dept Comp &amp; Informat Sci, Newark, DE 19716 USA; [Shatkay, Hagit] Univ Delaware, Delaware Biotechnol Inst, Newark, DE 19711 USA; [Brady, Scott] Univ Toronto, Sch Med, Toronto, ON M5S 1A8, Canada; [Wong, Andrew] Mt Sinai Hosp, Off Personalized Genom &amp; Innovat Med, Toronto, ON M5G 1X5, Canada; [Shatkay, Hagit; Brady, Scott; Wong, Andrew] Queens Univ, Sch Comp, Computat Biol &amp; Machine Learning Lab, Kingston, ON K7L 3N6, Canada</t>
  </si>
  <si>
    <t>HS's NSERC Discovery Award [298292-2009]; NSERC Discovery Accelerator Award [380478-2009]; CFI New Opportunities Award [10437]; Ontario's Early Researcher Award [ER07-04-085]; NATIONAL LIBRARY OF MEDICINE [R01LM011945, R56LM011354] Funding Source: NIH RePORTER</t>
  </si>
  <si>
    <t>HS's NSERC Discovery Award; NSERC Discovery Accelerator Award; CFI New Opportunities Award(Canada Foundation for Innovation); Ontario's Early Researcher Award; NATIONAL LIBRARY OF MEDICINE(United States Department of Health &amp; Human ServicesNational Institutes of Health (NIH) - USANIH National Library of Medicine (NLM))</t>
  </si>
  <si>
    <t>This work was supported by HS's NSERC Discovery Award #298292-2009, NSERC Discovery Accelerator Award #380478-2009, CFI New Opportunities Award 10437, and Ontario's Early Researcher Award #ER07-04-085.</t>
  </si>
  <si>
    <t>10.1016/j.ymeth.2014.10.027</t>
  </si>
  <si>
    <t>CC9RL</t>
  </si>
  <si>
    <t>WOS:000350708200006</t>
  </si>
  <si>
    <t>Thorvaldsdottir, S; Patz, R</t>
  </si>
  <si>
    <t>Thorvaldsdottir, Svanhildur; Patz, Ronny</t>
  </si>
  <si>
    <t>Explaining sentiment shifts in UN system annual reporting: a longitudinal comparison of UNHCR, UNRWA and IOM</t>
  </si>
  <si>
    <t>accountability; annual reporting; international organizations (IGOs); International Public Administration; IOM; sentiment analysis; UNHCR; United Nations; UNRWA</t>
  </si>
  <si>
    <t>ORGANIZATIONS; PERFORMANCE</t>
  </si>
  <si>
    <t>Annual reports are a central element of international bureaucracies' accountability communication to member states and other stakeholders. Most UN system bureaucracies produce reports of significant length and detail. International agencies use these reports to draw attention to particular challenges or successes. Hitting the right tone with their diverse stakeholders is crucial to maintain continued support. UN agencies do so by employing differentiated sentiment-loaded language alongside factual reporting. We argue that agencies' operational focus, administrative structures and resource mobilization needs have a significant impact on how they use sentiment to communicate with different stakeholder groups. Drawing on a dictionary-based sentiment analysis of three text corpora of annual reports produced by three UN system agencies-UNRWA (reports published from 1951 to 2019), UNHCR (1953-2019) and IOM (2000-2019)-we show a general trend toward increased positive sentiment use across all three agencies, coinciding with a period of stronger donor orientation. At the same time, we find a more volatile and agency-specific use of negative sentiment in response to field-level challenges that are communicated to stakeholders in line with agencies' evolving mandates. Through a text-as-data perspective, this contribution enhances our comparative understanding of the diverse and context-dependent language of international bureaucracies. Points for practitioners Reading UN agency reporting, practitioners need to be aware of the constraints and incentives that international bureaucrats face-notably operational focus, administrative structures and resource needs-that drive tone differences across reports and over time.</t>
  </si>
  <si>
    <t>[Thorvaldsdottir, Svanhildur] Tech Univ Munich, Munich, Germany; [Patz, Ronny] Hertie Sch gGmbH, Friedrichstr 180, D-10117 Berlin, Germany</t>
  </si>
  <si>
    <t>Technical University of Munich</t>
  </si>
  <si>
    <t>Patz, R (corresponding author), Hertie Sch gGmbH, Friedrichstr 180, D-10117 Berlin, Germany.</t>
  </si>
  <si>
    <t>patz@hertie-school.org</t>
  </si>
  <si>
    <t>Thorvaldsdottir, Svanhildur/ABD-3072-2022</t>
  </si>
  <si>
    <t>Thorvaldsdottir, Svanhildur/0000-0002-6776-4393; Patz, Ronny/0000-0002-0761-086X</t>
  </si>
  <si>
    <t>Deutsche Forschungsgemeinschaft [198360606, FOR 1745]</t>
  </si>
  <si>
    <t>The authors disclosed receipt of the following financial support for the research, authorship, and/or publication of this article: this work was supported by the Deutsche Forschungsgemeinschaft (project number 198360606) as part of the DFG Research Unit International Public Administration (FOR 1745).</t>
  </si>
  <si>
    <t>10.1177/00208523211029804</t>
  </si>
  <si>
    <t>XG8KW</t>
  </si>
  <si>
    <t>WOS:000676856500001</t>
  </si>
  <si>
    <t>Chang, A; Schulz, PJ; Jiao, W; Liu, MT</t>
  </si>
  <si>
    <t>Chang, Angela; Schulz, Peter Johannes; Jiao, Wen; Liu, Matthew Tingchi</t>
  </si>
  <si>
    <t>Obesity-Related Communication in Digital Chinese News From Mainland China, Hong Kong, and Taiwan: Automated Content Analysis</t>
  </si>
  <si>
    <t>JMIR PUBLIC HEALTH AND SURVEILLANCE</t>
  </si>
  <si>
    <t>public health; computational content; digital research methods; obesity discourse; gene disorders; noncommunicable disease</t>
  </si>
  <si>
    <t>BIG DATA; COVERAGE; INTERNET; ISSUES; THINGS; TEXT</t>
  </si>
  <si>
    <t>Background: The fact that the number of individuals with obesity has increased worldwide calls into question media efforts for informing the public. This study attempts to determine the ways in which the mainstream digital news covers the etiology of obesity and diseases associated with the burden of obesity. Objective: The dual objectives of this study are to obtain an understanding of what the news reports on obesity and to explore meaning in data by extending the preconceived grounded theory. Methods: The 10 years of news text from 2010 to 2019 compared the development of obesity-related coverage and its potential impact on its perception in Mainland China, Hong Kong, and Taiwan. Digital news stories on obesity along with affliction and inferences in 9 Chinese mainstream newspapers were sampled. An automatic content analysis tool, DiVoMiner was proposed. This computer-aided platform is designed to organize and filter large sets of data on the basis of the patterns of word occurrence and term discovery. Another programming language, Python 3, was used to explore connections and patterns created by the Results: A total of 30,968 news stories were identified with increasing attention since 2016. The highest intensity of newspaper coverage of obesity communication was observed in Taiwan. Overall, a stronger focus on 2 shared causative attributes of obesity is on stress (n=4483, 33.0%) and tobacco use (n=3148, 23.2%). The burdens of obesity and cardiovascular diseases are implied to be the most, despite the aggregated interaction of edge centrality showing the highest link between the cancer and obesity. This study goes beyond traditional journalism studies by extending the framework of computational and customizable web-based text analysis. This could set a norm for researchers and practitioners who work on data projects largely for an innovative attempt. Conclusions: Similar to previous studies, the discourse between the obesity epidemic and personal afflictions is the most emphasized approach. Our study also indicates that the inclination of blaming personal attributes for health afflictions potentially limits social and governmental responsibility for addressing this issue.</t>
  </si>
  <si>
    <t>[Chang, Angela; Jiao, Wen] Univ Macau, Fac Social Sci, E21 FSS Bldg,2nd Fl, Taipa 100, Macao, Peoples R China; [Chang, Angela; Schulz, Peter Johannes] Univ Lugano, Inst Commun &amp; Hlth, Lugano, Switzerland; [Liu, Matthew Tingchi] Univ Macau, Fac Business Adm, Taipa, Macao, Peoples R China</t>
  </si>
  <si>
    <t>University of Macau; Universita della Svizzera Italiana; University of Macau</t>
  </si>
  <si>
    <t>Chang, A (corresponding author), Univ Macau, Fac Social Sci, E21 FSS Bldg,2nd Fl, Taipa 100, Macao, Peoples R China.</t>
  </si>
  <si>
    <t>wychang@um.edu.mo</t>
  </si>
  <si>
    <t>Schulz, Peter/GQQ-1290-2022</t>
  </si>
  <si>
    <t>Schulz, Peter/0000-0003-4281-489X; Jiao, Wen/0000-0002-9270-0033; Liu, Matthew/0000-0002-1820-5691; Chang, Angela Wenyu/0000-0003-3663-151X</t>
  </si>
  <si>
    <t>University of Macau [MYRG2019-00079-FSS, MYRG2018-00062-FSS]</t>
  </si>
  <si>
    <t>University of Macau</t>
  </si>
  <si>
    <t>This study was funded by the University of Macau (MYRG2019-00079-FSS and MYRG2018-00062-FSS) . The authors would like to thank, Prof Angus WH Cheong, and Wenny Cao for their assistance of employing DiVoMiner, and anonymous reviewers and editors for their valuable comments.</t>
  </si>
  <si>
    <t>2369-2960</t>
  </si>
  <si>
    <t>JMIR PUBLIC HLTH SUR</t>
  </si>
  <si>
    <t>JMIR Public Health Surveill.</t>
  </si>
  <si>
    <t>e26660</t>
  </si>
  <si>
    <t>10.2196/26660</t>
  </si>
  <si>
    <t>YB3RX</t>
  </si>
  <si>
    <t>WOS:000738935100006</t>
  </si>
  <si>
    <t>Mazumder, MMM; Hossain, DM</t>
  </si>
  <si>
    <t>Mazumder, Mohammed Mehadi Masud; Hossain, Dewan Mahboob</t>
  </si>
  <si>
    <t>Voluntary cybersecurity disclosure in the banking industry of Bangladesh: does board composition matter?</t>
  </si>
  <si>
    <t>JOURNAL OF ACCOUNTING IN EMERGING ECONOMIES</t>
  </si>
  <si>
    <t>Cybersecurity disclosure; Board composition; Banking industry; Bangladesh</t>
  </si>
  <si>
    <t>RISK DISCLOSURE; GENDER DIVERSITY; CORPORATE GOVERNANCE; OWNERSHIP STRUCTURE; WOMEN DIRECTORS; DETERMINANTS; FIRM; AGENCY; ASSOCIATION; PORTUGUESE</t>
  </si>
  <si>
    <t>Purpose Cybersecurity disclosure (CSD) provides users with valuable information and significant insights about a firm's susceptibility to cyber risk and its management. It is argued that the board of directors, with its oversight role, should be vigilant in managing cyber risk and disclosures. This study aims to measure the extent of CSD of the banking companies and examines the association between the characteristics of board composition (i.e. board size, board independence and gender diversity) and CSD. Design/methodology/approach This study adopted automated content analysis to find out the extent of CSD in the listed commercial banks of an emerging country, Bangladesh, where CSD is voluntary. Further, multiple linear regression is applied to determine the relationship between board composition and CSD. Findings The findings reveal an increasing trend of CSD over the sample period (2014-2020). The study confirms a significant positive relationship between board independence and CSD. The study also demonstrates that the higher presence of female directors on the board is associated with higher CSD. However, no consistently significant relationship is found between board size and CSD. Research limitations The study is based on listed banking companies only. Hence, the results can not be generalised to companies in other sectors. Also, it is important to acknowledge that we focused on the quantity (not the quality) of CSD contained in annual reports. Practical implications The study provides an overall understanding of current trends of CSD in the Banking sector of a developing country. Regulators may use our findings to understand the current level of CSD and assess the need for issuing guidance in this regard. The association between board composition and CSD has implications both for banks when selecting board members and policymakers when establishing requirements concerning board composition under corporate governance guidelines. Originality/value This is one of the very few studies in the context of an emerging economy where CSD is voluntary. The paper contributes to a narrow stream of research investigating CSD and its association with board composition. Notably, it contributes to understanding how board composition is associated with CSD in the banking industry, which is highly exposed to cyber risk.</t>
  </si>
  <si>
    <t>[Mazumder, Mohammed Mehadi Masud] Northumbria Univ, Dept Accounting &amp; Financial Management, Newcastle Upon Tyne, Tyne &amp; Wear, England; [Hossain, Dewan Mahboob] Univ Dhaka, Dept Accounting &amp; Informat Syst, Dhaka, Bangladesh</t>
  </si>
  <si>
    <t>Northumbria University; University of Dhaka</t>
  </si>
  <si>
    <t>Mazumder, MMM (corresponding author), Northumbria Univ, Dept Accounting &amp; Financial Management, Newcastle Upon Tyne, Tyne &amp; Wear, England.</t>
  </si>
  <si>
    <t>mohammed.mazumder@northumbria.ac.uk</t>
  </si>
  <si>
    <t>Mazumder, Dr Mohammed Mehadi Masud/0000-0003-4093-1179</t>
  </si>
  <si>
    <t>2042-1168</t>
  </si>
  <si>
    <t>2042-1176</t>
  </si>
  <si>
    <t>J ACCOUNT EMERG ECON</t>
  </si>
  <si>
    <t>J. Account. Emerg. Econ.</t>
  </si>
  <si>
    <t>10.1108/JAEE-07-2021-0237</t>
  </si>
  <si>
    <t>0I8QE</t>
  </si>
  <si>
    <t>WOS:000779677700001</t>
  </si>
  <si>
    <t>Saggar, R; Singh, B</t>
  </si>
  <si>
    <t>Saggar, Ridhima; Singh, Balwinder</t>
  </si>
  <si>
    <t>Corporate governance and risk reporting: Indian evidence</t>
  </si>
  <si>
    <t>MANAGERIAL AUDITING JOURNAL</t>
  </si>
  <si>
    <t>Disclosure; Corporate governance; Risk; Information</t>
  </si>
  <si>
    <t>SOCIAL-RESPONSIBILITY; BOARD COMPOSITION; VOLUNTARY DISCLOSURE; OWNERSHIP; INFORMATION; FIRM; DETERMINANTS; STAKEHOLDERS; ASSOCIATION; INCENTIVES</t>
  </si>
  <si>
    <t>Purpose - This study aims to measure the extent of voluntary risk disclosure and examine the relationship between corporate governance firm level quality in the form of board characteristics and ownership concentration's impact on risk disclosure in the annual reports of Indian listed companies. Design/methodology/approach - The method adopted in this study is automated content analysis, which is applied to a sample of 100 listed Indian non-financial companies to find out the extent of risk disclosure. Further, multiple linear regressions have been applied to find out the relationship between corporate governance firm level quality in the form of board characteristics, ownership concentration and risk disclosure. Findings - The findings reveal that the total number of positive risk keywords surpasses negative risk keywords disclosure. The corporate governance mainsprings, namely, board size and gender diversity have a positively significant effect on risk disclosure, whereas ownership concentration in the hands of the largest shareholder insignificantly affects risk disclosure, but identity of the largest shareholder having ownership concentration negatively affects disclosure of risk information in the case of Indian promoter body corporate, foreign promoter body corporate and non-institutions in comparison to family ownership. Research limitations/implications - This study relied on a set of 39 risk keywords for measuring the extent of risk disclosure. Further, it uses a sample of 100 companies to examine the effect of corporate governance on risk disclosure at one point of time. However, a longitudinal study can help in understanding risk disclosure adopted by Indian listed companies in a better manner. Practical implications - The findings have implications for regulatory bodies such as the Securities and Exchange Board of India, which needs to strengthen corporate governance norms with respect to board characteristics and keep a check on ownership concentration for improving risk disclosure by companies. Originality/value - To best of the authors' knowledge, this study is a preliminary attempt linking two research lines in India, that is, corporate risk disclosure and corporate governance quality in the form of board characteristics and ownership concentration. The study identifies corporate governance firm level qualities which lead to divulgation of risk information by the companies pointing towards strengthening of regulatory regime in the country for improved corporate governance regulations adopted by listed companies.</t>
  </si>
  <si>
    <t>[Saggar, Ridhima; Singh, Balwinder] Guru Nanak Dev Univ, Dept Commerce, Amritsar, Punjab, India</t>
  </si>
  <si>
    <t>Saggar, R (corresponding author), Guru Nanak Dev Univ, Dept Commerce, Amritsar, Punjab, India.</t>
  </si>
  <si>
    <t>saggarridhima@gmail.com</t>
  </si>
  <si>
    <t>Singh, Balwinder/0000-0002-8734-5532</t>
  </si>
  <si>
    <t>0268-6902</t>
  </si>
  <si>
    <t>1758-7735</t>
  </si>
  <si>
    <t>MANAG AUDIT J</t>
  </si>
  <si>
    <t>Manag. Audit. J.</t>
  </si>
  <si>
    <t>4-5</t>
  </si>
  <si>
    <t>10.1108/MAJ-03-2016-1341</t>
  </si>
  <si>
    <t>Business, Finance; Management</t>
  </si>
  <si>
    <t>EU6CY</t>
  </si>
  <si>
    <t>WOS:000401122800004</t>
  </si>
  <si>
    <t>Shah, M; Pabel, A; Martin-Sardesai, A</t>
  </si>
  <si>
    <t>Shah, Mahsood; Pabel, Anja; Martin-Sardesai, Ann</t>
  </si>
  <si>
    <t>Assessing Google reviews to monitor student experience</t>
  </si>
  <si>
    <t>INTERNATIONAL JOURNAL OF EDUCATIONAL MANAGEMENT</t>
  </si>
  <si>
    <t>Social media analytics; Student feedback; Student experience; Google reviews</t>
  </si>
  <si>
    <t>WORD-OF-MOUTH; SOCIAL MEDIA; HIGHER-EDUCATION; UNIVERSITY; CONVERSATIONS; CUSTOMERS; IMPACT</t>
  </si>
  <si>
    <t>Purpose The emergence of social media has provided an alternative mechanism for students to provide and access online reviews about universities. These forms of feedback are often not systematically monitored and interpreted by universities. The purpose of this paper is to analyse quantitative ratings and qualitative comments provided by students via Google reviews of 40 Australian universities. The qualitative comments were analysed via thematic coding which identified four key themes including quality of teaching, course design, learning environment and administrative support. The data were also subjected to automated content analysis using the text analytics software Leximancer to enhance the objectivity and reliability of findings. Design/methodology/approach The study involved the extraction of quantitative ratings as well as qualitative comments from Google reviews of 40 Australian universities. Each university was searched on Google and their rating and comments were collected as of August 2019. The qualitative data were included in an Excel spreadsheet along with the name of the universities, and their quantitative ratings. Using thematic coding techniques, the qualitative data were manually coded into four themes: quality of teaching, course design, learning environment and administrative support. Furthermore, the qualitative comments were grouped into two categories: positive comments and negative comments. Findings The paper argues the need for universities to actively monitor these new forms of student feedback which have provided autonomy and freedom for students and other stakeholders to access and provide 24/7 feedback. The study found common themes emerging from the positive and negative student comments related to: quality of teaching, course design, learning environments and administrative support. These aspects contributed to the students' satisfaction levels when they reflected on their educational experience on Google reviews. The study also found that institutions with high numbers of negative comments tend to have lower ratings compared to those with positive comments. Originality/value Many studies have been undertaken on student experience. Studies have focussed on the experience of home and international students, on-campus and online students, and students from various underrepresented backgrounds. So far no study has been undertaken on the reviews provided by students using Google reviews.</t>
  </si>
  <si>
    <t>[Shah, Mahsood] Swinburne Univ Technol, Melbourne, Vic, Australia; [Pabel, Anja; Martin-Sardesai, Ann] Cent Queensland Univ, Brisbane, Qld, Australia</t>
  </si>
  <si>
    <t>Swinburne University of Technology; Central Queensland University</t>
  </si>
  <si>
    <t>Shah, M (corresponding author), Swinburne Univ Technol, Melbourne, Vic, Australia.</t>
  </si>
  <si>
    <t>shah_mahsood@hotmail.com</t>
  </si>
  <si>
    <t>Pabel, Anja/0000-0003-1409-5496; Martin-Sardesai, Ann/0000-0001-6794-4549</t>
  </si>
  <si>
    <t>0951-354X</t>
  </si>
  <si>
    <t>1758-6518</t>
  </si>
  <si>
    <t>INT J EDUC MANAG</t>
  </si>
  <si>
    <t>Int. J. Educ. Manag.</t>
  </si>
  <si>
    <t>MAR 2</t>
  </si>
  <si>
    <t>10.1108/IJEM-06-2019-0200</t>
  </si>
  <si>
    <t>LC2ZG</t>
  </si>
  <si>
    <t>WOS:000501900500001</t>
  </si>
  <si>
    <t>Ho, L; Goethals, P</t>
  </si>
  <si>
    <t>Ho, Long; Goethals, Peter</t>
  </si>
  <si>
    <t>Machine learning applications in river research: Trends, opportunities and challenges</t>
  </si>
  <si>
    <t>artificial intelligence; machine learning; remote sensing; river research</t>
  </si>
  <si>
    <t>BIBLIOMETRIC EXPLORATION; CITIZEN SCIENCE; NEURAL-NETWORKS; LAND-USE; CLIMATE; FLOOD; CLASSIFICATION; BIODIVERSITY; ECOLOGY; QUALITY</t>
  </si>
  <si>
    <t>As one of the earth's key ecosystems, rivers have been intensively studied and modelled through the application of machine learning (ML). With the amount of large data available, these computer algorithms are ever increasing in numerous fields, although there is ongoing scepticism and scholars still question the actual impact and deliverables of algorithms. This study aims to provide a systematic review of the state-of-the-art ML-based techniques, trends, opportunities and challenges in river research by applying text mining and automated content analysis. Unsupervised and supervised learning have dominated river research while neural networks and deep learning have also gradually gained popularity. Matrix factorisation and linear models have been the most popular ML algorithms, with around 1300 and 800 publications on these topics in 2020 respectively. In contrast, river researchers have had few applications in multiclass and multilabel algorithm, associate rule and Naive Bayes. The current article proposes an end-to-end workflow of ML applications in river research in order to tackle major ML challenges, including four steps: (1) data collection and preparation; (2) model evaluation and selection; (3) model application; and (4) feedback loops. Within this workflow, river modellers have to balance numerous trade-offs related to model traits, such as complexity, accuracy, interpretability, bias, data privacy and accessibility and spatial and temporal scales. Any choices made when balancing the trade-offs can lead to different model outcomes affecting the final applications. Hence, it is necessary to carefully consider and specify modelling goals, understand the data collected and maintain feedback loops in order to continuously improve model performance and eventually reach the research objectives. Moreover, it remains crucial to address the users' needs and demands that often entail additional elements, such as computational cost, development time and the quantity, quality and compatibility of data. Furthermore, river researchers should account for new technologies and regulations in data collection and protection that are transforming the development and applications of ML, most notably data warehouse and information management with multiple-cycles that are becoming a cornerstone of the integration of ML in decision-making in river and ecosystem management.</t>
  </si>
  <si>
    <t>[Ho, Long; Goethals, Peter] Univ Ghent, Dept Anim Sci &amp; Aquat Ecol, Ghent, Belgium</t>
  </si>
  <si>
    <t>Ghent University</t>
  </si>
  <si>
    <t>Ho, L (corresponding author), Univ Ghent, Dept Anim Sci &amp; Aquat Ecol, Ghent, Belgium.</t>
  </si>
  <si>
    <t>long.tuanho@ugent.be</t>
  </si>
  <si>
    <t>Ho, Long/M-4443-2018</t>
  </si>
  <si>
    <t>Ho, Long/0000-0002-2999-1691</t>
  </si>
  <si>
    <t>Fonds Wetenschappelijk Onderzoek [1253921N]</t>
  </si>
  <si>
    <t>Fonds Wetenschappelijk Onderzoek(FWO)</t>
  </si>
  <si>
    <t>Fonds Wetenschappelijk Onderzoek, Grant/Award Number: 1253921N</t>
  </si>
  <si>
    <t>10.1111/2041-210X.13992</t>
  </si>
  <si>
    <t>5W9JV</t>
  </si>
  <si>
    <t>WOS:000868730100001</t>
  </si>
  <si>
    <t>Herbert, C; Bendig, E; Rojas, R</t>
  </si>
  <si>
    <t>Herbert, Cornelia; Bendig, Eileen; Rojas, Roberto</t>
  </si>
  <si>
    <t>My Sadness - Our Happiness: Writing About Positive, Negative, and Neutral Autobiographical Life Events Reveals Linguistic Markers of Self-Positivity and Individual Well-Being</t>
  </si>
  <si>
    <t>expressive writing; emotion expression; self; positivity bias; negativity bias; social cognition; self-reference; we-reference</t>
  </si>
  <si>
    <t>BENEFITS; HEALTH; WORDS; SCHIZOPHRENIA; ADAPTATION; DISCLOSURE; DEPRESSION; NARRATIVES; EMOTION; PEOPLE</t>
  </si>
  <si>
    <t>Objective: Narratives of autobiographical events contain rich information about an individual's private experience, his/her deepest thoughts, feelings, and emotions. The present study investigates linguistic markers of emotion expression and subjective well-being in adults during one session of positive, negative, and neutral expressive writing. Participants (N = 28 healthy participants, N = 7 adults with depressive symptoms), all native speakers of German were instructed to write expressively about personally relevant autobiographical life events of negative, positive, and neutral content. Methods: Quantitative text analysis was performed to determine the amount of emotional words, first person pronouns (singular vs. plural), and cognitive function words used in positive, negative, and neutral narratives and to examine the potency of these classes of words as linguistic markers of positivity/negativity, self-reference, and cognitive reappraisal. Additionally, the relationship between expressive writing and subjective well-being was explored by assessing changes in self-reported psychosomatic symptoms and in bodily and emotional awareness immediately after positive, negative, and neutral writing. Results: Regarding healthy participants, negative narratives contained significantly more negative emotional words than positive or neutral narratives. However, negative narratives also contained more positive emotional words compared to negative emotional words in positive narratives. Moreover, negative narratives contained more cognitive function words than positive narratives, suggesting that healthy participants tried to reappraise negative experiences while writing about negative personal life events. Positive narratives were characterized by an increased use of positive words and of pronouns of the first person plural (we), supporting a positivity bias and an extension of self-reference from first person singular to plural (we-reference) during positive expressive writing. Similarly, writing about neutral events was characterized by a positivity bias. Although based on descriptive analysis only, preferential use of positive words and cognitive function words in negative narratives was absent in participants reporting depressive symptoms. Positive, negative, and neutral expressive writing was accompanied by differential changes in bodily sensations, emotional awareness, and self-reported psychosomatic symptoms in all participants. Discussion: The findings are discussed with respect to previous research, a self-positivity bias, and a universal positivity bias in language use highlighting the relevance of these biases as markers of subjective well-being.</t>
  </si>
  <si>
    <t>[Herbert, Cornelia; Bendig, Eileen] Ulm Univ, Inst Psychol &amp; Educ, Appl Emot &amp; Motivat Psychol, Ulm, Germany; [Bendig, Eileen] Ulm Univ, Inst Psychol &amp; Educ, Clin Psychol &amp; Psychotherapy, Ulm, Germany; [Rojas, Roberto] Ulm Univ, Inst Psychol &amp; Educ, Univ Psychotherapeut, Outpatient Clin, Ulm, Germany</t>
  </si>
  <si>
    <t>Ulm University; Ulm University; Ulm University; University of Hamburg; University Medical Center Hamburg-Eppendorf</t>
  </si>
  <si>
    <t>Herbert, C (corresponding author), Ulm Univ, Inst Psychol &amp; Educ, Appl Emot &amp; Motivat Psychol, Ulm, Germany.</t>
  </si>
  <si>
    <t>cornelia.herbert@uni-uim.de</t>
  </si>
  <si>
    <t>Department of Applied Emotion and Motivation Psychology, Ulm University</t>
  </si>
  <si>
    <t>The study was funded by budgetary resources of the Department of Applied Emotion and Motivation Psychology, Ulm University.</t>
  </si>
  <si>
    <t>JAN 8</t>
  </si>
  <si>
    <t>10.3389/fpsyg.2018.02522</t>
  </si>
  <si>
    <t>HG7DN</t>
  </si>
  <si>
    <t>WOS:000455148800001</t>
  </si>
  <si>
    <t>Kim, S; Rohn, EJ; Kratz, AL</t>
  </si>
  <si>
    <t>Kim, Samsuk; Rohn, Edward J.; Kratz, Anna L.</t>
  </si>
  <si>
    <t>Linguistic Indicators of Chronic Pain Acceptance in Individuals With Spinal Cord Injury</t>
  </si>
  <si>
    <t>REHABILITATION PSYCHOLOGY</t>
  </si>
  <si>
    <t>pain acceptance; linguistic indicator; spinal cord injury; chronic pain; text analysis</t>
  </si>
  <si>
    <t>QUALITY-OF-LIFE; ANGER EXPRESSION; COMMITMENT THERAPY; SURROUNDING SEPTEMBER-11; MEDIATING ROLE; MINDFULNESS; HEALTH; MODEL; ADJUSTMENT; PATIENT</t>
  </si>
  <si>
    <t>Objective: Pain acceptance is a robust predictor of adjustment to chronic pain, including pain in those with spinal cord injury (SCI). This preliminary study aimed to identify linguistic patterns indicative of chronic pain acceptance to gain new insights into the underlying cognitive-emotional process of this construct. Method: Individuals with SCI and chronic pain (N = 30) completed the Chronic Pain Acceptance Questionnaire (CPAQ) and a semistructured interview about their pain. Linguistic Inquiry and Word Count software was used to quantify linguistic categories of interest in transcribed interviews. Results: Results of hierarchical linear regressions (controlling for pain intensity, age, and education) showed that personal pronouns explained an additional 26.9% of the variance in CPAQ activity engagement, which was associated with a lower frequency of first-person plural pronouns and a higher frequency of third person pronouns. Conjunction words explained an additional 12.8% and 19.2% of the variance in CPAQ total and pain willingness scores, respectively; frequency of conjunction words was negatively associated with acceptance. Perceptual processes words accounted for an additional 39.9% of the variance in pain willingness, which was associated with a lower frequency of seeing words and a higher frequency of hearing and feeling words. Conclusions: Findings suggest that pain acceptance is associated with unique linguistic patterns that can be identified in natural word use among individuals with SCI and chronic pain. Future research to further investigate linguistic indicators of pain acceptance and other clinically relevant pain constructs is warranted and could advance theoretical models of pain adaptation and clinical approaches to treating pain. Impact and Implications Although pain acceptance is considered a robust predictor of adjustment to pain, linguistic patterns indicative of pain acceptance have not been fully understood. Using quantitative text analysis, this study is the first to examine qualitative interview data to identify unique linguistic patterns of pain acceptance among individuals with SCI and chronic pain. The study supports the theoretical framework of pain acceptance as demonstrating less reference to the self and greater reference to others, the expression of ideas in a less interconnected way, and greater contact with, or emphasis on, sensory/perceptual experiences (hearing and feeling), regardless of pain intensity. Attention to verbal expression can reveal aspects of the underlying cognitive-emotional processes of the pain experience, which may be beneficial to pain management and treatment.</t>
  </si>
  <si>
    <t>[Kim, Samsuk] Univ Detroit Mercy, Dept Psychol, Detroit, MI 48221 USA; [Rohn, Edward J.] Oakland Univ, Dept Interdisciplinary Hlth Sci, Rochester, MI 48063 USA; [Rohn, Edward J.; Kratz, Anna L.] Univ Michigan, Dept Phys Med &amp; Rehabil, 2800 Plymouth Rd,NCRC B16,Room G031N, Ann Arbor, MI 48109 USA</t>
  </si>
  <si>
    <t>University of Detroit Mercy; Oakland University; University of Michigan System; University of Michigan</t>
  </si>
  <si>
    <t>Kratz, AL (corresponding author), Univ Michigan, Dept Phys Med &amp; Rehabil, 2800 Plymouth Rd,NCRC B16,Room G031N, Ann Arbor, MI 48109 USA.</t>
  </si>
  <si>
    <t>alkratz@med.umich.edu</t>
  </si>
  <si>
    <t>Kratz, Anna/0000-0002-3664-3898; Kim, Samsuk/0000-0001-8893-2248</t>
  </si>
  <si>
    <t>Craig H. Neilsen Foundation [542114]</t>
  </si>
  <si>
    <t>Craig H. Neilsen Foundation</t>
  </si>
  <si>
    <t>Research reported in this article was supported by a Psychosocial Research grant from the Craig H. Neilsen Foundation (Grant 542114; PI: Edward J. Rohn).</t>
  </si>
  <si>
    <t>0090-5550</t>
  </si>
  <si>
    <t>1939-1544</t>
  </si>
  <si>
    <t>REHABIL PSYCHOL</t>
  </si>
  <si>
    <t>Rehabil. Psychol.</t>
  </si>
  <si>
    <t>10.1037/rep0000399</t>
  </si>
  <si>
    <t>Psychology, Clinical; Rehabilitation</t>
  </si>
  <si>
    <t>Psychology; Rehabilitation</t>
  </si>
  <si>
    <t>XI0QC</t>
  </si>
  <si>
    <t>WOS:000725826700024</t>
  </si>
  <si>
    <t>Luo, C; Ji, KY; Tang, YL; Du, ZY</t>
  </si>
  <si>
    <t>Luo, Chen; Ji, Kaiyuan; Tang, Yulong; Du, Zhiyuan</t>
  </si>
  <si>
    <t>Exploring the Expression Differences Between Professionals and Laypeople Toward the COVID-19 Vaccine: Text Mining Approach</t>
  </si>
  <si>
    <t>COVID-19; vaccine; Zhihu; structural topic modeling; medical professional; laypeople; adverse reactions; vaccination; vaccine effectiveness; vaccine development</t>
  </si>
  <si>
    <t>COMMUNICATION-RESEARCH; SCIENCE COMMUNICATION; RISK; KNOWLEDGE; MEDIA; BEHAVIOR</t>
  </si>
  <si>
    <t>Background: COVID-19 is still rampant all over the world. Until now, the COVID-19 vaccine is the most promising measure to subdue contagion and achieve herd immunity. However, public vaccination intention is suboptimal. A clear division lies between medical professionals and laypeople. While most professionals eagerly promote the vaccination campaign, some laypeople exude suspicion, hesitancy, and even opposition toward COVID-19 vaccines. Objective: This study aims to employ a text mining approach to examine expression differences and thematic disparities between the professionals and laypeople within the COVID-19 vaccine context. Methods: We collected 3196 answers under 65 filtered questions concerning the COVID-19 vaccine from the China-based question and answer forum Zhihu. The questions were classified into 5 categories depending on their contents and description: adverse reactions, vaccination, vaccine effectiveness, social implications of vaccine, and vaccine development. Respondents were also manually coded into two groups: professional and laypeople. Automated text analysis was performed to calculate fundamental expression characteristics of the 2 groups, including answer length, attitude distribution, and high-frequency words. Furthermore, structural topic modeling (STM), as a cutting-edge branch in the topic modeling family, was used to extract topics under each question category, and thematic disparities were evaluated between the 2 groups. Results: Laypeople are more prevailing in the COVID-19 vaccine-related discussion. Regarding differences in expression characteristics, the professionals posted longer answers and showed a conservative stance toward vaccine effectiveness than did laypeople. Laypeople mentioned countries more frequently, while professionals were inclined to raise medical jargon. STM discloses prominent topics under each question category. Statistical analysis revealed that laypeople preferred the safety of Chinese-made vaccine topic and other vaccine-related issues in other countries. However, the professionals paid more attention to medical principles and professional standards underlying the COVID-19 vaccine. With respect to topics associated with the social implications of vaccines, the 2 groups showed no significant difference. Conclusions: Our findings indicate that laypeople and professionals share some common grounds but also hold divergent focuses toward the COVID-19 vaccine issue. These incongruities can be summarized as qualitatively different in perspective rather than quantitatively different in scientific knowledge. Among those questions closely associated with medical expertise, the qualitatively different characteristic is quite conspicuous. This study boosts the current understanding of how the public perceives the COVID-19 vaccine, in a more nuanced way. Web-based question and answer forums are a bonanza for examining perception discrepancies among various identities. STM further exhibits unique strengths over the traditional topic modeling method in statistically testing the topic preference of diverse groups. Public health practitioners should be keenly aware of the cognitive differences between professionals and laypeople, and pay special attention to the topics with significant inconsistency across groups to build consensus and promote vaccination effectively.</t>
  </si>
  <si>
    <t>[Luo, Chen; Ji, Kaiyuan; Du, Zhiyuan] Tsinghua Univ, Sch Journalism &amp; Commun, Beijing, Peoples R China; [Luo, Chen] Commun Univ China, Fac Int Media, Beijing, Peoples R China; [Tang, Yulong] Commun Univ China, Inst Commun Studies, 1 Dingfuzhuang East St, Beijing 100024, Peoples R China</t>
  </si>
  <si>
    <t>Tsinghua University; Communication University of China; Communication University of China</t>
  </si>
  <si>
    <t>Tang, YL (corresponding author), Commun Univ China, Inst Commun Studies, 1 Dingfuzhuang East St, Beijing 100024, Peoples R China.</t>
  </si>
  <si>
    <t>longbao0927@163.com</t>
  </si>
  <si>
    <t>Luo, Chen/AAW-9043-2020; Luo, Chen/GQO-9299-2022</t>
  </si>
  <si>
    <t>Luo, Chen/0000-0002-9736-0533; Tang, Yulong/0000-0001-8243-6323</t>
  </si>
  <si>
    <t>AUG 27</t>
  </si>
  <si>
    <t>e30715</t>
  </si>
  <si>
    <t>10.2196/30715</t>
  </si>
  <si>
    <t>UH1WZ</t>
  </si>
  <si>
    <t>WOS:000689731600017</t>
  </si>
  <si>
    <t>Renberg, KM; Tolley, MC</t>
  </si>
  <si>
    <t>Renberg, Kristen M.; Tolley, Michael C.</t>
  </si>
  <si>
    <t>MAPPING EUROPE'S COSMOPOLITAN LEGAL ORDER: A NETWORK ANALYSIS OF THE EUROPEAN COURT OF HUMAN RIGHTS, THE COURT OF JUSTICE OF THE EUROPEAN UNION, AND HIGH NATIONAL COURTS</t>
  </si>
  <si>
    <t>EUROPEAN JOURNAL OF LEGAL STUDIES</t>
  </si>
  <si>
    <t>European courts; cosmopolitan legal order; network analysis; judicial dialogue; strategic citation</t>
  </si>
  <si>
    <t>INTERNATIONAL COURTS</t>
  </si>
  <si>
    <t>While some scholars, such as Stone Sweet and Ryan, describe Europe's multi-level system of courts as an emerging 'cosmopolitan legal order', few have attempted to study the case citations representing the defining features of the order, namely the interdependence of courts at each level, and the embeddedness of international law in national court decisions. To this end, we have constructed an original database of case citations based on judgments of the European Court of Human Rights (ECtHR), the Court of Justice of the European Union (CJEU), and high national courts made available by CODICES, and apply network analysis and text-as-data methods to assess the dynamic interactions among these courts. Our work makes several empirical contributions to the literature on the Europeanization of law and courts: that Europe's 'cosmopolitan legal order' operates more as an interconnected, heterarchical network and less like a hierarchical legal system; that the ECtHR's status today as the 'ultimate supranational arbiter of human rights in Europe' in the words of Kelemen is assured by the propensity of national courts to cite its case law; and that high national courts use their case citations strategically to signal to domestic and international audiences their commitment to the values of the 'cosmopolitan legal order'. After identifying the forces that give the network its unique shape, we discuss the implications of the governance architecture for the effective promotion of the values that inspired the legal order.</t>
  </si>
  <si>
    <t>[Renberg, Kristen M.] Duke Univ, Sch Law, Durham, NC 27706 USA; [Tolley, Michael C.] Northeastern Univ, Dept Polit Sci, Boston, MA 02115 USA</t>
  </si>
  <si>
    <t>Duke University; Northeastern University</t>
  </si>
  <si>
    <t>Renberg, KM (corresponding author), Duke Univ, Sch Law, Durham, NC 27706 USA.</t>
  </si>
  <si>
    <t>kristen.renberg@duke.edu; m.tolley@northeastern.edu</t>
  </si>
  <si>
    <t>EUROPEAN UNIV INST</t>
  </si>
  <si>
    <t>FIRENZE</t>
  </si>
  <si>
    <t>COMMUNICATIONS SERV-PUBL UNIT, VILLA SALVIATI, VIA BOLOGNESE 156, FIRENZE, FI 50139, ITALY</t>
  </si>
  <si>
    <t>1973-2937</t>
  </si>
  <si>
    <t>EUR J LEG STUD</t>
  </si>
  <si>
    <t>Eur. J. Leg. Stud.</t>
  </si>
  <si>
    <t>10.2924/EJLS.2021.005</t>
  </si>
  <si>
    <t>XG8BF</t>
  </si>
  <si>
    <t>WOS:000724972500004</t>
  </si>
  <si>
    <t>Jentsch, C; Lee, ER; Mammen, E</t>
  </si>
  <si>
    <t>Jentsch, Carsten; Lee, Eun Ryung; Mammen, Enno</t>
  </si>
  <si>
    <t>Time-dependent Poisson reduced rank models for political text data analysis</t>
  </si>
  <si>
    <t>COMPUTATIONAL STATISTICS &amp; DATA ANALYSIS</t>
  </si>
  <si>
    <t>Party manifestos; Text data; Term document matrices; Count data; High-dimensional data; Political spectrum; Political lexicon; Wordfish; INAR time series models; Penalization; LASSO; Fused LASSO; Dimension reduction</t>
  </si>
  <si>
    <t>ROBUST TRANSFORMATION PROCEDURE; CROSS-CLASSIFICATIONS; PARTY POSITIONS; ASSOCIATION; SERIES; SELECTION; PITFALLS; WORDS; ERROR; LASSO</t>
  </si>
  <si>
    <t>We consider Poisson reduced rank models where parameters depend on time. Our main motivation comes from studies in comparative politics where one wants to locate party positions in a certain political space. For this purpose, several empirical methods have been proposed using text as data sources. As the data structure of texts is quite complex, its analysis to extract information is generally a difficult task. Furthermore, political texts usually contain a large number of words such that a simultaneous analysis of word counts becomes challenging. In this paper, we consider Poisson models for each word count simultaneously and provide a statistical method suitable to analyze political text data. We consider a novel model which allows the political lexicon to change over time and develop an estimation procedure based on LASSO and fused LASSO penalization techniques to address high-dimensionality via significant dimension reduction. This model gives insights into the potentially changing use of words by left and right-wing parties over time. The procedure allows to identify automatically those words having a discriminating effect between party positions. To address the dependence structure of word counts over time, we propose integer-valued time series processes to implement a suitable bootstrap method for constructing confidence intervals for the model parameters. We apply our approach to party manifesto data from German parties over seven federal elections after German reunification. The approach does not require any a priori information nor expert knowledge to process the data. (C) 2019 Elsevier B.V. All rights reserved.</t>
  </si>
  <si>
    <t>[Jentsch, Carsten] TU Dortmund, Fak Stat, D-44221 Dortmund, Germany; [Lee, Eun Ryung] Sungkyunkwan Univ, Dept Stat, 25-2 Sungkyunkwan Ro, Seoul 03063, South Korea; [Mammen, Enno] Heidelberg Univ, Inst Appl Math, Im Neuenheimer Feld 205, D-69120 Heidelberg, Germany</t>
  </si>
  <si>
    <t>Dortmund University of Technology; Sungkyunkwan University (SKKU); Ruprecht Karls University Heidelberg</t>
  </si>
  <si>
    <t>Lee, ER (corresponding author), Sungkyunkwan Univ, Dept Stat, 25-2 Sungkyunkwan Ro, Seoul 03063, South Korea.</t>
  </si>
  <si>
    <t>silverryuee@gmail.com</t>
  </si>
  <si>
    <t>Lee, Eun Ryung/0000-0003-3027-0768</t>
  </si>
  <si>
    <t>Deutsche Forschungsgemeinschaft (DFG) through the Research Training Group RTG 1953; National Research Foundation of Korea (NRF) - Korea government (MSIT) [NRF-2019R1F1A1062795]; Government of the Russian Federation; Deutsche Forschungsgemeinschaft (DFG) through the Research Center (SFB) 884 Political Economy of Reform</t>
  </si>
  <si>
    <t>Deutsche Forschungsgemeinschaft (DFG) through the Research Training Group RTG 1953(German Research Foundation (DFG)); National Research Foundation of Korea (NRF) - Korea government (MSIT)(National Research Foundation of KoreaMinistry of Science, ICT &amp; Future Planning, Republic of KoreaMinistry of Science &amp; ICT (MSIT), Republic of Korea); Government of the Russian Federation; Deutsche Forschungsgemeinschaft (DFG) through the Research Center (SFB) 884 Political Economy of Reform(German Research Foundation (DFG))</t>
  </si>
  <si>
    <t>The authors would like to thank anonymous reviewers, the Associate Editor, and the Coeditor for their valuable comments, which helped to improve the article. This research is supported by Deutsche Forschungsgemeinschaft (DFG) through the Research Training Group RTG 1953 and through the Research Center (SFB) 884 Political Economy of Reform. Research of E. R. Lee was partially supported by the National Research Foundation of Korea (NRF) grant funded by the Korea government (MSIT) (No. NRF-2019R1F1A1062795). Research of E. Mammen was prepared within the framework of a subsidy granted to the HSE by the Government of the Russian Federation for the implementation of the Global Competitiveness Program. We thank Julian Koltes and Florian Miser for assistance in the implementation of the algorithms. Most of the computations have been done on the HPC clusters bwGrid and the bwUniCLuster.</t>
  </si>
  <si>
    <t>0167-9473</t>
  </si>
  <si>
    <t>1872-7352</t>
  </si>
  <si>
    <t>COMPUT STAT DATA AN</t>
  </si>
  <si>
    <t>Comput. Stat. Data Anal.</t>
  </si>
  <si>
    <t>10.1016/j.csda.2019.106813</t>
  </si>
  <si>
    <t>Computer Science, Interdisciplinary Applications; Statistics &amp; Probability</t>
  </si>
  <si>
    <t>JI1HS</t>
  </si>
  <si>
    <t>WOS:000493217100009</t>
  </si>
  <si>
    <t>Reframing aging during COVID-19: Familial role-based framing of older adults linked to decreased ageism</t>
  </si>
  <si>
    <t>JOURNAL OF THE AMERICAN GERIATRICS SOCIETY</t>
  </si>
  <si>
    <t>age stereotypes; ageism; aging narratives; psychomics; quantitative social science; reframing aging; text as data</t>
  </si>
  <si>
    <t>STEREOTYPES</t>
  </si>
  <si>
    <t>Background Contributions of older adults amid the COVID-19 pandemic have been eclipsed by discourse positioning them as an at-risk population. We assess whether age-based framing (e.g., senior citizen) is associated with more negative stereotyping in the media compared to familial role-based framing (e.g., grandparent) across 8 months, from a baseline period (October 2019-December 2019) to the onset of the pandemic (January 2020-May 2020). Methods Leveraging a 12-billion-word news media database-with over 30 million news articles from over 7000 websites-we identified the most common synonyms for age-based framing (e.g., senior citizen) and familial role-based framing (e.g., grandparent). For each framing category, we compiled the most frequently used descriptors every month, amassing 488,907 descriptors in total. All descriptors were rated from 1 (very negative) to 5 (very positive) to determine a Cumulative Aging Narrative Score (CANS) for age-based and familial role-based framing. Results Age-based framing of older adults increased negative stereotyping in the media by seven times compared to familial role-based framing during COVID-19. The percentage of positive topics for age-based framing was significantly lower during COVID-19 (35%) than before (61%). Conversely, the percentage of positive topics for familial role-based framing was higher during the pandemic (91%) than before (70%). Conclusion This is one of the first empirical studies on whether framing older adults based on age or role is linked to more negative stereotypes during COVID-19. We argue for a more role-centered approach in framing older adults so that their contributions are acknowledged and valued by society.</t>
  </si>
  <si>
    <t>[Ng, Reuben; Indran, Nicole] Natl Univ Singapore, Lee Kuan Yew Sch Publ Policy, Singapore, Singapore; [Ng, Reuben] Natl Univ Singapore, Lloyds Register Fdn Inst Publ Understanding Risk, Singapore, Singapore</t>
  </si>
  <si>
    <t>Ng, R (corresponding author), Natl Univ Singapore, Lee Kuan Yew Sch Publ Policy, Singapore, Singapore.</t>
  </si>
  <si>
    <t>Lloyd's Register Foundation [IPUR-FY2019-RES-03-NG]; Social Science Research Council [MOE2018-SSHR-004]</t>
  </si>
  <si>
    <t>Lloyd's Register Foundation; Social Science Research Council</t>
  </si>
  <si>
    <t>Lloyd's Register Foundation, Grant/Award Number: IPUR-FY2019-RES-03-NG; Social Science Research Council, Grant/Award Number: MOE2018-SSHR-004</t>
  </si>
  <si>
    <t>0002-8614</t>
  </si>
  <si>
    <t>1532-5415</t>
  </si>
  <si>
    <t>J AM GERIATR SOC</t>
  </si>
  <si>
    <t>J. Am. Geriatr. Soc.</t>
  </si>
  <si>
    <t>10.1111/jgs.17532</t>
  </si>
  <si>
    <t>Geriatrics &amp; Gerontology; Gerontology</t>
  </si>
  <si>
    <t>Geriatrics &amp; Gerontology</t>
  </si>
  <si>
    <t>YD3LU</t>
  </si>
  <si>
    <t>WOS:000734106700001</t>
  </si>
  <si>
    <t>Role-Based Framing of Older Adults Linked to Decreased Ageism Over 210 Years: Evidence From a 600-Million-Word Historical Corpus</t>
  </si>
  <si>
    <t>GERONTOLOGIST</t>
  </si>
  <si>
    <t>Age stereotypes; Aging narratives; Historical analysis; Psychomics; Quantitative social science; Text as data</t>
  </si>
  <si>
    <t>COHORT DIFFERENCES; WORD CORPUS; STEREOTYPES; FUTURE; PERCEPTIONS; GRANDCHILDREN; GRANDPARENTS; ATTITUDES; DILEMMAS; IMPACT</t>
  </si>
  <si>
    <t>Background and Objectives Older adults are exhibiting greater diversity in their aging trajectories. This has led to movements by the World Health Organization and AARP to reframe aging. We compare role-based framing and age-based framing of older adults over 210 years-a time span beyond the reach of traditional methods-and elucidate their respective sentiments and narratives. Research Design and Methods We combined the Corpus of Historical American English with the Corpus of Contemporary American English to create a 600-million-word data set-the largest historical corpus of American English with over 150,000 texts collected from newspapers, magazines, fiction, and nonfiction. We compiled the top descriptors of age-based terms (e.g., senior citizen) and role-based terms (e.g., grandparent) and rated them for stereotypic valence (negative to positive) over 21 decades. Results Age-based framing evidenced a significantly higher increase in negativity (15%) compared to role-based framing (4%). We found a significant interaction effect between framing (age-based vs. role-based) and stereotypic content across 2 centuries (1800s and 1900s). The percentage of positive topics associated with role-based framing increased from 71% in the 1800s to 89% in the 1900s, with narratives of affection and wisdom becoming more prevalent. Conversely, the percentage of positive topics for age-based framing decreased from 82% to 38% over time, with narratives of burden, illness, and death growing more prevalent. Discussion and Implications We argue for a more role-centric approach when framing aging such that age ceases to be the chief determinant in how older adults are viewed in society.</t>
  </si>
  <si>
    <t>[Ng, Reuben; Indran, Nicole] Natl Univ Singapore, Lee Kuan Yew Sch Publ Policy, 469C Bukit Timah Rd, Singapore 259772, Singapore; [Ng, Reuben] Natl Univ Singapore, Lloyds Register Fdn, Inst Publ Understanding Risk, Singapore, Singapore</t>
  </si>
  <si>
    <t>Ng, R (corresponding author), Natl Univ Singapore, Lee Kuan Yew Sch Publ Policy, 469C Bukit Timah Rd, Singapore 259772, Singapore.</t>
  </si>
  <si>
    <t>This work was supported by the Social Science Research Council SSHR Fellowship (MOE2018-SSHR-004) and the Lloyd's Register Foundation IPUR Grant (IPUR-FY2019-RES-03-NG). The funders had no role in study design, data collection, analysis, or writing.</t>
  </si>
  <si>
    <t>0016-9013</t>
  </si>
  <si>
    <t>1758-5341</t>
  </si>
  <si>
    <t>Gerontologist</t>
  </si>
  <si>
    <t>10.1093/geront/gnab108</t>
  </si>
  <si>
    <t>Gerontology</t>
  </si>
  <si>
    <t>1L1BI</t>
  </si>
  <si>
    <t>WOS:000756634400001</t>
  </si>
  <si>
    <t>Ng, R; Tan, YW</t>
  </si>
  <si>
    <t>Ng, Reuben; Tan, Yi Wen</t>
  </si>
  <si>
    <t>Diversity of COVID-19 News Media Coverage across 17 Countries: The Influence of Cultural Values, Government Stringency and Pandemic Severity</t>
  </si>
  <si>
    <t>COVID-19; pandemic; newspapers; cultural values; text as data; public health; public policy; digital humanities; quantitative social science</t>
  </si>
  <si>
    <t>HEALTH</t>
  </si>
  <si>
    <t>The current media studies of COVID-19 devote asymmetrical attention to social media; in contrast, newspapers have received comparatively less attention. Newspapers are an integral source of current information that are syndicated and amplified by social media to a wide global audience. This is one of the first known studies to operationalize news media diversity and examine its association with cultural values during the pandemic. We tracked the global diversity of COVID-19 coverage in a news media database of 12 billion words, collated from 28 million articles over 7000 news websites, across 8 months. Media diversity was measured weekly by the number of unique descriptors of 10 target terms of the pandemic (e.g., COVID-19, coronavirus) and normalized by the corpus size for the respective countries per week. Government Stringency was taken from the Oxford COVID-19 Government Response Tracker and cultural scores were taken from Hofstede's Cultural Values global database. Results showed that Media Diversity Rate increased 6.7 times over 8 months, from the baseline period (October-December 2019) to during the pandemic (January-May 2020). Mixed effects modelling revealed that higher COVID-19 prevalence rates and governmental stringency predicted this increase. Interestingly, collectivist cultures are linked to more diverse media coverage during COVID-19. It is possible that news outlets in collectivist societies are motivated to present a diverse array of topics given the impact of COVID-19 on every segment of society. Of broader significance, we provided a framework to design targeted public health communications that are culturally nuanced.</t>
  </si>
  <si>
    <t>[Ng, Reuben] Natl Univ Singapore, Lee Kuan Yew Sch Publ Policy, Singapore 119077, Singapore; [Ng, Reuben; Tan, Yi Wen] Natl Univ Singapore, Lloyds Register Fdn Inst Publ Understanding Risk, Singapore 119077, Singapore</t>
  </si>
  <si>
    <t>Ng, R (corresponding author), Natl Univ Singapore, Lee Kuan Yew Sch Publ Policy, Singapore 119077, Singapore.;Ng, R (corresponding author), Natl Univ Singapore, Lloyds Register Fdn Inst Publ Understanding Risk, Singapore 119077, Singapore.</t>
  </si>
  <si>
    <t>Tan, Yi Wen/0000-0003-4834-8471; Ng, Reuben/0000-0002-1186-0570</t>
  </si>
  <si>
    <t>Social Science Research Council SSHR Fellowship [MOE2018-SSHR-004]; Lloyds Register Foundation IPUR Grant [IPUR-FY2019-RES-03-NG]</t>
  </si>
  <si>
    <t>Social Science Research Council SSHR Fellowship; Lloyds Register Foundation IPUR Grant</t>
  </si>
  <si>
    <t>We gratefully acknowledge the support by the Social Science Research Council SSHR Fellowship (MOE2018-SSHR-004), and the Lloyds Register Foundation IPUR Grant (IPUR-FY2019-RES-03-NG). The funders had no role in study design, data collection, analysis, writing and decision to publish.</t>
  </si>
  <si>
    <t>10.3390/ijerph182211768</t>
  </si>
  <si>
    <t>XG9TF</t>
  </si>
  <si>
    <t>WOS:000725087500001</t>
  </si>
  <si>
    <t>Mishankina, NA; Chernysh, OA</t>
  </si>
  <si>
    <t>Mishankina, Natalia A.; Chernysh, Olga A.</t>
  </si>
  <si>
    <t>Vocabulary of Official Records in the Aspect of Discursive Formation Discontinuity (Based on the Materials of Records Dated by 1917-1933)</t>
  </si>
  <si>
    <t>VESTNIK TOMSKOGO GOSUDARSTVENNOGO UNIVERSITETA FILOLOGIYA-TOMSK STATE UNIVERSITY JOURNAL OF PHILOLOGY</t>
  </si>
  <si>
    <t>document discourse; record; content analysis; lexical organisation; discursive unity; discursive formation</t>
  </si>
  <si>
    <t>The aim of the article is to identify quantitative characteristics of the lexical organisation of the text of the record in the aspect of the discontinuity of discursive unity caused by changes in the social reality in 1917-1933. Methodologically, the research is based on Michel Foucault's thesis on the discontinuity of discursive formations within discursive unity. Document discourse preserves the unity of the basic function and transforming in the aspect of language specificity and thus allows arguing this thesis. The discursive approach allows interpreting the repercussions of the social processes in the document corpus in a new way. Despite its function of fixing the sequence of real social events and their documentary proof, the record is scarcely investigated in this aspect. In the research, the leading methodological approach is discourse analysis; the main method is automated content analysis. The material for the analysis was corpora of records (1) of Tomsk Governorate People's Assembly dated by 1917 (25 documents, 91,686 word usages) and (2) of meetings at Tomsk institutions dated by 1918-1933 (126 documents, 41,630 word usages). The research showed that these corpora have significant difference in terms of lexical organisation. On the on hand, the document texts of the corpora demonstrate belonging to a discursive unity: they meet the factographic requirement and contain discursive markers (nomination of the type of document, typical communicative situations (and their parts), participants in communication, communicative actions), which indicates their belonging to the sphere of institutional communication. On the other hand, the quantitative analysis of the vocabulary shows the discontinuity of discursive formation, which is manifested: (1) in the different composition of categories and different usage of discursive markers: the markers of the 1918-1933 corpus show a much greater tendency to uniformity; (2) in the signs of transformation observed in the lexical organisation of the record: (a) an increase in the frequency of lexical units denoting new social and political phenomena, social statuses and actions (including punitive ones); (b) a decrease in the frequency of lexical units denoting both disappeared realities (nominations of territorial units) and phenomena which have lost their significance in the new social order. Thus, it can be argued that the lexical organisation of the record of different historical periods shows the discontinuity of discursive unity, and the analysed corpora can be considered different discursive formations. This discontinuity is primarily due to the changed social reality.</t>
  </si>
  <si>
    <t>[Mishankina, Natalia A.; Chernysh, Olga A.] Tomsk Polytech Univ, Tomsk, Russia; [Mishankina, Natalia A.] Tomsk State Univ, Tomsk, Russia</t>
  </si>
  <si>
    <t>Tomsk Polytechnic University; Tomsk State University</t>
  </si>
  <si>
    <t>Mishankina, NA (corresponding author), Tomsk Polytech Univ, Tomsk, Russia.;Mishankina, NA (corresponding author), Tomsk State Univ, Tomsk, Russia.</t>
  </si>
  <si>
    <t>mna@tpu.ru; chernyshoa@tpu.ru</t>
  </si>
  <si>
    <t>Mishankina, Natalia A./E-9232-2014; Mishankina, Natalia A/R-5281-2016</t>
  </si>
  <si>
    <t>Mishankina, Natalia A/0000-0002-9669-9228</t>
  </si>
  <si>
    <t>1998-6645</t>
  </si>
  <si>
    <t>2310-5046</t>
  </si>
  <si>
    <t>VESTN TOMSK U-FILOL</t>
  </si>
  <si>
    <t>Vestn. Tomsk. Gos. Univ. Filol.</t>
  </si>
  <si>
    <t>10.17223/19986645/66/6</t>
  </si>
  <si>
    <t>OH4QB</t>
  </si>
  <si>
    <t>WOS:000582555900006</t>
  </si>
  <si>
    <t>Stepanenko, AA</t>
  </si>
  <si>
    <t>Stepanenko, Andrey A.</t>
  </si>
  <si>
    <t>GENDER ATTRIBUTION IN SOCIAL NETWORK COMMUNICATION: THE STATISTICAL ANALYSIS OF PRONOUNS FREQUENCY</t>
  </si>
  <si>
    <t>TOMSK STATE UNIVERSITY JOURNAL</t>
  </si>
  <si>
    <t>network communication; statistics; authorship attribution; gender</t>
  </si>
  <si>
    <t>Authorship attribution in literature is one of the rapidly developing areas in linguistics, which was formed 40 years ago. Today it combines different methods of science: linguistics, logic, mathematics. The combination of methods has allowed using their variety, which could increase accuracy in authorship attribution of the text. However, the main problem of this field is connected with choosing initial criteria and indicators during quantitative text analysis. This article describes the modern criteria for the text analysis of markers based on the frequency determination of the syntactic units, phraseological and stylistic levels. Unlike art texts, network communication is not structured and it has a small size. In this aspect, the problem of network text analysis is more focused on the marker identification of group speakers than on author's individual invariant. Therefore, modern research in text attribution needs method transformation taking into account the above problems. In this article, the author adapts quantitative linguistics methods of art text attribution taking into account differences in using gender markers during computer communication. This research consisted of the following stages: 1) collection of text material and grouping of computer communication dialogues by gender (male and female); 2) choice of variables the objects are assessed by in the sample, i.e. search for the attribute space on the gender basis; 3) analysis of statistically significant differences between the two independent groups in selected attributes. The attributes include pronouns as gender markers which express differences in I-positions in communication. To identify gender differences in the expression of I-positions, the author analyzed informal dialogues from the social network VKontakte. All texts represented informal communication between men and women (18-20 y.o.). The total number of respondents was 38 people. The size of each dialogue was about 150-200 KB (one conversation made up 10 printed pages). To find statistically significant values in the dialogues, they were divided into files containing male and female lines (49-50 KB each). Personal pronouns in the texts were marked and classified into several groups. The hierarchical cluster analysis method (k-means) was used as the main method for the research objects. The results of the statistical analysis showed differences in the distribution of personal pronouns in I-group. However, the frequency of the use of the personal pronoun in the singular suggests that women aged 18-20 use more I-group pronouns, while the use of pronouns other functional-semantic groups did not reveal statistically significant differences. These figures showed that women's communication is more self-centered and exclusive. The further object of the search is a quantitative analysis of emotional markers in communication and building a classifier.</t>
  </si>
  <si>
    <t>[Stepanenko, Andrey A.] Tomsk State Univ, Tomsk, Russia</t>
  </si>
  <si>
    <t>Tomsk State University</t>
  </si>
  <si>
    <t>Stepanenko, AA (corresponding author), Tomsk State Univ, Tomsk, Russia.</t>
  </si>
  <si>
    <t>stepanenkone@mail.ru</t>
  </si>
  <si>
    <t>Stepanenko, Andrei A./Z-1303-2018</t>
  </si>
  <si>
    <t>1561-7793</t>
  </si>
  <si>
    <t>1561-803X</t>
  </si>
  <si>
    <t>TOMSK STATE UNIV J</t>
  </si>
  <si>
    <t>Tomsk State Univ. J.</t>
  </si>
  <si>
    <t>10.17223/15617793/415/3</t>
  </si>
  <si>
    <t>EN2TJ</t>
  </si>
  <si>
    <t>WOS:000395862800003</t>
  </si>
  <si>
    <t>Lamprell, K; Pulido, DF; Tran, Y; Easpaig, BNG; Liauw, W; Arnolda, G; Braithwaite, J</t>
  </si>
  <si>
    <t>Lamprell, Klay; Pulido, Diana Fajardo; Tran, Yvonne; Easpaig, Brona Nic Giolla; Liauw, Winston; Arnolda, Gaston; Braithwaite, Jeffrey</t>
  </si>
  <si>
    <t>Personal Accounts of Young-Onset Colorectal Cancer Organized as Patient-Reported Data: Protocol for a Mixed Methods Study</t>
  </si>
  <si>
    <t>JMIR RESEARCH PROTOCOLS</t>
  </si>
  <si>
    <t>colorectal cancer; PROMs; young-onset cancer; cancer; patient reported outcome</t>
  </si>
  <si>
    <t>QUALITY-OF-LIFE; OUTCOME MEASURES; POPULATION; DIAGNOSIS; ETHICS; PROMS; CARE</t>
  </si>
  <si>
    <t>Background: Young-onset colorectal cancer is a contemporary issue in need of substantial research input. The incidence of colorectal cancer in adults younger than 50 years is rising in contrast to the decreasing incidence of this cancer in older adults. People with young-onset colorectal cancer may be at that stage of life in which they are establishing their careers, building relationships with long-term partners, raising children, and assembling a financial base for the future. A qualitative study designed to facilitate triangulation with extant quantitative patient-reported data would contribute the first comprehensive resource for understanding how this distinct patient population experiences health services and the outcomes of care throughout the patient pathway. Objective: The aim of this study was to undertake a mixed-methods study of qualitative patient-reported data on young-onset colorectal cancer experiences and outcomes. Methods: This is a study of web-based unsolicited patient stories recounting experiences of health services and clinical outcomes related to young-onset colorectal cancer. Personal Recollections Organized as Data (PROD) is a novel methodology for understanding patients' health experiences in order to improve care. PROD pivots qualitative data collection and analysis around the validated domains and dimensions measured in patient-reported outcome and patient-reported experience questionnaires PROD involves 4 processes: (1) classifying attributes of the contributing patients, their disease states, their routes to diagnosis, and the clinical features of their treatment and posttreatment; (2) coding texts into the patient-reported experience and patient-reported outcome domains and dimensions, defined a priori, according to phases of the patient pathway; (3) thematic analysis of content within and across each domain; and (4) quantitative text analysis of the narrative content. Results: Relevant patient stories have been identified, and permission has been obtained for use of the texts in primary research. The approval for this study was granted by the Macquarie University Human Research Ethics Committee in June 2020. The analytical framework was established in September 2020, and data collection commenced in October 2020. We will complete the analysis in March 2021 and we aim to publish the results in mid-2021. Conclusions: The findings of this study will identify areas for improvement in the PROD methodology and inform the development of a large-scale study of young-onset colorectal cancer patient narratives. We believe that this will be the first qualitative study to identify and describe the patient pathway from symptom self-identification to help-seeking through to diagnosis, treatment, and to survivorship or palliation for people with young-onset colorectal cancer.</t>
  </si>
  <si>
    <t>[Lamprell, Klay; Pulido, Diana Fajardo; Tran, Yvonne; Easpaig, Brona Nic Giolla; Arnolda, Gaston; Braithwaite, Jeffrey] Macquarie Univ, Australian Inst Hlth Innovat, Level 6,75 Talavera Rd, Sydney, NSW 2109, Australia; [Liauw, Winston] St George Hosp, St George Canc Care Ctr, Sydney, NSW, Australia</t>
  </si>
  <si>
    <t>Macquarie University; St George Hospital</t>
  </si>
  <si>
    <t>Lamprell, K (corresponding author), Macquarie Univ, Australian Inst Hlth Innovat, Level 6,75 Talavera Rd, Sydney, NSW 2109, Australia.</t>
  </si>
  <si>
    <t>klay.lamprell@mq.edu.au</t>
  </si>
  <si>
    <t>Braithwaite, Jeffrey/AAN-1467-2020; Arnolda, Gaston R/D-8528-2017</t>
  </si>
  <si>
    <t>Braithwaite, Jeffrey/0000-0003-0296-4957; Arnolda, Gaston R/0000-0003-4948-7633; Fajardo Pulido, Diana/0000-0002-9804-2289; Nic Giolla Easpaig, Brona/0000-0001-6787-056X; Lamprell, Klay/0000-0002-5692-2368; Tran, Yvonne/0000-0002-1741-4205</t>
  </si>
  <si>
    <t>National Health and Medical Research Council Centre for Research Excellence Grant in Implementation Science in Oncology [APP1135048]; Bowel Cancer Australia; Bowel Cancer New Zealand; Bowel Cancer UK</t>
  </si>
  <si>
    <t>National Health and Medical Research Council Centre for Research Excellence Grant in Implementation Science in Oncology(National Health and Medical Research Council (NHMRC) of Australia); Bowel Cancer Australia; Bowel Cancer New Zealand; Bowel Cancer UK</t>
  </si>
  <si>
    <t>This work was supported by a National Health and Medical Research Council Centre for Research Excellence Grant in Implementation Science in Oncology (APP1135048). The authors thank the colorectal patient support organizations, namely, Bowel Cancer Australia, Bowel Cancer New Zealand, and Bowel Cancer UK for supporting this research. We are grateful to the people whose stories are published on these websites for generously sharing their memories, thoughts, and feelings about their experiences of colorectal cancer and the events of their medical care.</t>
  </si>
  <si>
    <t>1929-0748</t>
  </si>
  <si>
    <t>JMIR RES PROTOC</t>
  </si>
  <si>
    <t>JMIR RES. Protoc.</t>
  </si>
  <si>
    <t>e25056</t>
  </si>
  <si>
    <t>10.2196/25056</t>
  </si>
  <si>
    <t>Health Care Sciences &amp; Services; Public, Environmental &amp; Occupational Health</t>
  </si>
  <si>
    <t>YU0US</t>
  </si>
  <si>
    <t>WOS:000751766900016</t>
  </si>
  <si>
    <t>Warin, T</t>
  </si>
  <si>
    <t>Warin, Thierry</t>
  </si>
  <si>
    <t>Global Research on Coronaviruses: Metadata-Based Analysis for Public Health Policies</t>
  </si>
  <si>
    <t>COVID-19; SARS-CoV-2; natural language processing; coronavirus; unstructured data; data science; health 4; 0</t>
  </si>
  <si>
    <t>Background: Within the context of the COVID-19 pandemic, this paper suggests a data science strategy for analyzing global research on coronaviruses. The application of reproducible research principles founded on text-as-data information, open science, the dissemination of scientific data, and easy access to scientific production may aid public health in the fight against the virus. Objective: The primary goal of this paper was to use global research on coronaviruses to identify critical elements that can help inform public health policy decisions. We present a data science framework to assist policy makers in implementing cutting-edge data science techniques for the purpose of developing evidence-based public health policies. Methods: We used the EpiBibR (epidemiology-based bibliography for R) package to gain access to coronavirus research documents worldwide (N=121,231) and their associated metadata. To analyze these data, we first employed a theoretical framework to group the findings into three categories: conceptual, intellectual, and social. Second, we mapped the results of our analysis in these three dimensions using machine learning techniques (ie, natural language processing) and social network analysis. Results: Our findings, firstly, were methodological in nature. They demonstrated the potential for the proposed data science framework to be applied to public health policies. Additionally, our findings indicated that the United States and China were the primary contributors to global coronavirus research during the study period. They also demonstrated that India and Europe were significant contributors, albeit in a secondary position. University collaborations in this domain were strong between the United Conclusions: Our findings argue for a data-driven approach to public health policy, particularly when efficient and relevant research is required. Text mining techniques can assist policy makers in calculating evidence-based indices and informing their decision-making process regarding specific actions necessary for effective health responses.</t>
  </si>
  <si>
    <t>[Warin, Thierry] HEC Montreal, 3000 Chemin Cote Sainte Catherine, Montreal, PQ H3T 2A7, Canada</t>
  </si>
  <si>
    <t>Universite de Montreal; HEC Montreal</t>
  </si>
  <si>
    <t>Warin, T (corresponding author), HEC Montreal, 3000 Chemin Cote Sainte Catherine, Montreal, PQ H3T 2A7, Canada.</t>
  </si>
  <si>
    <t>thierry.warin@hec.ca</t>
  </si>
  <si>
    <t>Warin, Thierry/G-9409-2016</t>
  </si>
  <si>
    <t>Warin, Thierry/0000-0002-5921-3428</t>
  </si>
  <si>
    <t>CIRANO (Centre interuniversitaire de recherche en analyse des organisations; Montreal, Canada)</t>
  </si>
  <si>
    <t>The author expresses his gratitude to CIRANO (Centre interuniversitaire de recherche en analyse des organisations; Montreal, Canada) and for their support.</t>
  </si>
  <si>
    <t>e31510</t>
  </si>
  <si>
    <t>10.2196/31510</t>
  </si>
  <si>
    <t>YA8MN</t>
  </si>
  <si>
    <t>WOS:000738580700006</t>
  </si>
  <si>
    <t>Ng, R; Chow, TYJ; Yang, WS</t>
  </si>
  <si>
    <t>Ng, Reuben; Chow, Ting Yu Joanne; Yang, Wenshu</t>
  </si>
  <si>
    <t>The Impact of Aging Policy on Societal Age Stereotypes and Ageism</t>
  </si>
  <si>
    <t>Medicalization of aging; Moderated mediation; Old-age support ratio; Policy agenda setting; Text as data</t>
  </si>
  <si>
    <t>OLD-AGE; LONGEVITY; MEDICALIZATION; PERCEPTIONS; RETIREMENT; PREDICT; ADULTS; LIFE; CARE</t>
  </si>
  <si>
    <t>Background and Objectives While studies have researched ageism in public policy, few investigated the impact of aging policy on ageism-typically, an unintended consequence. Ageism is linked to $63 billion in health care costs, so its antecedents are of interest. We test the association between Aging Policy Agenda Setting and Societal Age Stereotypes and hypothesize a mediating pathway via Medicalization of Aging, moderated by demographics. Research Design and Methods Scholars identified Singapore's Pioneer Generation Policy (PGP) as one of the largest policy implementations in recent years, where the agenda was set by the Prime Minister at an equivalent State of the Union address in 2013, and US$7 billion allocated to fund outpatient health care costs for aged 65 years or older. More than 400,000 older adults received a PGP card and home visits by trained volunteers who co-devised a personalized utilization plan. We leveraged a 10-billion-word data set with more than 30 million newspaper and magazine articles to dynamically track Societal Age Stereotype scores over 8 years from pre- to postpolicy implementation. Results Societal Age Stereotypes followed a quadratic trend: Prior to the Aging Policy Agenda Setting from 2010 to 2014, stereotypes were trending positive; after 2014, it trended downward to become more negative. Medicalization of Aging mediated the relationship between Aging Policy Agenda Setting and Societal Age Stereotypes. Furthermore, Old-age Support Ratio moderated the mediational model, suggesting that the impact of policy on medicalization is stronger when a society is more aged. Discussion and Implications We provided a framework for policymakers to ameliorate the unintended consequences of aging policies on societal ageism-if unaddressed, it will exert an insidious toll on older adults, even if initial policies are well-intentioned.</t>
  </si>
  <si>
    <t>[Ng, Reuben; Chow, Ting Yu Joanne] Natl Univ Singapore, Lee Kuan Yew Sch Publ Policy, 469C Bukit Timah Rd, Singapore 259772, Singapore; [Ng, Reuben; Yang, Wenshu] Natl Univ Singapore, Lloyds Register Inst Publ Understanding Risk, Singapore, Singapore</t>
  </si>
  <si>
    <t>Social Science Research Council SSHR Fellowship [MOE2018-SSHR-004]; National University of Singapore Global Asia Institute NIHA [NIHA-2018-008]; Lloyd's Register Foundation IPUR grant [IPUR-FY2019-RES03-NG]</t>
  </si>
  <si>
    <t>Social Science Research Council SSHR Fellowship; National University of Singapore Global Asia Institute NIHA(National University of Singapore); Lloyd's Register Foundation IPUR grant</t>
  </si>
  <si>
    <t>The work was supported by the Social Science Research Council SSHR Fellowship (MOE2018-SSHR-004), National University of Singapore Global Asia Institute NIHA grant (NIHA-2018-008), and the Lloyd's Register Foundation IPUR grant (IPUR-FY2019-RES03-NG). The funders had no role in study design, data collection, analysis, writing, and decision to publish.</t>
  </si>
  <si>
    <t>JAN 15</t>
  </si>
  <si>
    <t>10.1093/geront/gnab151</t>
  </si>
  <si>
    <t>1L1BN</t>
  </si>
  <si>
    <t>WOS:000790299200001</t>
  </si>
  <si>
    <t>Ng, RB; Chow, TYJ; Yang, WS</t>
  </si>
  <si>
    <t>Culture Linked to Increasing Ageism During COVID-19: Evidence From a 10-Billion-Word Corpus Across 20 Countries</t>
  </si>
  <si>
    <t>JOURNALS OF GERONTOLOGY SERIES B-PSYCHOLOGICAL SCIENCES AND SOCIAL SCIENCES</t>
  </si>
  <si>
    <t>Age stereotypes; Aging narratives; Pandemic; Psychomics; Quantitative social science; Text as data</t>
  </si>
  <si>
    <t>OLDER-ADULTS; STEREOTYPES; PERCEPTIONS; MASCULINITY; ATTITUDES; WORLD; LIFE</t>
  </si>
  <si>
    <t>Objectives: Older adults experience higher risks of getting severely ill from coronavirus disease 2019 (COVID-19), resulting in widespread narratives of frailty and vulnerability. We test: (a) whether global aging narratives have become more negative from before to during the pandemic (October 2019 to May 2020) across 20 countries; (b) model pandemic (incidence and mortality), and cultural factors associated with the trajectory of aging narratives. Methods: We leveraged a 10-billion-word online-media corpus, consisting of 28 million newspaper and magazine articles across 20 countries, to identify nine common synonyms of older adults and compiled their most frequently used descriptors (collocates) from October 2019 to May 2020-culminating in 11,504 collocates that were rated to create a Cumulative Aging Narrative Score per month. Widely used cultural dimension scores were taken from Hofstede, and pandemic variables, from the Oxford COVID-19 Government Response Tracker. Results: Aging narratives became more negative as the pandemic worsened across 20 countries. Globally, scores were trending neutral from October 2019 to February 2020, and plummeted in March 2020, reflecting COVID-19's severity. Prepandemic (October 2019), the United Kingdom evidenced the most negative aging narratives; peak pandemic (May 2020), South Africa took on the dubious honor. Across the 8-month period, the Philippines experienced the steepest trend toward negativity in aging narratives. Ageism, during the pandemic, was, ironically, not predicted by COVID-19's incidence and mortality rates, but by cultural variables: Individualism, Masculinity, Uncertainty Avoidance, and Long-term Orientation. Discussion: The strategy to reverse this trajectory lay in the same phenomenon that promoted it: a sustained global campaign-though, it should be culturally nuanced and customized to a country's context.</t>
  </si>
  <si>
    <t>[Ng, Reuben; Chow, Ting Yu Joanne] Natl Univ Singapore, Lee Kuan Yew Sch Publ Policy, 469C Bukit Timah Rd, Singapore 259772, Singapore; [Ng, Reuben; Yang, Wenshu] Natl Univ Singapore, Lloyds Register Inst Publ Understanding Risk, Innovation 4-0,3 Res Link, Singapore, Singapore</t>
  </si>
  <si>
    <t>Social Science Research Council SSHR Fellowship [MOE2018-SSHR-004]; Lloyd's Register Foundation IPUR Grant [IPURFY2019-RES-03-NG]</t>
  </si>
  <si>
    <t>This work was supported by the Social Science Research Council SSHR Fellowship (MOE2018-SSHR-004), and the Lloyd's Register Foundation IPUR Grant (IPURFY2019-RES-03-NG). The funders had no role in study design, data collection, analysis, or writing.</t>
  </si>
  <si>
    <t>1079-5014</t>
  </si>
  <si>
    <t>1758-5368</t>
  </si>
  <si>
    <t>J GERONTOL B-PSYCHOL</t>
  </si>
  <si>
    <t>J. Gerontol. Ser. B-Psychol. Sci. Soc. Sci.</t>
  </si>
  <si>
    <t>10.1093/geronb/gbab057</t>
  </si>
  <si>
    <t>Geriatrics &amp; Gerontology; Gerontology; Psychology; Psychology, Multidisciplinary</t>
  </si>
  <si>
    <t>Geriatrics &amp; Gerontology; Psychology</t>
  </si>
  <si>
    <t>YL2EL</t>
  </si>
  <si>
    <t>WOS:000745710100013</t>
  </si>
  <si>
    <t>Saveliev, D</t>
  </si>
  <si>
    <t>Saveliev, Denis</t>
  </si>
  <si>
    <t>On Creating and Using Text of the Russian Federation Corpus of Legal Acts as an Open Dataset</t>
  </si>
  <si>
    <t>PRAVO-ZHURNAL VYSSHEI SHKOLY EKONOMIKI</t>
  </si>
  <si>
    <t>legal information; legislation; open data; dataset; XML; legal act; machine-readable corpus; computer linguistics; text as data</t>
  </si>
  <si>
    <t>Methods of computer-aided text analysis that are currently being developed can be useful for research in legal science and in practice. An obvious requirement for such an analysis is the availability of an open and structured corpus of texts. The article presents such a corpus of texts of legal acts of federal and regional legislation in a machine-readable form (of a dataset) RusLawOD. It is publicly available on the Github Internet portal. The created data set is based on open sources of legal acts, primarily on the data of the Official Internet Portal of Legal Information (pravo.gov.ru) as a result of integration of open data about published officially legal acts and the Zakonodatelstvo Rossii legal information system. The main research issue in the field of law in the development of this resource was the question how to publish the texts of legal acts and metadata about them. It is necessary to come on a nationwide scale to the general standard for the description of legal acts in machine-readable form for the possibilities of data exchange between different information systems. To do this, we need to determine the uniform name of the attributes that identify the document, as well as its internal structure. The article suggests solutions that can be taken as a basis for this. In addition to describing the data, examples are given how the data presented can help in solving research legal problems. Such examples are the classification of legal acts and the definition of the frequency of collocations of certain terms. On the basis of analysis of metadata about documents published in the official site, the classifier of really used themes was reconstructed, and theme usage was counted. The author compares existing classification of legal acts and the use of methods of computer linguistics to determine the most frequently used subjects in legislation, coming to the conclusion that modern methods of computer-based text analysis make it possible to get valuable and proven results.</t>
  </si>
  <si>
    <t>[Saveliev, Denis] European Univ St Petersburg, Inst Implementing Law, 6-1 Gagarinskaya Str, St Petersburg 191887, Russia</t>
  </si>
  <si>
    <t>Saveliev, D (corresponding author), European Univ St Petersburg, Inst Implementing Law, 6-1 Gagarinskaya Str, St Petersburg 191887, Russia.</t>
  </si>
  <si>
    <t>dsaveliev@eu.spb.ru</t>
  </si>
  <si>
    <t>Saveliev, Denis/GZK-4398-2022</t>
  </si>
  <si>
    <t>NATL RES UNIV HIGHER EDUCATION</t>
  </si>
  <si>
    <t>NATL RES UNIV HIGHER EDUCATION, MOSCOW, 00000, RUSSIA</t>
  </si>
  <si>
    <t>2072-8166</t>
  </si>
  <si>
    <t>PRAVO</t>
  </si>
  <si>
    <t>Pravo</t>
  </si>
  <si>
    <t>10.17323/2072-8166.2018.1.26.44</t>
  </si>
  <si>
    <t>GF4XO</t>
  </si>
  <si>
    <t>WOS:000431967600002</t>
  </si>
  <si>
    <t>Liu, K; Liu, WT; He, AJ</t>
  </si>
  <si>
    <t>Liu, Kai; Liu, Wenting; He, Alex Jingwei</t>
  </si>
  <si>
    <t>Evaluating health policies with subnational disparities: a text-mining analysis of the Urban Employee Basic Medical Insurance Scheme in China</t>
  </si>
  <si>
    <t>HEALTH POLICY AND PLANNING</t>
  </si>
  <si>
    <t>Health policy evaluation; subnational disparity; text mining; Urban Employee Basic Medical Insurance; China</t>
  </si>
  <si>
    <t>CARE; DIFFUSION; REFORM; DECENTRALIZATION; DISCRETION; DYNAMICS; COVERAGE; SYSTEMS; ACCESS</t>
  </si>
  <si>
    <t>Subnational disparities in most health systems often defy 'one-size-fits-all' approach in policy implementation. When local authorities implement a national policy in a decentralized context, they behave as a strategic policy actor in specifying the central mandates, selecting appropriate tools and setting key implementation parameters. Local policy discretion leads to diverse policy mixes across regions, thus complicating evidence-based evaluations of policy impacts. When measuring complex policy reforms, mainstream policy evaluation methodologies have tended to adopt simplified policy proxies that often disguise distinct policy choices across localities, leaving the heterogeneous effects of the same generic policy largely unknown. Using the emerging 'text-as-data' methodology and drawing from subnational policy documents, this study developed a novel approach to policy measurement through analysing policy big data. We applied this approach to examine the impacts of China's Urban Employee Basic Medical Insurance (UEBMI) on individuals' out-of-pocket (OOP) spending. We found substantial disparities in policy choices across prefectures when categorizing the UEBMI policy framework into benefit-expansion and cost-containment reforms. Overall, the UEBMI policies lowered enrollees' OOP spending in prefectures that embraced both benefit-expansion and cost-containment reforms. In contrast, the policies produced ill effects on OOP spending of UEBMI enrollees and uninsured workers in prefectures that carried out only benefit-expansion or cost-containment reforms. The micro-level impacts of UEBMI enrolment on OOP spending were conditional on whether prefectural benefit-expansion and cost-containment reforms were undertaken in concert. Only in prefectures that promulgated both types of reforms did UEBMI enrolment reduce OOP spending. These findings contribute to a comprehensive text-mining measurement approach to locally diverse policy efforts and an integration of macro-level policy analysis and micro-level individual analysis. Contextualizing policy measurements would improve the methodological rigour of health policy evaluations. This paper concludes with implications for health policymakers in China and beyond.</t>
  </si>
  <si>
    <t>[Liu, Kai] Renmin Univ China, Sch Labor &amp; Human Resources, 59 Zhongguancun St, Beijing, Peoples R China; [Liu, Wenting] Chinese Univ Hong Kong, Dept Social Work, Shatin, Hong Kong, Peoples R China; [He, Alex Jingwei] Educ Univ Hong Kong, Dept Asian &amp; Policy Studies, Tai Po, 10 Ping Rd, Hong Kong, Peoples R China</t>
  </si>
  <si>
    <t>Renmin University of China; Chinese University of Hong Kong; Education University of Hong Kong (EdUHK)</t>
  </si>
  <si>
    <t>He, AJ (corresponding author), Educ Univ Hong Kong, Dept Asian &amp; Policy Studies, Tai Po, 10 Ping Rd, Hong Kong, Peoples R China.</t>
  </si>
  <si>
    <t>jwhe@eduhk.hk</t>
  </si>
  <si>
    <t>He, Alex Jingwei/0000-0001-9024-4831</t>
  </si>
  <si>
    <t>Fundamental Research Funds for the Central Universities; Research Funds of Renmin University of China [19XNL006]</t>
  </si>
  <si>
    <t>Fundamental Research Funds for the Central Universities(Fundamental Research Funds for the Central Universities); Research Funds of Renmin University of China</t>
  </si>
  <si>
    <t>This study was supported by the Fundamental Research Funds for the Central Universities and the Research Funds of Renmin University of China (19XNL006).</t>
  </si>
  <si>
    <t>0268-1080</t>
  </si>
  <si>
    <t>1460-2237</t>
  </si>
  <si>
    <t>HEALTH POLICY PLANN</t>
  </si>
  <si>
    <t>Health Policy Plan.</t>
  </si>
  <si>
    <t>10.1093/heapol/czac086</t>
  </si>
  <si>
    <t>Health Care Sciences &amp; Services; Health Policy &amp; Services</t>
  </si>
  <si>
    <t>5Y7VQ</t>
  </si>
  <si>
    <t>WOS:000879491000001</t>
  </si>
  <si>
    <t>The Grammatical Organization of the Record: A Discursive Aspect (Based on Records of 1917 and 1918-1933 of the State Archive of Tomsk Oblast)</t>
  </si>
  <si>
    <t>document discourse; record; discontinuity; discursive parameters; content analysis; grammatical organization; Tomsk Governorate</t>
  </si>
  <si>
    <t>The aim of the article is to identify quantitative characteristics of the grammatical organization of the text of the record in the aspect of the discontinuity of a discursive unity due to a change in social reality in the period from 1917 to 1933. Methodologically, the research is based on Michel Foucault's thesis on the discontinuity of discursive formations within a discursive unity. Preserving the unity of the basic function and transforming in the aspect of language specificity, document discourse allows us to argue this thesis. The discursive approach makes it possible to reflect on the repercussions of social processes in the document corpus in a new way. Despite the function of fixing the sequence of real social events and their documentary proof, the record is scarcely investigated in this aspect. The leading methodological approach is discourse analysis; the main method is automated content analysis. The material for analysis is the corpus of the records of Tomsk Governorate People's Assembly dated by 1917 ( 25 documents, 91,686 word usages) and the records of Tomsk institutions' meetings dated from 1918 to 1933 (126 documents, 41,630 word usages). In the course of the study, it was revealed that the corpora have significant differences it terms of grammatical organization. In some ways, the corpus of 1918-1933 corresponds to a greater extent to the norms of modern official style: it contains fewer verbal lexis and pronouns, but has more impersonal verbs. At the same time, in the corpus of 1917, the modality of duty is expressed more consistently. On the one hand, one can speak about the greater manifestation of various modalities in the texts of the first corpus that is expressed in a more frequent use of modal particles. On the other hand, the analysis identified the parameters by which the corpora demonstrate a significant similarity. This similarity is based on common language patterns. Non-derivative original prepositions dominate in both corpora. The most frequent are prepositions v/vo. Coordinating conjunctions are used more often than subordinating ones. This corresponds to the general common language trends. Consequently, it can be confirmed that the grammatical organization of the records dated by different historical periods demonstrates the discontinuity of the discursive unity and the corpora study can be considered as different discursive formations. First of all, this discontinuity is caused by the changed social reality which reduced the manifestation of the personal element in the document text. The records dated by 1917 have a more detailed stenographic character. The texts record practically verbatim all discussions of members of Tomsk Governorate People's Assembly, their discussions on controversial issues concerning even the speaking order. The records dated by 1918-1933 are predominantly summaries of cases and decisions made by participants of meetings.</t>
  </si>
  <si>
    <t>[Mishankina, Natalia A.; Chernysh, Olga A.] Tomsk Polytech Univ, Tomsk, Russia</t>
  </si>
  <si>
    <t>Tomsk Polytechnic University</t>
  </si>
  <si>
    <t>Mishankina, NA (corresponding author), Tomsk Polytech Univ, Tomsk, Russia.</t>
  </si>
  <si>
    <t>Mishankina, Natalia A/R-5281-2016</t>
  </si>
  <si>
    <t>10.17223/15617793/453/4</t>
  </si>
  <si>
    <t>LU8SJ</t>
  </si>
  <si>
    <t>WOS:000538018400004</t>
  </si>
  <si>
    <t>Westermann, A; Forthmann, J</t>
  </si>
  <si>
    <t>Westermann, Arne; Forthmann, Joerg</t>
  </si>
  <si>
    <t>Social listening: a potential game changer in reputation management How big data analysis can contribute to understanding stakeholders' views on organisations</t>
  </si>
  <si>
    <t>Reputation; Reputation management; Social listening; Automated content analysis; Big data analysis; Artificial intelligence</t>
  </si>
  <si>
    <t>CORPORATE REPUTATION; IMPACT; MEDIA</t>
  </si>
  <si>
    <t>Purpose The purpose of this paper is to investigate to what extend an automated, algorithm-based analysis of online conversations of stakeholders in social media and other Internet media can be used for reputation management. Design/methodology/approach Examination of the reputation of the 5,000 companies with the largest number of employees in Germany based on communication with these companies in 350m online sources on the German-speaking Internet within one year. The method is grounded on an adapted reputation model based on Fombrun. Findings The central result of the study is the identification of the ideal balance between the different dimensions leading to the best overall reputation. The resulting correlation matrix with the respective correlation coefficients (according to Pearson) thus forms the basis for the optimal reputation architecture. Research limitations/implications The discovered optimal reputation architecture refers to a German context. Future studies should investigate in how far the adapted model and the optimal reputation architecture also work for other cultures. It can be assumed that there may be differences as different dimensions, for example, sustainability, may have a different importance in other cultural contexts. Apart from the question if the optimal reputation architecture is also valid for other cultural contexts, the concept has to be validated for German companies as well as it is just based on the two described studies. Practical implications The method used shows that social listening can deliver valuable results for research in the field of reputation management as it expands the possibilities to investigate reputation on a large scale. The approach shows in how far scientific research can be expanded beyond classic content analysis as the number of items which can be analysed exceeds that of classic analytical approaches by far. Explicit and implicit experiences, which are the drivers of reputation, can be systematically recorded and analysed using social listening, thus delivering valuable insights in how stakeholders perceive the performance of a company in different dimensions. Social implications Measuring the reputation on the basis of social listening is very important for practical applications in companies, because the data is available digitally and can deliver up-to-date reputation values almost in real time - so that the communication can be aligned very quickly with current events. This makes it easier to implement and control the interaction between companies and their environment in the digital space. Originality/value The classic approach in reputation management is traditional market research. It is relatively expensive and takes a relatively long time to produce results. Reputation management based on social listening digitises reputation measurement, lowers costs and delivers results in a very timely manner. It might be the future of reputation measurement. This is relevant not only for practical purposes but also for scientific approaches.</t>
  </si>
  <si>
    <t>[Westermann, Arne; Forthmann, Joerg] Int Sch Management, Dept Mkt, Dortmund, Germany; [Forthmann, Joerg] Faktenkontor GmbH, Dept Management, Hamburg, Germany</t>
  </si>
  <si>
    <t>Forthmann, J (corresponding author), Int Sch Management, Dept Mkt, Dortmund, Germany.;Forthmann, J (corresponding author), Faktenkontor GmbH, Dept Management, Hamburg, Germany.</t>
  </si>
  <si>
    <t>Joerg.Forthmann@faktenkontor.de</t>
  </si>
  <si>
    <t>FEB 16</t>
  </si>
  <si>
    <t>10.1108/CCIJ-01-2020-0028</t>
  </si>
  <si>
    <t>QS5WI</t>
  </si>
  <si>
    <t>WOS:000563248500001</t>
  </si>
  <si>
    <t>Huerta, TR; Hefner, JL; Ford, EW; McAlearney, AS; Menachemi, N</t>
  </si>
  <si>
    <t>Huerta, Timothy R.; Hefner, Jennifer L.; Ford, Eric W.; McAlearney, Ann Scheck; Menachemi, Nir</t>
  </si>
  <si>
    <t>Hospital Website Rankings in the United States: Expanding Benchmarks and Standards for Effective Consumer Engagement</t>
  </si>
  <si>
    <t>social media; hospitals; information services; communication; access; consumer health information</t>
  </si>
  <si>
    <t>HEALTH-CARE; INFORMATION-SEEKING; QUALITY; INTERNET; ACCESSIBILITY; INDICATORS</t>
  </si>
  <si>
    <t>Background: Passage of the Patient Protection and Affordable Care Act (ACA) increased the roles hospitals and health systems play in care delivery and led to a wave of consolidation of medical groups and hospitals. As such, the traditional patient interaction with an independent medical provider is becoming far less common, replaced by frequent interactions with integrated medical groups and health systems. It is thus increasingly important for these organizations to have an effective social media presence. Moreover, in the age of the informed consumer, patients desire a readily accessible, electronic interface to initiate contact, making a well-designed website and social media strategy critical features of the modern health care organization. Objective: The purpose of this study was to assess the Web presence of hospitals and their health systems on five dimensions: accessibility, content, marketing, technology, and usability. In addition, an overall ranking was calculated to identify the top 100 hospital and health system websites. Methods: A total of 2407 unique Web domains covering 2785 hospital facilities or their parent organizations were identified and matched against the 2009 American Hospital Association (AHA) Annual Survey. This is a four-fold improvement in prior research and represents what the authors believe to be a census assessment of the online presence of US hospitals and their health systems. Each of the five dimensions was investigated with an automated content analysis using a suite of tools. Scores on the dimensions are reported on a range from 0 to 10, with a higher score on any given dimension representing better comparative performance. Rankings on each dimension and an average ranking are provided for the top 100 hospitals. Results: The mean score on the usability dimension, meant to rate overall website quality, was 5.16 (SD 1.43), with the highest score of 8 shared by only 5 hospitals. Mean scores on other dimensions were between 4.43 (SD 2.19) and 6.49 (SD 0.96). Based on these scores, rank order calculations for the top 100 websites are presented. Additionally, a link to raw data, including AHA ID, is provided to enable researchers and practitioners the ability to further explore relationships to other dynamics in health care. Conclusions: This census assessment of US hospitals and their health systems provides a clear indication of the state of the sector. While stakeholder engagement is core to most discussions of the role that hospitals must play in relation to communities, management of an online presence has not been recognized as a core competency fundamental to care delivery. Yet, social media management and network engagement are skills that exist at the confluence of marketing and technical prowess. This paper presents performance guidelines evaluated against best-demonstrated practice or independent standards to facilitate improvement of the sector's use of websites and social media.</t>
  </si>
  <si>
    <t>[Huerta, Timothy R.; Hefner, Jennifer L.; McAlearney, Ann Scheck] Ohio State Univ, Coll Med, Dept Family Med, Columbus, OH 43201 USA; [Huerta, Timothy R.] Ohio State Univ, Coll Med, Dept Biomed Informat, Columbus, OH 43201 USA; [Ford, Eric W.] Univ N Carolina, Bryan Sch Business &amp; Econ, Greensboro, NC 27412 USA; [Menachemi, Nir] Univ Alabama Birmingham, Dept Hlth Care Org &amp; Policy, Birmingham, AL USA</t>
  </si>
  <si>
    <t>University System of Ohio; Ohio State University; University System of Ohio; Ohio State University; University of North Carolina; University of North Carolina Greensboro; University of Alabama System; University of Alabama Birmingham</t>
  </si>
  <si>
    <t>Huerta, TR (corresponding author), Ohio State Univ, Coll Med, Dept Family Med, 261 Northwood High Bldg,2231 North High St, Columbus, OH 43201 USA.</t>
  </si>
  <si>
    <t>Timothy.Huerta@osumc.edu</t>
  </si>
  <si>
    <t>Hefner, Jennifer/P-5962-2014</t>
  </si>
  <si>
    <t>Hefner, Jennifer/0000-0001-8083-8038; Huerta, Timothy/0000-0002-9978-3564; Ford, Eric/0000-0002-7885-0019</t>
  </si>
  <si>
    <t>e64</t>
  </si>
  <si>
    <t>10.2196/jmir.3054</t>
  </si>
  <si>
    <t>AC3EJ</t>
  </si>
  <si>
    <t>WOS:000332397500027</t>
  </si>
  <si>
    <t>LEXICAL ORGANIZATION OF THE RECORD IN A DISCURSIVE ASPECT (ON THE BASIS OF RECORDS OF 1918-1933)</t>
  </si>
  <si>
    <t>document discourse; record; lexical organization of discourse; discursive parameters; content analysis; historical and cultural context</t>
  </si>
  <si>
    <t>The aim of the work is to reveal the quantitative characteristics of the lexical organization of the text of the record in the aspect of reflecting historical events that took place in Tomsk in the post-revolutionary period (1918-1933). Despite its significant role in providing of official communications, the documentary text has occupied attention of linguists since not so long ago. As part of traditional research directions, functional classification of texts has been carried out, general design parameters have been revealed, basic properties have been described. At the same time, texts show tendencies that are contrary to the properties described, which has prompted the emergence of new research projects within the framework of discursive and cognitive directions. In this connection, a special interest is the study of documentary discourse in the historical aspect, since works in this direction are few. Discourse analysis is accepted as the leading methodological approach in the work. The main method is automated content analysis, which allowed to reveal the quantitative aspect of the lexical organization of documents. The material of the analysis is an array of texts of records / extracts from records from the collections of documents of the State Archive of Tomsk Oblast (subseries People and Power) from 1918 to 1933, which includes 126 documents. The total number of word forms in these documents is more than 40,000. The research revealed that the record, as a documentary genre, fully fulfills the witness function, reflecting the social context in which it is created. The analysis of quantitative parameters established that the array of records of meetings of various authorities of Tomsk Province dated by 1918-1933 meets the requirements for documentary discourse in general: (1) the most frequent are document markers in accordance with the requirement of factography: anthroponyms, toponyms and the designation of dates; (2) the texts correspond to the requirement of unification - the most frequent are lexical units denoting the type of document, situations, typical communicative actions, typical participants and locus. In other words, the texts under study refer to the sphere of institutional communication. However, the revealed parameters show the influence of the social context: (1) male names dominate in the texts, which indicates an obvious gender imbalance in the society of the period under study; (2) surnames that function in the texts of the records allow to identify socially and politically important figures relevant to the region; (3) the most frequent lexical units reflect the main events that are significant for the social and political life of the province; (4) estimation of the dynamics of the vocabulary of the records arranged by years allows to identify the relationship between political and social processes of national and regional nature; 5) lexical units have been revealed that mark the establishment of a new type of social relations and, ultimately, denote the boundaries of the time period for the development of documentary discourse as a whole.</t>
  </si>
  <si>
    <t>10.17223/15617793/434/4</t>
  </si>
  <si>
    <t>HB7LW</t>
  </si>
  <si>
    <t>WOS:000451260400004</t>
  </si>
  <si>
    <t>Wadson, K</t>
  </si>
  <si>
    <t>Wadson, Kelley</t>
  </si>
  <si>
    <t>Collaborative and Interactive Teaching Approaches have a Positive Impact on Information Literacy Instruction Supporting Evidence Based Practice in Work Placements</t>
  </si>
  <si>
    <t>EVIDENCE BASED LIBRARY AND INFORMATION PRACTICE</t>
  </si>
  <si>
    <t>Objective - To analyze the effect of collaborative interdisciplinary teaching and supervision using physical and digital tools on students' information literacy (IL) and evidence based practice (EBP) abilities. Design - Qualitative and quantitative text analysis. Setting - Learning Centre at Oslo University College and student work placements in Oslo, Norway. Subjects - Approximately 400 students enrolled in the undergraduate nursing degree programme. Methods - The author is a librarian and project manager of the Langerud project, an initiative wherein nursing students were jointly trained and supervised by nurse educators, nurse supervisors, and librarians in preparation for and during work placements over an eight-week period. In this role, the librarian author collected 36 student group assignments, 285 blog/wiki comments from students, nurse educators, nurse supervisors, and librarians, and 102 individual student logs written during six work placements between Spring 2010 and Spring 2012, which were posted in a learning management system (LMS), as well as in an evaluation form from Spring 2010. The unstructured text is analyzed according to how the students fulfilled the learning outcome of integrating steps zero to four of the seven-step EBP model: (1) Cultivate a spirit of inquiry; (2) Ask clinical questions in the PICO format; (3) Search for the best evidence; (4) Critically appraise the evidence; and (5) Integrate the evidence with clinical expertise and patient preferences and values. The logs are also analyzed quantitatively to measure if and how many students combined the three aspects of EBP - defined as being the practitioner's individual expertise, best research evidence, and client values and expectations. Lastly, the author seeks to evaluate the role of the LMS as a mediating tool. Main Results - The author found that the majority (83%) of students successfully met the learning outcome, particularly for steps 1, 2, and 5. For step three, the author observed that some students did not apply PICO in the information-seeking process and were thus not sufficiently thorough in their searching. For step four, the author found that most students failed to demonstrate critical appraisal of the evidence and that many struggled to find up-to-date research findings. The author noted that the results for both steps three and four could be attributed to the students finding international databases and English-language research articles too challenging, given the language barrier. The author's analysis of the logs reveals that two-thirds of the students combined the 3 aspects of EBP and that 39% described 1 or 2 aspects, of which most described user-based knowledge and experience-based knowledge. One department produced twice as many log entries as the other seven departments; in this department, students were able to choose what aspect of EBP to focus on and the librarian had a co-teaching role in that learning group. Overall, 60% of all students described research-based knowledge, which increased over time from 46% in Spring 2011, to 60% in Autumn 2011, and 83% in Spring 2012. On the evaluation form from Spring 2010, most students rated the supervision by and satisfaction with the nurse educator, nurse supervisor, and librarian as good, very good, or excellent, and many commented that the LMS was a useful learning platform. Conclusion - The author concludes that the project had a positive impact on students' preparedness for work placements and that the early educational intervention improved IL and EBP competencies. Furthermore, the working relationship between the Nursing Department and Library was strengthened. After the Langerud project ended, the curriculum was revised to add more searching for research-based information in written assignments. Additionally, a lecture on EBP was developed based on real-life experiences from the project and delivered collaboratively by the project's manager, a nurse educator, and a librarian.</t>
  </si>
  <si>
    <t>[Wadson, Kelley] Bow Valley Coll, Calgary, AB, Canada</t>
  </si>
  <si>
    <t>Wadson, K (corresponding author), Bow Valley Coll, Calgary, AB, Canada.</t>
  </si>
  <si>
    <t>kwadson@bowvalleycollege.ca</t>
  </si>
  <si>
    <t>Wadson, Kelley/0000-0001-9846-1806</t>
  </si>
  <si>
    <t>UNIV ALBERTA</t>
  </si>
  <si>
    <t>EDMONTON</t>
  </si>
  <si>
    <t>DEPT SOCIOLOGY, EDMONTON, ALBERTA T6G 2E1, CANADA</t>
  </si>
  <si>
    <t>1715-720X</t>
  </si>
  <si>
    <t>EVID BASED LIB INF P</t>
  </si>
  <si>
    <t>Evid. Based Lib. Inf. Pract.</t>
  </si>
  <si>
    <t>10.18438/eblip29530</t>
  </si>
  <si>
    <t>HO9PN</t>
  </si>
  <si>
    <t>WOS:000461297600007</t>
  </si>
  <si>
    <t>Anti-Asian Sentiments During the COVID-19 Pandemic Across 20 Countries: Analysis of a 12-Billion-Word News Media Database</t>
  </si>
  <si>
    <t>racism; COVID-19; anti-Asian sentiments; psychomics; quantitative social science; culture; text as data; xenophobia; digital humanities</t>
  </si>
  <si>
    <t>Background: US president Joe Biden signed an executive action directing federal agencies to combat hate crimes and racism against Asians, which have percolated during the COVID-19 pandemic. This is one of the first known empirical studies to dynamically test whether global societal sentiments toward Asians have become more negative during the COVID-19 pandemic. Objective: This study aimed to investigate whether global societal sentiments toward Asians across 20 countries have become more negative, month by month, from before the pandemic (October 2019) to May 2020, along with the pandemic (incidence and mortality rates) and cultural (Hofstede's cultural dimensions) predictors of this trend. Methods: We leveraged a 12-billion-word web-based media database, with over 30 million newspaper and magazine articles taken from over 7000 sites across 20 countries, and identified 6 synonyms of Asian that are related to the coronavirus. We compiled their most frequently used descriptors (collocates) from October 2019 to May 2020 across 20 countries, culminating in 85,827 collocates that were rated by 2 independent researchers to provide a Cumulative Asian Sentiment Score (CASS) per month. This allowed us to track significant shifts in societal sentiments toward Asians from a baseline period (October to December 2019) to the onset of the pandemic (January to May 2020). We tested the competing predictors of this trend: pandemic variables of incidence and mortality rates measured monthly for all 20 countries taken from the Oxford COVID-19 Government Response Tracker, and Hofstede's Cultural Dimensions of Individualism, Power Distance, Uncertainty Avoidance, and Masculinity for the 20 countries. Results: Before the pandemic in December 2019, Jamaica and New Zealand evidenced the most negative societal sentiments toward Asians; when news about the coronavirus was released in January 2020, the United States and Nigeria evidenced the most negative sentiments toward Asians among 20 countries. Globally, sentiments of Asians became more negative-a significant linear decline during the COVID-19 pandemic. CASS trended neutral before the pandemic during the baseline period of October to November 2019 and then plummeted in February 2020. CASS were, ironically, not predicted by COVID-19's incidence and mortality rates, but rather by Hofstede's cultural dimensions: individualism, power distance, and uncertainty avoidance-as shown by mixed models (N=28,494). Specifically, higher power distance, individualism, and uncertainty avoidance were associated with negative societal sentiments toward Asians. Conclusions: Racism, in the form of Anti-Asian sentiments, are deep-seated, and predicated on structural undercurrents of culture. The COVID-19 pandemic may have indirectly and inadvertently exacerbated societal tendencies for racism. Our study lays the important groundwork to design interventions and policy communications to ameliorate Anti-Asian racism, which are culturally nuanced and contextually appropriate.</t>
  </si>
  <si>
    <t>[Ng, Reuben] Natl Univ Singapore, Lee Kuan Yew Sch Publ Policy, 469C Bukit Timah Rd, Singapore 259772, Singapore; [Ng, Reuben] Natl Univ Singapore, Lloyds Register Fdn Inst Publ Understanding Risk, Singapore, Singapore</t>
  </si>
  <si>
    <t>Social Science Research Council SSHR Fellowship [MOE2018-SSHR-004]; Lloyd's Register Foundation IPUR [IPUR-FY2019-RES-03-NG]</t>
  </si>
  <si>
    <t>Social Science Research Council SSHR Fellowship; Lloyd's Register Foundation IPUR</t>
  </si>
  <si>
    <t>We gratefully acknowledge support from the Social Science Research Council SSHR Fellowship (MOE2018-SSHR-004), and the Lloyd's Register Foundation IPUR Grant (IPUR-FY2019-RES-03-NG). We are also indebted to WY, NI, and SJ for research assistance. The funders had no role in study design, data collection, analysis, writing, and decision to publish.</t>
  </si>
  <si>
    <t>DEC 8</t>
  </si>
  <si>
    <t>e28305</t>
  </si>
  <si>
    <t>10.2196/28305</t>
  </si>
  <si>
    <t>YD4AG</t>
  </si>
  <si>
    <t>WOS:000740356700005</t>
  </si>
  <si>
    <t>Turenne, N; Tiys, E; Ivanisenko, V; Yudin, N; Ignatieva, E; Valour, D; Degrelle, SA; Hue, I</t>
  </si>
  <si>
    <t>Turenne, Nicolas; Tiys, Evgeniy; Ivanisenko, Vladimir; Yudin, Nikolay; Ignatieva, Elena; Valour, Damien; Degrelle, Severine A.; Hue, Isabelle</t>
  </si>
  <si>
    <t>Finding biomarkers in non-model species: literature mining of transcription factors involved in bovine embryo development</t>
  </si>
  <si>
    <t>BIODATA MINING</t>
  </si>
  <si>
    <t>MATERNAL RECOGNITION; TROPHOBLAST; DIFFERENTIATION; EXPRESSION; DATABASE; ELONGATION; GENES; IDENTIFICATION; PREGNANCY; REVEALS</t>
  </si>
  <si>
    <t>Background: Since processes in well-known model organisms have specific features different from those in Bos taurus, the organism under study, a good way to describe gene regulation in ruminant embryos would be a species-specific consideration of closely related species to cattle, sheep and pig. However, as highlighted by a recent report, gene dictionaries in pig are smaller than in cattle, bringing a risk to reduce the gene resources to be mined (and so for sheep dictionaries). Bioinformatics approaches that allow an integration of available information on gene function in model organisms, taking into account their specificity, are thus needed. Besides these closely related and biologically relevant species, there is indeed much more knowledge of (i) trophoblast proliferation and differentiation or (ii) embryogenesis in human and mouse species, which provides opportunities for reconstructing proliferation and/or differentiation processes in other mammalian embryos, including ruminants. The necessary knowledge can be obtained partly from (i) stem cell or cancer research to supply useful information on molecular agents or molecular interactions at work in cell proliferation and (ii) mouse embryogenesis to supply useful information on embryo differentiation. However, the total number of publications for all these topics and species is great and their manual processing would be tedious and time consuming. This is why we used text mining for automated text analysis and automated knowledge extraction. To evaluate the quality of this mining, we took advantage of studies that reported gene expression profiles during the elongation of bovine embryos and defined a list of transcription factors (or TF, n = 64) that we used as biological gold standard. When successful, the mining approach would identify them all, as well as novel ones. Methods: To gain knowledge on molecular-genetic regulations in a non model organism, we offer an approach based on literature-mining and score arrangement of data from model organisms. This approach was applied to identify novel transcription factors during bovine blastocyst elongation, a process that is not observed in rodents and primates. As a result, searching through human and mouse corpuses, we identified numerous bovine homologs, among which 11 to 14% of transcription factors including the gold standard TF as well as novel TF potentially important to gene regulation in ruminant embryo development. The scripts of the workflow are written in Perl and available on demand. They require data input coming from all various databases for any kind of biological issue once the data has been prepared according to keywords for the studied topic and species; we can provide data sample to illustrate the use and functionality of the workflow. Results: To do so, we created a workflow that allowed the pipeline processing of literature data and biological data, extracted from Web of Science (WoS) or PubMed but also from Gene Expression Omnibus (GEO), Gene Ontology (GO), Uniprot, HomoloGene, TcoF-DB and TFe (TF encyclopedia). First, the human and mouse homologs of the bovine proteins were selected, filtered by text corpora and arranged by score functions. The score functions were based on the gene name frequencies in corpora. Then, transcription factors were identified using TcoF-DB and double-checked using TFe to characterise TF groups and families. Thus, among a search space of 18,670 bovine homologs, 489 were identified as transcription factors. Among them, 243 were absent from the high-throughput data available at the time of the study. They thus stand so far for putative TF acting during bovine embryo elongation, but might be retrieved from a recent RNA sequencing dataset (Mamo et al., 2012). Beyond the 246 TF that appeared expressed in bovine elongating tissues, we restricted our interpretation to those occurring within a list of 50 top-ranked genes. Among the transcription factors identified therein, half belonged to the gold standard (ASCL2, c-FOS, ETS2, GATA3, HAND1) and half did not (ESR1, HES1, ID2, NANOG, PHB2, TP53, STAT3). Conclusions: A workflow providing search for transcription factors acting in bovine elongation was developed. The model assumed that proteins sharing the same protein domains in closely related species had the same protein functionalities, even if they were differently regulated among species or involved in somewhat different pathways. Under this assumption, we merged the information on different mammalian species from different databases (literature and biology) and proposed 489 TF as potential participants of embryo proliferation and differentiation, with (i) a recall of 95% with regard to a biological gold standard defined in 2011 and (ii) an extension of more than 3 times the gold standard of TF detected so far in elongating tissues. The working capacity of the workflow was supported by the manual expertise of the biologists on the results. The workflow can serve as a new kind of bioinformatics tool to work on fused data sources and can thus be useful in studies of a wide range of biological processes.</t>
  </si>
  <si>
    <t>[Turenne, Nicolas] INRA, SenS, UR1326, IFRIS, F-77420 Champs Sur Marne, France; [Tiys, Evgeniy; Ivanisenko, Vladimir] Inst Cytol &amp; Genet, Sect Computat Prote, Novosibirsk 630090, Russia; [Valour, Damien; Degrelle, Severine A.; Hue, Isabelle] INRA, Biol Dev &amp; Reprod UMR1198, F-78352 Jouy En Josas, France; [Valour, Damien; Degrelle, Severine A.; Hue, Isabelle] ENVA, F-94704 Maisons Alfort, France; [Yudin, Nikolay] Inst Cytol &amp; Genet, Lab Anim Mol Genet, Novosibirsk 630090, Russia; [Ignatieva, Elena] Inst Cytol &amp; Genet, Lab Evolutionary Bioinformat &amp; Theoret, Novosibirsk 630090, Russia</t>
  </si>
  <si>
    <t>INRAE; Russian Academy of Sciences; Institute of Cytology &amp; Genetics ICG SB RAS; INRAE; UDICE-French Research Universities; Universite Paris Saclay; Ecole Nationale Veterinaire d'Alfort (ENVA); Russian Academy of Sciences; Institute of Cytology &amp; Genetics ICG SB RAS; Russian Academy of Sciences; Institute of Cytology &amp; Genetics ICG SB RAS</t>
  </si>
  <si>
    <t>Turenne, N (corresponding author), INRA, SenS, UR1326, IFRIS, F-77420 Champs Sur Marne, France.</t>
  </si>
  <si>
    <t>nturenne@jouy.inra.fr</t>
  </si>
  <si>
    <t>Degrelle, Severine/AAC-1726-2020; Ignatieva, Elena/M-2507-2019; Tiys, Evgeny S/G-1146-2016; Ivanisenko, Vladimir/J-7832-2018; Hue, Isabelle/AAD-2341-2020</t>
  </si>
  <si>
    <t>Degrelle, Severine/0000-0001-6263-4875; Tiys, Evgeny S/0000-0001-5820-8646; Hue, Isabelle/0000-0002-3873-9738</t>
  </si>
  <si>
    <t>MIG [SE-1077]; DGER/INRA; Ministry of Science and Education of the Russian Federation [NN 14.740.11.0001, 5278.2012.4]; Ministry of Science and Education of the Russian Federation (SD RAS) [NN 87,136, VI.50.1.2]; RAS [28.2, 6.8]; FP7: EU-FP7 SYSPATHO [260429]</t>
  </si>
  <si>
    <t>MIG; DGER/INRA; Ministry of Science and Education of the Russian Federation(Ministry of Education and Science, Russian Federation); Ministry of Science and Education of the Russian Federation (SD RAS); RAS(Russian Academy of SciencesRegione Sardegna); FP7: EU-FP7 SYSPATHO</t>
  </si>
  <si>
    <t>The authors are grateful to Nikolay Kolchanov, the Director of Institute of Cytology and Genetics SB RAS (Novosibirsk), for accepting research visits during this study. They are also grateful to INRA for agreement for exchanges and grant MIG SE-1077. DV is a PhD with a DGER/INRA fellowship; SAD was a Conseil Regional d'Ile-de-France Postdoctoral fellow. VI, ET, EI were partly supported by the Ministry of Science and Education of the Russian Federation (Contracts NN 14.740.11.0001, 5278.2012.4, SD RAS (NN 87,136, VI.50.1.2), RAS (Program No28.2, and No6.8) and FP7: EU-FP7 SYSPATHO No. 260429. Thanks to Anna Fadeeva for editing the English translation and to Pavel Demenkov (ICG, Novosibirsk) for help with PubMed management.</t>
  </si>
  <si>
    <t>1756-0381</t>
  </si>
  <si>
    <t>BIODATA MIN</t>
  </si>
  <si>
    <t>BioData Min.</t>
  </si>
  <si>
    <t>AUG 29</t>
  </si>
  <si>
    <t>10.1186/1756-0381-5-12</t>
  </si>
  <si>
    <t>Mathematical &amp; Computational Biology</t>
  </si>
  <si>
    <t>209TL</t>
  </si>
  <si>
    <t>WOS:000323782800001</t>
  </si>
  <si>
    <t>Architecture</t>
  </si>
  <si>
    <t>Astronomy &amp; Astrophysics</t>
  </si>
  <si>
    <t>Archaeology</t>
  </si>
  <si>
    <t>Acoustics</t>
  </si>
  <si>
    <t>Art</t>
  </si>
  <si>
    <t>Allergy</t>
  </si>
  <si>
    <t>Chemistry</t>
  </si>
  <si>
    <t>Arts &amp; Humanities Other Topics</t>
  </si>
  <si>
    <t>Anatomy &amp; Morphology</t>
  </si>
  <si>
    <t>Crystallography</t>
  </si>
  <si>
    <t>Biomedical Social Sciences</t>
  </si>
  <si>
    <t>Asian Studies</t>
  </si>
  <si>
    <t>Anesthesiology</t>
  </si>
  <si>
    <t>Electrochemistry</t>
  </si>
  <si>
    <t>Construction &amp; Building Technology</t>
  </si>
  <si>
    <t>Classics</t>
  </si>
  <si>
    <t>Anthropology</t>
  </si>
  <si>
    <t>Geochemistry &amp; Geophysics</t>
  </si>
  <si>
    <t>Energy &amp; Fuels</t>
  </si>
  <si>
    <t>Dance</t>
  </si>
  <si>
    <t>Audiology &amp; Speech-Language Pathology</t>
  </si>
  <si>
    <t>Criminology &amp; Penology</t>
  </si>
  <si>
    <t>Film, Radio &amp; Television</t>
  </si>
  <si>
    <t>Behavioral Sciences</t>
  </si>
  <si>
    <t>Cultural Studies</t>
  </si>
  <si>
    <t>Imaging Science &amp; Photographic Technology</t>
  </si>
  <si>
    <t>Biodiversity &amp; Conservation</t>
  </si>
  <si>
    <t>Mineralogy</t>
  </si>
  <si>
    <t>Development Studies</t>
  </si>
  <si>
    <t>Instruments &amp; Instrumentation</t>
  </si>
  <si>
    <t>Biophysics</t>
  </si>
  <si>
    <t>Mining &amp; Mineral Processing</t>
  </si>
  <si>
    <t>Materials Science</t>
  </si>
  <si>
    <t>Biotechnology &amp; Applied Microbiology</t>
  </si>
  <si>
    <t>Oceanography</t>
  </si>
  <si>
    <t>Ethnic Studies</t>
  </si>
  <si>
    <t>Mechanics</t>
  </si>
  <si>
    <t>Cardiovascular System &amp; Cardiology</t>
  </si>
  <si>
    <t>Optics</t>
  </si>
  <si>
    <t>Family Studies</t>
  </si>
  <si>
    <t>Metallurgy &amp; Metallurgical Engineering</t>
  </si>
  <si>
    <t>Physical Geography</t>
  </si>
  <si>
    <t>Microscopy</t>
  </si>
  <si>
    <t>Theater</t>
  </si>
  <si>
    <t>Critical Care Medicine</t>
  </si>
  <si>
    <t>Dentistry, Oral Surgery &amp; Medicine</t>
  </si>
  <si>
    <t>Polymer Science</t>
  </si>
  <si>
    <t>Operations Research &amp; Management Science</t>
  </si>
  <si>
    <t>Dermatology</t>
  </si>
  <si>
    <t>Thermodynamics</t>
  </si>
  <si>
    <t>Remote Sensing</t>
  </si>
  <si>
    <t>Developmental Biology</t>
  </si>
  <si>
    <t>Water Resources</t>
  </si>
  <si>
    <t>Robotics</t>
  </si>
  <si>
    <t>Emergency Medicine</t>
  </si>
  <si>
    <t>Science &amp; Technology Other Topics</t>
  </si>
  <si>
    <t>Endocrinology &amp; Metabolism</t>
  </si>
  <si>
    <t>Spectroscopy</t>
  </si>
  <si>
    <t>Entomology</t>
  </si>
  <si>
    <t>Telecommunications</t>
  </si>
  <si>
    <t>Social Sciences Other Topics</t>
  </si>
  <si>
    <t>Transportation</t>
  </si>
  <si>
    <t>Evolutionary Biology</t>
  </si>
  <si>
    <t>Fisheries</t>
  </si>
  <si>
    <t>Women's Studies</t>
  </si>
  <si>
    <t>Gastroenterology &amp; Hepatology</t>
  </si>
  <si>
    <t>Genetics &amp; Heredity</t>
  </si>
  <si>
    <t>Hematology</t>
  </si>
  <si>
    <t>Immunology</t>
  </si>
  <si>
    <t>Infectious Diseases</t>
  </si>
  <si>
    <t>Integrative &amp; Complementary Medicine</t>
  </si>
  <si>
    <t>Legal Medicine</t>
  </si>
  <si>
    <t>Life Sciences Biomedicine Other Topics</t>
  </si>
  <si>
    <t>Marine &amp; Freshwater Biology</t>
  </si>
  <si>
    <t>Medical Ethics</t>
  </si>
  <si>
    <t>Medical Laboratory Technology</t>
  </si>
  <si>
    <t>Microbiology</t>
  </si>
  <si>
    <t>Mycology</t>
  </si>
  <si>
    <t>Neurosciences &amp; Neurology</t>
  </si>
  <si>
    <t>Nursing</t>
  </si>
  <si>
    <t>Nutrition &amp; Dietetics</t>
  </si>
  <si>
    <t>Obstetrics &amp; Gynecology</t>
  </si>
  <si>
    <t>Ophthalmology</t>
  </si>
  <si>
    <t>Orthopedics</t>
  </si>
  <si>
    <t>Otorhinolaryngology</t>
  </si>
  <si>
    <t>Paleontology</t>
  </si>
  <si>
    <t>Parasitology</t>
  </si>
  <si>
    <t>Pathology</t>
  </si>
  <si>
    <t>Pediatrics</t>
  </si>
  <si>
    <t>Pharmacology &amp; Pharmacy</t>
  </si>
  <si>
    <t>Physiology</t>
  </si>
  <si>
    <t>Radiology, Nuclear Medicine &amp; Medical Imaging</t>
  </si>
  <si>
    <t>Rehabilitation</t>
  </si>
  <si>
    <t>Reproductive Biology</t>
  </si>
  <si>
    <t>Research &amp; Experimental Medicine</t>
  </si>
  <si>
    <t>Respiratory System</t>
  </si>
  <si>
    <t>Rheumatology</t>
  </si>
  <si>
    <t>Sport Sciences</t>
  </si>
  <si>
    <t>Surgery</t>
  </si>
  <si>
    <t>Toxicology</t>
  </si>
  <si>
    <t>Transplantation</t>
  </si>
  <si>
    <t>Tropical Medicine</t>
  </si>
  <si>
    <t>Urology &amp; Nephrology</t>
  </si>
  <si>
    <t>Veterinary Sciences</t>
  </si>
  <si>
    <t>Virology</t>
  </si>
  <si>
    <t>Zoology</t>
  </si>
  <si>
    <t>Arts &amp; Humanities</t>
  </si>
  <si>
    <t>Life Sciences &amp; Biomedicine</t>
  </si>
  <si>
    <t>Physical Sciences</t>
  </si>
  <si>
    <t>Social Sciences</t>
  </si>
  <si>
    <t>Technology</t>
  </si>
  <si>
    <t>Arts &amp; Humanities - Other Topics</t>
  </si>
  <si>
    <t>topic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</si>
</sst>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0"/>
      <name val="Arial"/>
    </font>
    <font>
      <sz val="10"/>
      <name val="Arial"/>
      <family val="2"/>
    </font>
    <font>
      <sz val="12"/>
      <color rgb="FF000000"/>
      <name val="Source Sans Pro"/>
      <family val="2"/>
    </font>
    <font>
      <sz val="10"/>
      <color rgb="FF000000"/>
      <name val="Source Sans Pro"/>
      <family val="2"/>
    </font>
    <font>
      <b/>
      <sz val="10"/>
      <color rgb="FF000000"/>
      <name val="Source Sans Pro"/>
      <family val="2"/>
    </font>
    <font>
      <b/>
      <sz val="10"/>
      <name val="Arial"/>
      <family val="2"/>
    </font>
    <font>
      <b/>
      <sz val="7"/>
      <color rgb="FF000000"/>
      <name val="Source Sans Pro"/>
      <family val="2"/>
    </font>
  </fonts>
  <fills count="4">
    <fill>
      <patternFill patternType="none"/>
    </fill>
    <fill>
      <patternFill patternType="gray125"/>
    </fill>
    <fill>
      <patternFill patternType="solid">
        <fgColor rgb="FFFFFFFF"/>
        <bgColor indexed="64"/>
      </patternFill>
    </fill>
    <fill>
      <patternFill patternType="solid">
        <fgColor theme="5" tint="0.79998168889431442"/>
        <bgColor indexed="64"/>
      </patternFill>
    </fill>
  </fills>
  <borders count="2">
    <border>
      <left/>
      <right/>
      <top/>
      <bottom/>
      <diagonal/>
    </border>
    <border>
      <left style="medium">
        <color rgb="FF808080"/>
      </left>
      <right style="medium">
        <color rgb="FF808080"/>
      </right>
      <top style="medium">
        <color rgb="FF808080"/>
      </top>
      <bottom style="medium">
        <color rgb="FF808080"/>
      </bottom>
      <diagonal/>
    </border>
  </borders>
  <cellStyleXfs count="1">
    <xf numFmtId="0" fontId="0" fillId="0" borderId="0"/>
  </cellStyleXfs>
  <cellXfs count="9">
    <xf numFmtId="0" fontId="0" fillId="0" borderId="0" xfId="0"/>
    <xf numFmtId="0" fontId="1" fillId="0" borderId="0" xfId="0" applyFont="1"/>
    <xf numFmtId="0" fontId="0" fillId="2" borderId="0" xfId="0" applyFill="1"/>
    <xf numFmtId="0" fontId="3" fillId="2" borderId="1" xfId="0" applyFont="1" applyFill="1" applyBorder="1" applyAlignment="1">
      <alignment horizontal="left" vertical="center" wrapText="1" indent="1"/>
    </xf>
    <xf numFmtId="0" fontId="2" fillId="2" borderId="1" xfId="0" applyFont="1" applyFill="1" applyBorder="1" applyAlignment="1">
      <alignment vertical="center" wrapText="1"/>
    </xf>
    <xf numFmtId="0" fontId="4" fillId="2" borderId="1" xfId="0" applyFont="1" applyFill="1" applyBorder="1" applyAlignment="1">
      <alignment horizontal="center" vertical="center" wrapText="1"/>
    </xf>
    <xf numFmtId="0" fontId="0" fillId="3" borderId="0" xfId="0" applyFill="1"/>
    <xf numFmtId="0" fontId="5" fillId="3" borderId="0" xfId="0" applyFont="1" applyFill="1"/>
    <xf numFmtId="0" fontId="6"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BS945"/>
  <sheetViews>
    <sheetView tabSelected="1" topLeftCell="AY1" zoomScale="70" zoomScaleNormal="70" workbookViewId="0">
      <selection activeCell="BK262" sqref="BK262"/>
    </sheetView>
  </sheetViews>
  <sheetFormatPr defaultRowHeight="12.75" x14ac:dyDescent="0.2"/>
  <cols>
    <col min="62" max="62" width="34.28515625" style="6" customWidth="1"/>
  </cols>
  <sheetData>
    <row r="1" spans="1:71" x14ac:dyDescent="0.2">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s="1" t="s">
        <v>46</v>
      </c>
      <c r="AV1" t="s">
        <v>47</v>
      </c>
      <c r="AW1" t="s">
        <v>48</v>
      </c>
      <c r="AX1" t="s">
        <v>49</v>
      </c>
      <c r="AY1" t="s">
        <v>50</v>
      </c>
      <c r="AZ1" t="s">
        <v>51</v>
      </c>
      <c r="BA1" t="s">
        <v>52</v>
      </c>
      <c r="BB1" t="s">
        <v>53</v>
      </c>
      <c r="BC1" t="s">
        <v>54</v>
      </c>
      <c r="BD1" t="s">
        <v>55</v>
      </c>
      <c r="BE1" t="s">
        <v>56</v>
      </c>
      <c r="BF1" t="s">
        <v>57</v>
      </c>
      <c r="BG1" t="s">
        <v>58</v>
      </c>
      <c r="BH1" t="s">
        <v>59</v>
      </c>
      <c r="BI1" t="s">
        <v>60</v>
      </c>
      <c r="BJ1" s="7" t="s">
        <v>61</v>
      </c>
      <c r="BK1" s="1" t="s">
        <v>17622</v>
      </c>
      <c r="BL1" t="s">
        <v>62</v>
      </c>
      <c r="BM1" t="s">
        <v>63</v>
      </c>
      <c r="BN1" t="s">
        <v>64</v>
      </c>
      <c r="BO1" t="s">
        <v>65</v>
      </c>
      <c r="BP1" t="s">
        <v>66</v>
      </c>
      <c r="BQ1" t="s">
        <v>67</v>
      </c>
      <c r="BR1" t="s">
        <v>68</v>
      </c>
      <c r="BS1" t="s">
        <v>69</v>
      </c>
    </row>
    <row r="2" spans="1:71" hidden="1" x14ac:dyDescent="0.2">
      <c r="A2" t="s">
        <v>305</v>
      </c>
      <c r="B2" t="s">
        <v>15614</v>
      </c>
      <c r="C2" t="s">
        <v>72</v>
      </c>
      <c r="D2" t="s">
        <v>72</v>
      </c>
      <c r="E2" t="s">
        <v>1102</v>
      </c>
      <c r="F2" t="s">
        <v>15615</v>
      </c>
      <c r="G2" t="s">
        <v>72</v>
      </c>
      <c r="H2" t="s">
        <v>72</v>
      </c>
      <c r="I2" t="s">
        <v>15616</v>
      </c>
      <c r="J2" t="s">
        <v>15617</v>
      </c>
      <c r="K2" t="s">
        <v>15618</v>
      </c>
      <c r="L2" t="s">
        <v>72</v>
      </c>
      <c r="M2" t="s">
        <v>76</v>
      </c>
      <c r="N2" t="s">
        <v>312</v>
      </c>
      <c r="O2" t="s">
        <v>15619</v>
      </c>
      <c r="P2" t="s">
        <v>15620</v>
      </c>
      <c r="Q2" t="s">
        <v>15621</v>
      </c>
      <c r="R2" t="s">
        <v>15622</v>
      </c>
      <c r="S2" t="s">
        <v>72</v>
      </c>
      <c r="T2" t="s">
        <v>15623</v>
      </c>
      <c r="U2" t="s">
        <v>72</v>
      </c>
      <c r="V2" t="s">
        <v>15624</v>
      </c>
      <c r="W2" t="s">
        <v>15625</v>
      </c>
      <c r="X2" t="s">
        <v>15626</v>
      </c>
      <c r="Y2" t="s">
        <v>15627</v>
      </c>
      <c r="Z2" t="s">
        <v>72</v>
      </c>
      <c r="AA2" t="s">
        <v>72</v>
      </c>
      <c r="AB2" t="s">
        <v>72</v>
      </c>
      <c r="AC2" t="s">
        <v>72</v>
      </c>
      <c r="AD2" t="s">
        <v>72</v>
      </c>
      <c r="AE2" t="s">
        <v>72</v>
      </c>
      <c r="AF2" t="s">
        <v>72</v>
      </c>
      <c r="AG2">
        <v>17</v>
      </c>
      <c r="AH2">
        <v>0</v>
      </c>
      <c r="AI2">
        <v>0</v>
      </c>
      <c r="AJ2">
        <v>1</v>
      </c>
      <c r="AK2">
        <v>2</v>
      </c>
      <c r="AL2" t="s">
        <v>1102</v>
      </c>
      <c r="AM2" t="s">
        <v>707</v>
      </c>
      <c r="AN2" t="s">
        <v>1121</v>
      </c>
      <c r="AO2" t="s">
        <v>15628</v>
      </c>
      <c r="AP2" t="s">
        <v>72</v>
      </c>
      <c r="AQ2" t="s">
        <v>15629</v>
      </c>
      <c r="AR2" t="s">
        <v>15630</v>
      </c>
      <c r="AS2" t="s">
        <v>72</v>
      </c>
      <c r="AT2" t="s">
        <v>72</v>
      </c>
      <c r="AU2">
        <v>2019</v>
      </c>
      <c r="AV2" t="s">
        <v>72</v>
      </c>
      <c r="AW2" t="s">
        <v>72</v>
      </c>
      <c r="AX2" t="s">
        <v>72</v>
      </c>
      <c r="AY2" t="s">
        <v>72</v>
      </c>
      <c r="AZ2" t="s">
        <v>72</v>
      </c>
      <c r="BA2" t="s">
        <v>72</v>
      </c>
      <c r="BB2">
        <v>3990</v>
      </c>
      <c r="BC2">
        <v>3994</v>
      </c>
      <c r="BD2" t="s">
        <v>72</v>
      </c>
      <c r="BE2" t="s">
        <v>72</v>
      </c>
      <c r="BF2" t="s">
        <v>72</v>
      </c>
      <c r="BG2" t="s">
        <v>72</v>
      </c>
      <c r="BH2" t="s">
        <v>72</v>
      </c>
      <c r="BI2">
        <v>5</v>
      </c>
      <c r="BJ2" t="s">
        <v>15631</v>
      </c>
      <c r="BK2" s="1" t="s">
        <v>17620</v>
      </c>
      <c r="BL2" t="s">
        <v>15632</v>
      </c>
      <c r="BM2" t="s">
        <v>72</v>
      </c>
      <c r="BN2" t="s">
        <v>72</v>
      </c>
      <c r="BO2" t="s">
        <v>72</v>
      </c>
      <c r="BP2" t="s">
        <v>72</v>
      </c>
      <c r="BQ2" t="s">
        <v>100</v>
      </c>
      <c r="BR2" t="s">
        <v>15633</v>
      </c>
      <c r="BS2" t="str">
        <f>HYPERLINK("https%3A%2F%2Fwww.webofscience.com%2Fwos%2Fwoscc%2Ffull-record%2FWOS:000482554004046","View Full Record in Web of Science")</f>
        <v>View Full Record in Web of Science</v>
      </c>
    </row>
    <row r="3" spans="1:71" hidden="1" x14ac:dyDescent="0.2">
      <c r="A3" t="s">
        <v>70</v>
      </c>
      <c r="B3" t="s">
        <v>15176</v>
      </c>
      <c r="C3" t="s">
        <v>72</v>
      </c>
      <c r="D3" t="s">
        <v>72</v>
      </c>
      <c r="E3" t="s">
        <v>72</v>
      </c>
      <c r="F3" t="s">
        <v>15177</v>
      </c>
      <c r="G3" t="s">
        <v>72</v>
      </c>
      <c r="H3" t="s">
        <v>72</v>
      </c>
      <c r="I3" t="s">
        <v>15178</v>
      </c>
      <c r="J3" t="s">
        <v>15179</v>
      </c>
      <c r="K3" t="s">
        <v>72</v>
      </c>
      <c r="L3" t="s">
        <v>72</v>
      </c>
      <c r="M3" t="s">
        <v>76</v>
      </c>
      <c r="N3" t="s">
        <v>1503</v>
      </c>
      <c r="O3" t="s">
        <v>72</v>
      </c>
      <c r="P3" t="s">
        <v>72</v>
      </c>
      <c r="Q3" t="s">
        <v>72</v>
      </c>
      <c r="R3" t="s">
        <v>72</v>
      </c>
      <c r="S3" t="s">
        <v>72</v>
      </c>
      <c r="T3" t="s">
        <v>15180</v>
      </c>
      <c r="U3" t="s">
        <v>72</v>
      </c>
      <c r="V3" t="s">
        <v>15181</v>
      </c>
      <c r="W3" t="s">
        <v>15182</v>
      </c>
      <c r="X3" t="s">
        <v>15183</v>
      </c>
      <c r="Y3" t="s">
        <v>15184</v>
      </c>
      <c r="Z3" t="s">
        <v>15185</v>
      </c>
      <c r="AA3" t="s">
        <v>72</v>
      </c>
      <c r="AB3" t="s">
        <v>72</v>
      </c>
      <c r="AC3" t="s">
        <v>72</v>
      </c>
      <c r="AD3" t="s">
        <v>72</v>
      </c>
      <c r="AE3" t="s">
        <v>72</v>
      </c>
      <c r="AF3" t="s">
        <v>72</v>
      </c>
      <c r="AG3">
        <v>21</v>
      </c>
      <c r="AH3">
        <v>0</v>
      </c>
      <c r="AI3">
        <v>0</v>
      </c>
      <c r="AJ3">
        <v>1</v>
      </c>
      <c r="AK3">
        <v>1</v>
      </c>
      <c r="AL3" t="s">
        <v>15186</v>
      </c>
      <c r="AM3" t="s">
        <v>15187</v>
      </c>
      <c r="AN3" t="s">
        <v>15188</v>
      </c>
      <c r="AO3" t="s">
        <v>15189</v>
      </c>
      <c r="AP3" t="s">
        <v>72</v>
      </c>
      <c r="AQ3" t="s">
        <v>72</v>
      </c>
      <c r="AR3" t="s">
        <v>15190</v>
      </c>
      <c r="AS3" t="s">
        <v>15191</v>
      </c>
      <c r="AT3" t="s">
        <v>72</v>
      </c>
      <c r="AU3">
        <v>2021</v>
      </c>
      <c r="AV3">
        <v>55</v>
      </c>
      <c r="AW3" t="s">
        <v>72</v>
      </c>
      <c r="AX3" t="s">
        <v>72</v>
      </c>
      <c r="AY3" t="s">
        <v>72</v>
      </c>
      <c r="AZ3" t="s">
        <v>478</v>
      </c>
      <c r="BA3" t="s">
        <v>72</v>
      </c>
      <c r="BB3">
        <v>419</v>
      </c>
      <c r="BC3">
        <v>431</v>
      </c>
      <c r="BD3" t="s">
        <v>72</v>
      </c>
      <c r="BE3" t="s">
        <v>72</v>
      </c>
      <c r="BF3" t="s">
        <v>72</v>
      </c>
      <c r="BG3" t="s">
        <v>72</v>
      </c>
      <c r="BH3" t="s">
        <v>72</v>
      </c>
      <c r="BI3">
        <v>13</v>
      </c>
      <c r="BJ3" s="6" t="s">
        <v>15192</v>
      </c>
      <c r="BK3" s="1" t="s">
        <v>17617</v>
      </c>
      <c r="BL3" t="s">
        <v>15194</v>
      </c>
      <c r="BM3" t="s">
        <v>72</v>
      </c>
      <c r="BN3" t="s">
        <v>72</v>
      </c>
      <c r="BO3" t="s">
        <v>72</v>
      </c>
      <c r="BP3" t="s">
        <v>72</v>
      </c>
      <c r="BQ3" t="s">
        <v>100</v>
      </c>
      <c r="BR3" t="s">
        <v>15195</v>
      </c>
      <c r="BS3" t="str">
        <f>HYPERLINK("https%3A%2F%2Fwww.webofscience.com%2Fwos%2Fwoscc%2Ffull-record%2FWOS:000748924500004","View Full Record in Web of Science")</f>
        <v>View Full Record in Web of Science</v>
      </c>
    </row>
    <row r="4" spans="1:71" hidden="1" x14ac:dyDescent="0.2">
      <c r="A4" t="s">
        <v>70</v>
      </c>
      <c r="B4" t="s">
        <v>7476</v>
      </c>
      <c r="C4" t="s">
        <v>72</v>
      </c>
      <c r="D4" t="s">
        <v>72</v>
      </c>
      <c r="E4" t="s">
        <v>72</v>
      </c>
      <c r="F4" t="s">
        <v>7477</v>
      </c>
      <c r="G4" t="s">
        <v>72</v>
      </c>
      <c r="H4" t="s">
        <v>72</v>
      </c>
      <c r="I4" t="s">
        <v>7478</v>
      </c>
      <c r="J4" t="s">
        <v>7479</v>
      </c>
      <c r="K4" t="s">
        <v>72</v>
      </c>
      <c r="L4" t="s">
        <v>72</v>
      </c>
      <c r="M4" t="s">
        <v>76</v>
      </c>
      <c r="N4" t="s">
        <v>77</v>
      </c>
      <c r="O4" t="s">
        <v>72</v>
      </c>
      <c r="P4" t="s">
        <v>72</v>
      </c>
      <c r="Q4" t="s">
        <v>72</v>
      </c>
      <c r="R4" t="s">
        <v>72</v>
      </c>
      <c r="S4" t="s">
        <v>72</v>
      </c>
      <c r="T4" t="s">
        <v>7480</v>
      </c>
      <c r="U4" t="s">
        <v>7481</v>
      </c>
      <c r="V4" t="s">
        <v>7482</v>
      </c>
      <c r="W4" t="s">
        <v>7483</v>
      </c>
      <c r="X4" t="s">
        <v>7484</v>
      </c>
      <c r="Y4" t="s">
        <v>7485</v>
      </c>
      <c r="Z4" t="s">
        <v>7486</v>
      </c>
      <c r="AA4" t="s">
        <v>7487</v>
      </c>
      <c r="AB4" t="s">
        <v>7488</v>
      </c>
      <c r="AC4" t="s">
        <v>72</v>
      </c>
      <c r="AD4" t="s">
        <v>72</v>
      </c>
      <c r="AE4" t="s">
        <v>72</v>
      </c>
      <c r="AF4" t="s">
        <v>72</v>
      </c>
      <c r="AG4">
        <v>43</v>
      </c>
      <c r="AH4">
        <v>0</v>
      </c>
      <c r="AI4">
        <v>0</v>
      </c>
      <c r="AJ4">
        <v>5</v>
      </c>
      <c r="AK4">
        <v>10</v>
      </c>
      <c r="AL4" t="s">
        <v>879</v>
      </c>
      <c r="AM4" t="s">
        <v>451</v>
      </c>
      <c r="AN4" t="s">
        <v>880</v>
      </c>
      <c r="AO4" t="s">
        <v>7489</v>
      </c>
      <c r="AP4" t="s">
        <v>7490</v>
      </c>
      <c r="AQ4" t="s">
        <v>72</v>
      </c>
      <c r="AR4" t="s">
        <v>7491</v>
      </c>
      <c r="AS4" t="s">
        <v>7492</v>
      </c>
      <c r="AT4" t="s">
        <v>6321</v>
      </c>
      <c r="AU4">
        <v>2022</v>
      </c>
      <c r="AV4">
        <v>49</v>
      </c>
      <c r="AW4">
        <v>2</v>
      </c>
      <c r="AX4" t="s">
        <v>72</v>
      </c>
      <c r="AY4" t="s">
        <v>72</v>
      </c>
      <c r="AZ4" t="s">
        <v>72</v>
      </c>
      <c r="BA4" t="s">
        <v>72</v>
      </c>
      <c r="BB4">
        <v>289</v>
      </c>
      <c r="BC4">
        <v>330</v>
      </c>
      <c r="BD4" t="s">
        <v>72</v>
      </c>
      <c r="BE4" t="s">
        <v>7493</v>
      </c>
      <c r="BF4" t="str">
        <f>HYPERLINK("http://dx.doi.org/10.1093/erae/jbab055","http://dx.doi.org/10.1093/erae/jbab055")</f>
        <v>http://dx.doi.org/10.1093/erae/jbab055</v>
      </c>
      <c r="BG4" t="s">
        <v>72</v>
      </c>
      <c r="BH4" t="s">
        <v>1288</v>
      </c>
      <c r="BI4">
        <v>42</v>
      </c>
      <c r="BJ4" s="6" t="s">
        <v>7494</v>
      </c>
      <c r="BK4" s="1" t="s">
        <v>17617</v>
      </c>
      <c r="BL4" t="s">
        <v>7495</v>
      </c>
      <c r="BM4" t="s">
        <v>72</v>
      </c>
      <c r="BN4" t="s">
        <v>1497</v>
      </c>
      <c r="BO4" t="s">
        <v>72</v>
      </c>
      <c r="BP4" t="s">
        <v>72</v>
      </c>
      <c r="BQ4" t="s">
        <v>100</v>
      </c>
      <c r="BR4" t="s">
        <v>7496</v>
      </c>
      <c r="BS4" t="str">
        <f>HYPERLINK("https%3A%2F%2Fwww.webofscience.com%2Fwos%2Fwoscc%2Ffull-record%2FWOS:000756808200001","View Full Record in Web of Science")</f>
        <v>View Full Record in Web of Science</v>
      </c>
    </row>
    <row r="5" spans="1:71" hidden="1" x14ac:dyDescent="0.2">
      <c r="A5" t="s">
        <v>70</v>
      </c>
      <c r="B5" t="s">
        <v>11951</v>
      </c>
      <c r="C5" t="s">
        <v>72</v>
      </c>
      <c r="D5" t="s">
        <v>72</v>
      </c>
      <c r="E5" t="s">
        <v>72</v>
      </c>
      <c r="F5" t="s">
        <v>11952</v>
      </c>
      <c r="G5" t="s">
        <v>72</v>
      </c>
      <c r="H5" t="s">
        <v>72</v>
      </c>
      <c r="I5" t="s">
        <v>11953</v>
      </c>
      <c r="J5" t="s">
        <v>11954</v>
      </c>
      <c r="K5" t="s">
        <v>72</v>
      </c>
      <c r="L5" t="s">
        <v>72</v>
      </c>
      <c r="M5" t="s">
        <v>76</v>
      </c>
      <c r="N5" t="s">
        <v>77</v>
      </c>
      <c r="O5" t="s">
        <v>72</v>
      </c>
      <c r="P5" t="s">
        <v>72</v>
      </c>
      <c r="Q5" t="s">
        <v>72</v>
      </c>
      <c r="R5" t="s">
        <v>72</v>
      </c>
      <c r="S5" t="s">
        <v>72</v>
      </c>
      <c r="T5" t="s">
        <v>11955</v>
      </c>
      <c r="U5" t="s">
        <v>11956</v>
      </c>
      <c r="V5" t="s">
        <v>11957</v>
      </c>
      <c r="W5" t="s">
        <v>11958</v>
      </c>
      <c r="X5" t="s">
        <v>11959</v>
      </c>
      <c r="Y5" t="s">
        <v>11960</v>
      </c>
      <c r="Z5" t="s">
        <v>11961</v>
      </c>
      <c r="AA5" t="s">
        <v>72</v>
      </c>
      <c r="AB5" t="s">
        <v>72</v>
      </c>
      <c r="AC5" t="s">
        <v>11962</v>
      </c>
      <c r="AD5" t="s">
        <v>11963</v>
      </c>
      <c r="AE5" t="s">
        <v>11964</v>
      </c>
      <c r="AF5" t="s">
        <v>72</v>
      </c>
      <c r="AG5">
        <v>40</v>
      </c>
      <c r="AH5">
        <v>2</v>
      </c>
      <c r="AI5">
        <v>2</v>
      </c>
      <c r="AJ5">
        <v>0</v>
      </c>
      <c r="AK5">
        <v>3</v>
      </c>
      <c r="AL5" t="s">
        <v>1165</v>
      </c>
      <c r="AM5" t="s">
        <v>1166</v>
      </c>
      <c r="AN5" t="s">
        <v>1167</v>
      </c>
      <c r="AO5" t="s">
        <v>11965</v>
      </c>
      <c r="AP5" t="s">
        <v>11966</v>
      </c>
      <c r="AQ5" t="s">
        <v>72</v>
      </c>
      <c r="AR5" t="s">
        <v>11967</v>
      </c>
      <c r="AS5" t="s">
        <v>11968</v>
      </c>
      <c r="AT5" t="s">
        <v>72</v>
      </c>
      <c r="AU5">
        <v>2018</v>
      </c>
      <c r="AV5">
        <v>120</v>
      </c>
      <c r="AW5">
        <v>11</v>
      </c>
      <c r="AX5" t="s">
        <v>72</v>
      </c>
      <c r="AY5" t="s">
        <v>72</v>
      </c>
      <c r="AZ5" t="s">
        <v>72</v>
      </c>
      <c r="BA5" t="s">
        <v>72</v>
      </c>
      <c r="BB5">
        <v>2554</v>
      </c>
      <c r="BC5">
        <v>2568</v>
      </c>
      <c r="BD5" t="s">
        <v>72</v>
      </c>
      <c r="BE5" t="s">
        <v>11969</v>
      </c>
      <c r="BF5" t="str">
        <f>HYPERLINK("http://dx.doi.org/10.1108/BFJ-09-2017-0500","http://dx.doi.org/10.1108/BFJ-09-2017-0500")</f>
        <v>http://dx.doi.org/10.1108/BFJ-09-2017-0500</v>
      </c>
      <c r="BG5" t="s">
        <v>72</v>
      </c>
      <c r="BH5" t="s">
        <v>72</v>
      </c>
      <c r="BI5">
        <v>15</v>
      </c>
      <c r="BJ5" s="6" t="s">
        <v>11970</v>
      </c>
      <c r="BK5" s="1" t="s">
        <v>17617</v>
      </c>
      <c r="BL5" t="s">
        <v>11971</v>
      </c>
      <c r="BM5" t="s">
        <v>72</v>
      </c>
      <c r="BN5" t="s">
        <v>72</v>
      </c>
      <c r="BO5" t="s">
        <v>72</v>
      </c>
      <c r="BP5" t="s">
        <v>72</v>
      </c>
      <c r="BQ5" t="s">
        <v>100</v>
      </c>
      <c r="BR5" t="s">
        <v>11972</v>
      </c>
      <c r="BS5" t="str">
        <f>HYPERLINK("https%3A%2F%2Fwww.webofscience.com%2Fwos%2Fwoscc%2Ffull-record%2FWOS:000447168700005","View Full Record in Web of Science")</f>
        <v>View Full Record in Web of Science</v>
      </c>
    </row>
    <row r="6" spans="1:71" hidden="1" x14ac:dyDescent="0.2">
      <c r="A6" t="s">
        <v>70</v>
      </c>
      <c r="B6" t="s">
        <v>8916</v>
      </c>
      <c r="C6" t="s">
        <v>72</v>
      </c>
      <c r="D6" t="s">
        <v>72</v>
      </c>
      <c r="E6" t="s">
        <v>72</v>
      </c>
      <c r="F6" t="s">
        <v>8917</v>
      </c>
      <c r="G6" t="s">
        <v>72</v>
      </c>
      <c r="H6" t="s">
        <v>72</v>
      </c>
      <c r="I6" t="s">
        <v>8918</v>
      </c>
      <c r="J6" t="s">
        <v>8919</v>
      </c>
      <c r="K6" t="s">
        <v>72</v>
      </c>
      <c r="L6" t="s">
        <v>72</v>
      </c>
      <c r="M6" t="s">
        <v>76</v>
      </c>
      <c r="N6" t="s">
        <v>77</v>
      </c>
      <c r="O6" t="s">
        <v>72</v>
      </c>
      <c r="P6" t="s">
        <v>72</v>
      </c>
      <c r="Q6" t="s">
        <v>72</v>
      </c>
      <c r="R6" t="s">
        <v>72</v>
      </c>
      <c r="S6" t="s">
        <v>72</v>
      </c>
      <c r="T6" t="s">
        <v>8920</v>
      </c>
      <c r="U6" t="s">
        <v>8921</v>
      </c>
      <c r="V6" t="s">
        <v>8922</v>
      </c>
      <c r="W6" t="s">
        <v>8923</v>
      </c>
      <c r="X6" t="s">
        <v>7311</v>
      </c>
      <c r="Y6" t="s">
        <v>8924</v>
      </c>
      <c r="Z6" t="s">
        <v>8925</v>
      </c>
      <c r="AA6" t="s">
        <v>8926</v>
      </c>
      <c r="AB6" t="s">
        <v>8927</v>
      </c>
      <c r="AC6" t="s">
        <v>8928</v>
      </c>
      <c r="AD6" t="s">
        <v>8929</v>
      </c>
      <c r="AE6" t="s">
        <v>8930</v>
      </c>
      <c r="AF6" t="s">
        <v>72</v>
      </c>
      <c r="AG6">
        <v>105</v>
      </c>
      <c r="AH6">
        <v>6</v>
      </c>
      <c r="AI6">
        <v>6</v>
      </c>
      <c r="AJ6">
        <v>3</v>
      </c>
      <c r="AK6">
        <v>10</v>
      </c>
      <c r="AL6" t="s">
        <v>2426</v>
      </c>
      <c r="AM6" t="s">
        <v>2427</v>
      </c>
      <c r="AN6" t="s">
        <v>2428</v>
      </c>
      <c r="AO6" t="s">
        <v>72</v>
      </c>
      <c r="AP6" t="s">
        <v>8931</v>
      </c>
      <c r="AQ6" t="s">
        <v>72</v>
      </c>
      <c r="AR6" t="s">
        <v>8919</v>
      </c>
      <c r="AS6" t="s">
        <v>8932</v>
      </c>
      <c r="AT6" t="s">
        <v>299</v>
      </c>
      <c r="AU6">
        <v>2021</v>
      </c>
      <c r="AV6">
        <v>11</v>
      </c>
      <c r="AW6">
        <v>6</v>
      </c>
      <c r="AX6" t="s">
        <v>72</v>
      </c>
      <c r="AY6" t="s">
        <v>72</v>
      </c>
      <c r="AZ6" t="s">
        <v>72</v>
      </c>
      <c r="BA6" t="s">
        <v>72</v>
      </c>
      <c r="BB6" t="s">
        <v>72</v>
      </c>
      <c r="BC6" t="s">
        <v>72</v>
      </c>
      <c r="BD6">
        <v>1103</v>
      </c>
      <c r="BE6" t="s">
        <v>8933</v>
      </c>
      <c r="BF6" t="str">
        <f>HYPERLINK("http://dx.doi.org/10.3390/agronomy11061103","http://dx.doi.org/10.3390/agronomy11061103")</f>
        <v>http://dx.doi.org/10.3390/agronomy11061103</v>
      </c>
      <c r="BG6" t="s">
        <v>72</v>
      </c>
      <c r="BH6" t="s">
        <v>72</v>
      </c>
      <c r="BI6">
        <v>18</v>
      </c>
      <c r="BJ6" s="6" t="s">
        <v>8934</v>
      </c>
      <c r="BK6" s="1" t="s">
        <v>17617</v>
      </c>
      <c r="BL6" t="s">
        <v>8935</v>
      </c>
      <c r="BM6" t="s">
        <v>72</v>
      </c>
      <c r="BN6" t="s">
        <v>222</v>
      </c>
      <c r="BO6" t="s">
        <v>72</v>
      </c>
      <c r="BP6" t="s">
        <v>72</v>
      </c>
      <c r="BQ6" t="s">
        <v>100</v>
      </c>
      <c r="BR6" t="s">
        <v>8936</v>
      </c>
      <c r="BS6" t="str">
        <f>HYPERLINK("https%3A%2F%2Fwww.webofscience.com%2Fwos%2Fwoscc%2Ffull-record%2FWOS:000665599200001","View Full Record in Web of Science")</f>
        <v>View Full Record in Web of Science</v>
      </c>
    </row>
    <row r="7" spans="1:71" x14ac:dyDescent="0.2">
      <c r="A7" t="s">
        <v>70</v>
      </c>
      <c r="B7" t="s">
        <v>9103</v>
      </c>
      <c r="C7" t="s">
        <v>72</v>
      </c>
      <c r="D7" t="s">
        <v>72</v>
      </c>
      <c r="E7" t="s">
        <v>72</v>
      </c>
      <c r="F7" t="s">
        <v>9104</v>
      </c>
      <c r="G7" t="s">
        <v>72</v>
      </c>
      <c r="H7" t="s">
        <v>72</v>
      </c>
      <c r="I7" t="s">
        <v>9105</v>
      </c>
      <c r="J7" t="s">
        <v>9106</v>
      </c>
      <c r="K7" t="s">
        <v>72</v>
      </c>
      <c r="L7" t="s">
        <v>72</v>
      </c>
      <c r="M7" t="s">
        <v>76</v>
      </c>
      <c r="N7" t="s">
        <v>77</v>
      </c>
      <c r="O7" t="s">
        <v>72</v>
      </c>
      <c r="P7" t="s">
        <v>72</v>
      </c>
      <c r="Q7" t="s">
        <v>72</v>
      </c>
      <c r="R7" t="s">
        <v>72</v>
      </c>
      <c r="S7" t="s">
        <v>72</v>
      </c>
      <c r="T7" t="s">
        <v>9107</v>
      </c>
      <c r="U7" t="s">
        <v>72</v>
      </c>
      <c r="V7" t="s">
        <v>9108</v>
      </c>
      <c r="W7" t="s">
        <v>9109</v>
      </c>
      <c r="X7" t="s">
        <v>9110</v>
      </c>
      <c r="Y7" t="s">
        <v>9111</v>
      </c>
      <c r="Z7" t="s">
        <v>9112</v>
      </c>
      <c r="AA7" t="s">
        <v>72</v>
      </c>
      <c r="AB7" t="s">
        <v>72</v>
      </c>
      <c r="AC7" t="s">
        <v>72</v>
      </c>
      <c r="AD7" t="s">
        <v>72</v>
      </c>
      <c r="AE7" t="s">
        <v>72</v>
      </c>
      <c r="AF7" t="s">
        <v>72</v>
      </c>
      <c r="AG7">
        <v>36</v>
      </c>
      <c r="AH7">
        <v>22</v>
      </c>
      <c r="AI7">
        <v>22</v>
      </c>
      <c r="AJ7">
        <v>4</v>
      </c>
      <c r="AK7">
        <v>55</v>
      </c>
      <c r="AL7" t="s">
        <v>240</v>
      </c>
      <c r="AM7" t="s">
        <v>707</v>
      </c>
      <c r="AN7" t="s">
        <v>1205</v>
      </c>
      <c r="AO7" t="s">
        <v>9113</v>
      </c>
      <c r="AP7" t="s">
        <v>9114</v>
      </c>
      <c r="AQ7" t="s">
        <v>72</v>
      </c>
      <c r="AR7" t="s">
        <v>9115</v>
      </c>
      <c r="AS7" t="s">
        <v>9116</v>
      </c>
      <c r="AT7" t="s">
        <v>555</v>
      </c>
      <c r="AU7">
        <v>2018</v>
      </c>
      <c r="AV7">
        <v>233</v>
      </c>
      <c r="AW7" t="s">
        <v>72</v>
      </c>
      <c r="AX7" t="s">
        <v>72</v>
      </c>
      <c r="AY7" t="s">
        <v>72</v>
      </c>
      <c r="AZ7" t="s">
        <v>72</v>
      </c>
      <c r="BA7" t="s">
        <v>72</v>
      </c>
      <c r="BB7">
        <v>111</v>
      </c>
      <c r="BC7">
        <v>136</v>
      </c>
      <c r="BD7" t="s">
        <v>72</v>
      </c>
      <c r="BE7" t="s">
        <v>9117</v>
      </c>
      <c r="BF7" t="str">
        <f>HYPERLINK("http://dx.doi.org/10.1017/S0305741017001679","http://dx.doi.org/10.1017/S0305741017001679")</f>
        <v>http://dx.doi.org/10.1017/S0305741017001679</v>
      </c>
      <c r="BG7" t="s">
        <v>72</v>
      </c>
      <c r="BH7" t="s">
        <v>72</v>
      </c>
      <c r="BI7">
        <v>26</v>
      </c>
      <c r="BJ7" t="s">
        <v>9118</v>
      </c>
      <c r="BK7" s="1" t="s">
        <v>17619</v>
      </c>
      <c r="BL7" t="s">
        <v>9119</v>
      </c>
      <c r="BM7" t="s">
        <v>72</v>
      </c>
      <c r="BN7" t="s">
        <v>251</v>
      </c>
      <c r="BO7" t="s">
        <v>72</v>
      </c>
      <c r="BP7" t="s">
        <v>72</v>
      </c>
      <c r="BQ7" t="s">
        <v>100</v>
      </c>
      <c r="BR7" t="s">
        <v>9120</v>
      </c>
      <c r="BS7" t="str">
        <f>HYPERLINK("https%3A%2F%2Fwww.webofscience.com%2Fwos%2Fwoscc%2Ffull-record%2FWOS:000428650500006","View Full Record in Web of Science")</f>
        <v>View Full Record in Web of Science</v>
      </c>
    </row>
    <row r="8" spans="1:71" x14ac:dyDescent="0.2">
      <c r="A8" t="s">
        <v>70</v>
      </c>
      <c r="B8" t="s">
        <v>11137</v>
      </c>
      <c r="C8" t="s">
        <v>72</v>
      </c>
      <c r="D8" t="s">
        <v>72</v>
      </c>
      <c r="E8" t="s">
        <v>72</v>
      </c>
      <c r="F8" t="s">
        <v>11138</v>
      </c>
      <c r="G8" t="s">
        <v>72</v>
      </c>
      <c r="H8" t="s">
        <v>72</v>
      </c>
      <c r="I8" t="s">
        <v>11139</v>
      </c>
      <c r="J8" t="s">
        <v>11140</v>
      </c>
      <c r="K8" t="s">
        <v>72</v>
      </c>
      <c r="L8" t="s">
        <v>72</v>
      </c>
      <c r="M8" t="s">
        <v>2818</v>
      </c>
      <c r="N8" t="s">
        <v>77</v>
      </c>
      <c r="O8" t="s">
        <v>72</v>
      </c>
      <c r="P8" t="s">
        <v>72</v>
      </c>
      <c r="Q8" t="s">
        <v>72</v>
      </c>
      <c r="R8" t="s">
        <v>72</v>
      </c>
      <c r="S8" t="s">
        <v>72</v>
      </c>
      <c r="T8" t="s">
        <v>11141</v>
      </c>
      <c r="U8" t="s">
        <v>72</v>
      </c>
      <c r="V8" t="s">
        <v>11142</v>
      </c>
      <c r="W8" t="s">
        <v>11143</v>
      </c>
      <c r="X8" t="s">
        <v>11144</v>
      </c>
      <c r="Y8" t="s">
        <v>11145</v>
      </c>
      <c r="Z8" t="s">
        <v>11146</v>
      </c>
      <c r="AA8" t="s">
        <v>72</v>
      </c>
      <c r="AB8" t="s">
        <v>11147</v>
      </c>
      <c r="AC8" t="s">
        <v>72</v>
      </c>
      <c r="AD8" t="s">
        <v>72</v>
      </c>
      <c r="AE8" t="s">
        <v>72</v>
      </c>
      <c r="AF8" t="s">
        <v>72</v>
      </c>
      <c r="AG8">
        <v>12</v>
      </c>
      <c r="AH8">
        <v>0</v>
      </c>
      <c r="AI8">
        <v>0</v>
      </c>
      <c r="AJ8">
        <v>1</v>
      </c>
      <c r="AK8">
        <v>6</v>
      </c>
      <c r="AL8" t="s">
        <v>11148</v>
      </c>
      <c r="AM8" t="s">
        <v>11149</v>
      </c>
      <c r="AN8" t="s">
        <v>11150</v>
      </c>
      <c r="AO8" t="s">
        <v>11151</v>
      </c>
      <c r="AP8" t="s">
        <v>72</v>
      </c>
      <c r="AQ8" t="s">
        <v>72</v>
      </c>
      <c r="AR8" t="s">
        <v>11152</v>
      </c>
      <c r="AS8" t="s">
        <v>11153</v>
      </c>
      <c r="AT8" t="s">
        <v>11154</v>
      </c>
      <c r="AU8">
        <v>2017</v>
      </c>
      <c r="AV8" t="s">
        <v>72</v>
      </c>
      <c r="AW8">
        <v>6</v>
      </c>
      <c r="AX8" t="s">
        <v>72</v>
      </c>
      <c r="AY8" t="s">
        <v>72</v>
      </c>
      <c r="AZ8" t="s">
        <v>72</v>
      </c>
      <c r="BA8" t="s">
        <v>72</v>
      </c>
      <c r="BB8">
        <v>81</v>
      </c>
      <c r="BC8">
        <v>93</v>
      </c>
      <c r="BD8" t="s">
        <v>72</v>
      </c>
      <c r="BE8" t="s">
        <v>72</v>
      </c>
      <c r="BF8" t="s">
        <v>72</v>
      </c>
      <c r="BG8" t="s">
        <v>72</v>
      </c>
      <c r="BH8" t="s">
        <v>72</v>
      </c>
      <c r="BI8">
        <v>13</v>
      </c>
      <c r="BJ8" t="s">
        <v>9118</v>
      </c>
      <c r="BK8" s="1" t="s">
        <v>17619</v>
      </c>
      <c r="BL8" t="s">
        <v>11155</v>
      </c>
      <c r="BM8" t="s">
        <v>72</v>
      </c>
      <c r="BN8" t="s">
        <v>72</v>
      </c>
      <c r="BO8" t="s">
        <v>72</v>
      </c>
      <c r="BP8" t="s">
        <v>72</v>
      </c>
      <c r="BQ8" t="s">
        <v>100</v>
      </c>
      <c r="BR8" t="s">
        <v>11156</v>
      </c>
      <c r="BS8" t="str">
        <f>HYPERLINK("https%3A%2F%2Fwww.webofscience.com%2Fwos%2Fwoscc%2Ffull-record%2FWOS:000424560800010","View Full Record in Web of Science")</f>
        <v>View Full Record in Web of Science</v>
      </c>
    </row>
    <row r="9" spans="1:71" x14ac:dyDescent="0.2">
      <c r="A9" t="s">
        <v>70</v>
      </c>
      <c r="B9" t="s">
        <v>14920</v>
      </c>
      <c r="C9" t="s">
        <v>72</v>
      </c>
      <c r="D9" t="s">
        <v>72</v>
      </c>
      <c r="E9" t="s">
        <v>72</v>
      </c>
      <c r="F9" t="s">
        <v>14921</v>
      </c>
      <c r="G9" t="s">
        <v>72</v>
      </c>
      <c r="H9" t="s">
        <v>72</v>
      </c>
      <c r="I9" t="s">
        <v>14922</v>
      </c>
      <c r="J9" t="s">
        <v>14923</v>
      </c>
      <c r="K9" t="s">
        <v>72</v>
      </c>
      <c r="L9" t="s">
        <v>72</v>
      </c>
      <c r="M9" t="s">
        <v>76</v>
      </c>
      <c r="N9" t="s">
        <v>77</v>
      </c>
      <c r="O9" t="s">
        <v>72</v>
      </c>
      <c r="P9" t="s">
        <v>72</v>
      </c>
      <c r="Q9" t="s">
        <v>72</v>
      </c>
      <c r="R9" t="s">
        <v>72</v>
      </c>
      <c r="S9" t="s">
        <v>72</v>
      </c>
      <c r="T9" t="s">
        <v>14924</v>
      </c>
      <c r="U9" t="s">
        <v>14925</v>
      </c>
      <c r="V9" t="s">
        <v>14926</v>
      </c>
      <c r="W9" t="s">
        <v>14927</v>
      </c>
      <c r="X9" t="s">
        <v>14928</v>
      </c>
      <c r="Y9" t="s">
        <v>14929</v>
      </c>
      <c r="Z9" t="s">
        <v>14930</v>
      </c>
      <c r="AA9" t="s">
        <v>72</v>
      </c>
      <c r="AB9" t="s">
        <v>14931</v>
      </c>
      <c r="AC9" t="s">
        <v>14932</v>
      </c>
      <c r="AD9" t="s">
        <v>14933</v>
      </c>
      <c r="AE9" t="s">
        <v>14934</v>
      </c>
      <c r="AF9" t="s">
        <v>72</v>
      </c>
      <c r="AG9">
        <v>94</v>
      </c>
      <c r="AH9">
        <v>0</v>
      </c>
      <c r="AI9">
        <v>0</v>
      </c>
      <c r="AJ9">
        <v>2</v>
      </c>
      <c r="AK9">
        <v>2</v>
      </c>
      <c r="AL9" t="s">
        <v>548</v>
      </c>
      <c r="AM9" t="s">
        <v>549</v>
      </c>
      <c r="AN9" t="s">
        <v>550</v>
      </c>
      <c r="AO9" t="s">
        <v>14935</v>
      </c>
      <c r="AP9" t="s">
        <v>14936</v>
      </c>
      <c r="AQ9" t="s">
        <v>72</v>
      </c>
      <c r="AR9" t="s">
        <v>14937</v>
      </c>
      <c r="AS9" t="s">
        <v>14938</v>
      </c>
      <c r="AT9" t="s">
        <v>14939</v>
      </c>
      <c r="AU9">
        <v>2022</v>
      </c>
      <c r="AV9">
        <v>70</v>
      </c>
      <c r="AW9">
        <v>1</v>
      </c>
      <c r="AX9" t="s">
        <v>72</v>
      </c>
      <c r="AY9" t="s">
        <v>72</v>
      </c>
      <c r="AZ9" t="s">
        <v>72</v>
      </c>
      <c r="BA9" t="s">
        <v>72</v>
      </c>
      <c r="BB9">
        <v>24</v>
      </c>
      <c r="BC9">
        <v>46</v>
      </c>
      <c r="BD9" t="s">
        <v>72</v>
      </c>
      <c r="BE9" t="s">
        <v>14940</v>
      </c>
      <c r="BF9" t="str">
        <f>HYPERLINK("http://dx.doi.org/10.1515/soeu-2021-0055","http://dx.doi.org/10.1515/soeu-2021-0055")</f>
        <v>http://dx.doi.org/10.1515/soeu-2021-0055</v>
      </c>
      <c r="BG9" t="s">
        <v>72</v>
      </c>
      <c r="BH9" t="s">
        <v>72</v>
      </c>
      <c r="BI9">
        <v>23</v>
      </c>
      <c r="BJ9" t="s">
        <v>9118</v>
      </c>
      <c r="BK9" s="1" t="s">
        <v>17619</v>
      </c>
      <c r="BL9" t="s">
        <v>14941</v>
      </c>
      <c r="BM9" t="s">
        <v>72</v>
      </c>
      <c r="BN9" t="s">
        <v>14942</v>
      </c>
      <c r="BO9" t="s">
        <v>72</v>
      </c>
      <c r="BP9" t="s">
        <v>72</v>
      </c>
      <c r="BQ9" t="s">
        <v>100</v>
      </c>
      <c r="BR9" t="s">
        <v>14943</v>
      </c>
      <c r="BS9" t="str">
        <f>HYPERLINK("https%3A%2F%2Fwww.webofscience.com%2Fwos%2Fwoscc%2Ffull-record%2FWOS:000812330100002","View Full Record in Web of Science")</f>
        <v>View Full Record in Web of Science</v>
      </c>
    </row>
    <row r="10" spans="1:71" x14ac:dyDescent="0.2">
      <c r="A10" t="s">
        <v>70</v>
      </c>
      <c r="B10" t="s">
        <v>5363</v>
      </c>
      <c r="C10" t="s">
        <v>72</v>
      </c>
      <c r="D10" t="s">
        <v>72</v>
      </c>
      <c r="E10" t="s">
        <v>72</v>
      </c>
      <c r="F10" t="s">
        <v>5364</v>
      </c>
      <c r="G10" t="s">
        <v>72</v>
      </c>
      <c r="H10" t="s">
        <v>72</v>
      </c>
      <c r="I10" t="s">
        <v>5365</v>
      </c>
      <c r="J10" t="s">
        <v>5366</v>
      </c>
      <c r="K10" t="s">
        <v>72</v>
      </c>
      <c r="L10" t="s">
        <v>72</v>
      </c>
      <c r="M10" t="s">
        <v>76</v>
      </c>
      <c r="N10" t="s">
        <v>77</v>
      </c>
      <c r="O10" t="s">
        <v>72</v>
      </c>
      <c r="P10" t="s">
        <v>72</v>
      </c>
      <c r="Q10" t="s">
        <v>72</v>
      </c>
      <c r="R10" t="s">
        <v>72</v>
      </c>
      <c r="S10" t="s">
        <v>72</v>
      </c>
      <c r="T10" t="s">
        <v>72</v>
      </c>
      <c r="U10" t="s">
        <v>5367</v>
      </c>
      <c r="V10" t="s">
        <v>5368</v>
      </c>
      <c r="W10" t="s">
        <v>5369</v>
      </c>
      <c r="X10" t="s">
        <v>5370</v>
      </c>
      <c r="Y10" t="s">
        <v>5371</v>
      </c>
      <c r="Z10" t="s">
        <v>5372</v>
      </c>
      <c r="AA10" t="s">
        <v>72</v>
      </c>
      <c r="AB10" t="s">
        <v>5373</v>
      </c>
      <c r="AC10" t="s">
        <v>72</v>
      </c>
      <c r="AD10" t="s">
        <v>72</v>
      </c>
      <c r="AE10" t="s">
        <v>72</v>
      </c>
      <c r="AF10" t="s">
        <v>72</v>
      </c>
      <c r="AG10">
        <v>76</v>
      </c>
      <c r="AH10">
        <v>4</v>
      </c>
      <c r="AI10">
        <v>4</v>
      </c>
      <c r="AJ10">
        <v>0</v>
      </c>
      <c r="AK10">
        <v>10</v>
      </c>
      <c r="AL10" t="s">
        <v>364</v>
      </c>
      <c r="AM10" t="s">
        <v>365</v>
      </c>
      <c r="AN10" t="s">
        <v>366</v>
      </c>
      <c r="AO10" t="s">
        <v>5374</v>
      </c>
      <c r="AP10" t="s">
        <v>5375</v>
      </c>
      <c r="AQ10" t="s">
        <v>72</v>
      </c>
      <c r="AR10" t="s">
        <v>5376</v>
      </c>
      <c r="AS10" t="s">
        <v>5377</v>
      </c>
      <c r="AT10" t="s">
        <v>639</v>
      </c>
      <c r="AU10">
        <v>2014</v>
      </c>
      <c r="AV10">
        <v>66</v>
      </c>
      <c r="AW10">
        <v>6</v>
      </c>
      <c r="AX10" t="s">
        <v>72</v>
      </c>
      <c r="AY10" t="s">
        <v>72</v>
      </c>
      <c r="AZ10" t="s">
        <v>72</v>
      </c>
      <c r="BA10" t="s">
        <v>72</v>
      </c>
      <c r="BB10">
        <v>969</v>
      </c>
      <c r="BC10">
        <v>992</v>
      </c>
      <c r="BD10" t="s">
        <v>72</v>
      </c>
      <c r="BE10" t="s">
        <v>5378</v>
      </c>
      <c r="BF10" t="str">
        <f>HYPERLINK("http://dx.doi.org/10.1080/09668136.2014.926716","http://dx.doi.org/10.1080/09668136.2014.926716")</f>
        <v>http://dx.doi.org/10.1080/09668136.2014.926716</v>
      </c>
      <c r="BG10" t="s">
        <v>72</v>
      </c>
      <c r="BH10" t="s">
        <v>72</v>
      </c>
      <c r="BI10">
        <v>24</v>
      </c>
      <c r="BJ10" t="s">
        <v>5379</v>
      </c>
      <c r="BK10" s="1" t="s">
        <v>17619</v>
      </c>
      <c r="BL10" t="s">
        <v>5380</v>
      </c>
      <c r="BM10" t="s">
        <v>72</v>
      </c>
      <c r="BN10" t="s">
        <v>483</v>
      </c>
      <c r="BO10" t="s">
        <v>72</v>
      </c>
      <c r="BP10" t="s">
        <v>72</v>
      </c>
      <c r="BQ10" t="s">
        <v>100</v>
      </c>
      <c r="BR10" t="s">
        <v>5381</v>
      </c>
      <c r="BS10" t="str">
        <f>HYPERLINK("https%3A%2F%2Fwww.webofscience.com%2Fwos%2Fwoscc%2Ffull-record%2FWOS:000340188700006","View Full Record in Web of Science")</f>
        <v>View Full Record in Web of Science</v>
      </c>
    </row>
    <row r="11" spans="1:71" x14ac:dyDescent="0.2">
      <c r="A11" t="s">
        <v>70</v>
      </c>
      <c r="B11" t="s">
        <v>1606</v>
      </c>
      <c r="C11" t="s">
        <v>72</v>
      </c>
      <c r="D11" t="s">
        <v>72</v>
      </c>
      <c r="E11" t="s">
        <v>72</v>
      </c>
      <c r="F11" t="s">
        <v>1607</v>
      </c>
      <c r="G11" t="s">
        <v>72</v>
      </c>
      <c r="H11" t="s">
        <v>72</v>
      </c>
      <c r="I11" t="s">
        <v>1608</v>
      </c>
      <c r="J11" t="s">
        <v>1609</v>
      </c>
      <c r="K11" t="s">
        <v>72</v>
      </c>
      <c r="L11" t="s">
        <v>72</v>
      </c>
      <c r="M11" t="s">
        <v>76</v>
      </c>
      <c r="N11" t="s">
        <v>1503</v>
      </c>
      <c r="O11" t="s">
        <v>72</v>
      </c>
      <c r="P11" t="s">
        <v>72</v>
      </c>
      <c r="Q11" t="s">
        <v>72</v>
      </c>
      <c r="R11" t="s">
        <v>72</v>
      </c>
      <c r="S11" t="s">
        <v>72</v>
      </c>
      <c r="T11" t="s">
        <v>1610</v>
      </c>
      <c r="U11" t="s">
        <v>1611</v>
      </c>
      <c r="V11" t="s">
        <v>1612</v>
      </c>
      <c r="W11" t="s">
        <v>1613</v>
      </c>
      <c r="X11" t="s">
        <v>1614</v>
      </c>
      <c r="Y11" t="s">
        <v>1615</v>
      </c>
      <c r="Z11" t="s">
        <v>1616</v>
      </c>
      <c r="AA11" t="s">
        <v>72</v>
      </c>
      <c r="AB11" t="s">
        <v>72</v>
      </c>
      <c r="AC11" t="s">
        <v>72</v>
      </c>
      <c r="AD11" t="s">
        <v>72</v>
      </c>
      <c r="AE11" t="s">
        <v>72</v>
      </c>
      <c r="AF11" t="s">
        <v>72</v>
      </c>
      <c r="AG11">
        <v>61</v>
      </c>
      <c r="AH11">
        <v>2</v>
      </c>
      <c r="AI11">
        <v>2</v>
      </c>
      <c r="AJ11">
        <v>5</v>
      </c>
      <c r="AK11">
        <v>44</v>
      </c>
      <c r="AL11" t="s">
        <v>88</v>
      </c>
      <c r="AM11" t="s">
        <v>89</v>
      </c>
      <c r="AN11" t="s">
        <v>90</v>
      </c>
      <c r="AO11" t="s">
        <v>1617</v>
      </c>
      <c r="AP11" t="s">
        <v>1618</v>
      </c>
      <c r="AQ11" t="s">
        <v>72</v>
      </c>
      <c r="AR11" t="s">
        <v>1619</v>
      </c>
      <c r="AS11" t="s">
        <v>1620</v>
      </c>
      <c r="AT11" t="s">
        <v>555</v>
      </c>
      <c r="AU11">
        <v>2018</v>
      </c>
      <c r="AV11">
        <v>23</v>
      </c>
      <c r="AW11">
        <v>1</v>
      </c>
      <c r="AX11" t="s">
        <v>72</v>
      </c>
      <c r="AY11" t="s">
        <v>72</v>
      </c>
      <c r="AZ11" t="s">
        <v>478</v>
      </c>
      <c r="BA11" t="s">
        <v>72</v>
      </c>
      <c r="BB11">
        <v>121</v>
      </c>
      <c r="BC11">
        <v>133</v>
      </c>
      <c r="BD11" t="s">
        <v>72</v>
      </c>
      <c r="BE11" t="s">
        <v>1621</v>
      </c>
      <c r="BF11" t="str">
        <f>HYPERLINK("http://dx.doi.org/10.1007/s11366-017-9526-3","http://dx.doi.org/10.1007/s11366-017-9526-3")</f>
        <v>http://dx.doi.org/10.1007/s11366-017-9526-3</v>
      </c>
      <c r="BG11" t="s">
        <v>72</v>
      </c>
      <c r="BH11" t="s">
        <v>72</v>
      </c>
      <c r="BI11">
        <v>13</v>
      </c>
      <c r="BJ11" t="s">
        <v>1622</v>
      </c>
      <c r="BK11" s="1" t="s">
        <v>17619</v>
      </c>
      <c r="BL11" t="s">
        <v>1623</v>
      </c>
      <c r="BM11" t="s">
        <v>72</v>
      </c>
      <c r="BN11" t="s">
        <v>72</v>
      </c>
      <c r="BO11" t="s">
        <v>72</v>
      </c>
      <c r="BP11" t="s">
        <v>72</v>
      </c>
      <c r="BQ11" t="s">
        <v>100</v>
      </c>
      <c r="BR11" t="s">
        <v>1624</v>
      </c>
      <c r="BS11" t="str">
        <f>HYPERLINK("https%3A%2F%2Fwww.webofscience.com%2Fwos%2Fwoscc%2Ffull-record%2FWOS:000425772300008","View Full Record in Web of Science")</f>
        <v>View Full Record in Web of Science</v>
      </c>
    </row>
    <row r="12" spans="1:71" x14ac:dyDescent="0.2">
      <c r="A12" t="s">
        <v>70</v>
      </c>
      <c r="B12" t="s">
        <v>5023</v>
      </c>
      <c r="C12" t="s">
        <v>72</v>
      </c>
      <c r="D12" t="s">
        <v>72</v>
      </c>
      <c r="E12" t="s">
        <v>72</v>
      </c>
      <c r="F12" t="s">
        <v>5024</v>
      </c>
      <c r="G12" t="s">
        <v>72</v>
      </c>
      <c r="H12" t="s">
        <v>72</v>
      </c>
      <c r="I12" t="s">
        <v>5025</v>
      </c>
      <c r="J12" t="s">
        <v>5026</v>
      </c>
      <c r="K12" t="s">
        <v>72</v>
      </c>
      <c r="L12" t="s">
        <v>72</v>
      </c>
      <c r="M12" t="s">
        <v>76</v>
      </c>
      <c r="N12" t="s">
        <v>77</v>
      </c>
      <c r="O12" t="s">
        <v>72</v>
      </c>
      <c r="P12" t="s">
        <v>72</v>
      </c>
      <c r="Q12" t="s">
        <v>72</v>
      </c>
      <c r="R12" t="s">
        <v>72</v>
      </c>
      <c r="S12" t="s">
        <v>72</v>
      </c>
      <c r="T12" t="s">
        <v>5027</v>
      </c>
      <c r="U12" t="s">
        <v>672</v>
      </c>
      <c r="V12" t="s">
        <v>5028</v>
      </c>
      <c r="W12" t="s">
        <v>5029</v>
      </c>
      <c r="X12" t="s">
        <v>5030</v>
      </c>
      <c r="Y12" t="s">
        <v>5031</v>
      </c>
      <c r="Z12" t="s">
        <v>5032</v>
      </c>
      <c r="AA12" t="s">
        <v>5033</v>
      </c>
      <c r="AB12" t="s">
        <v>5034</v>
      </c>
      <c r="AC12" t="s">
        <v>72</v>
      </c>
      <c r="AD12" t="s">
        <v>72</v>
      </c>
      <c r="AE12" t="s">
        <v>72</v>
      </c>
      <c r="AF12" t="s">
        <v>72</v>
      </c>
      <c r="AG12">
        <v>40</v>
      </c>
      <c r="AH12">
        <v>1</v>
      </c>
      <c r="AI12">
        <v>1</v>
      </c>
      <c r="AJ12">
        <v>1</v>
      </c>
      <c r="AK12">
        <v>6</v>
      </c>
      <c r="AL12" t="s">
        <v>364</v>
      </c>
      <c r="AM12" t="s">
        <v>365</v>
      </c>
      <c r="AN12" t="s">
        <v>366</v>
      </c>
      <c r="AO12" t="s">
        <v>5035</v>
      </c>
      <c r="AP12" t="s">
        <v>5036</v>
      </c>
      <c r="AQ12" t="s">
        <v>72</v>
      </c>
      <c r="AR12" t="s">
        <v>5037</v>
      </c>
      <c r="AS12" t="s">
        <v>5038</v>
      </c>
      <c r="AT12" t="s">
        <v>5039</v>
      </c>
      <c r="AU12">
        <v>2021</v>
      </c>
      <c r="AV12">
        <v>37</v>
      </c>
      <c r="AW12">
        <v>2</v>
      </c>
      <c r="AX12" t="s">
        <v>72</v>
      </c>
      <c r="AY12" t="s">
        <v>72</v>
      </c>
      <c r="AZ12" t="s">
        <v>72</v>
      </c>
      <c r="BA12" t="s">
        <v>72</v>
      </c>
      <c r="BB12">
        <v>214</v>
      </c>
      <c r="BC12">
        <v>238</v>
      </c>
      <c r="BD12" t="s">
        <v>72</v>
      </c>
      <c r="BE12" t="s">
        <v>5040</v>
      </c>
      <c r="BF12" t="str">
        <f>HYPERLINK("http://dx.doi.org/10.1080/21599165.2020.1756785","http://dx.doi.org/10.1080/21599165.2020.1756785")</f>
        <v>http://dx.doi.org/10.1080/21599165.2020.1756785</v>
      </c>
      <c r="BG12" t="s">
        <v>72</v>
      </c>
      <c r="BH12" t="s">
        <v>2656</v>
      </c>
      <c r="BI12">
        <v>25</v>
      </c>
      <c r="BJ12" t="s">
        <v>1622</v>
      </c>
      <c r="BK12" s="1" t="s">
        <v>17619</v>
      </c>
      <c r="BL12" t="s">
        <v>5041</v>
      </c>
      <c r="BM12" t="s">
        <v>72</v>
      </c>
      <c r="BN12" t="s">
        <v>72</v>
      </c>
      <c r="BO12" t="s">
        <v>72</v>
      </c>
      <c r="BP12" t="s">
        <v>72</v>
      </c>
      <c r="BQ12" t="s">
        <v>100</v>
      </c>
      <c r="BR12" t="s">
        <v>5042</v>
      </c>
      <c r="BS12" t="str">
        <f>HYPERLINK("https%3A%2F%2Fwww.webofscience.com%2Fwos%2Fwoscc%2Ffull-record%2FWOS:000533218000001","View Full Record in Web of Science")</f>
        <v>View Full Record in Web of Science</v>
      </c>
    </row>
    <row r="13" spans="1:71" x14ac:dyDescent="0.2">
      <c r="A13" t="s">
        <v>70</v>
      </c>
      <c r="B13" t="s">
        <v>9174</v>
      </c>
      <c r="C13" t="s">
        <v>72</v>
      </c>
      <c r="D13" t="s">
        <v>72</v>
      </c>
      <c r="E13" t="s">
        <v>72</v>
      </c>
      <c r="F13" t="s">
        <v>9175</v>
      </c>
      <c r="G13" t="s">
        <v>72</v>
      </c>
      <c r="H13" t="s">
        <v>72</v>
      </c>
      <c r="I13" t="s">
        <v>9176</v>
      </c>
      <c r="J13" t="s">
        <v>1609</v>
      </c>
      <c r="K13" t="s">
        <v>72</v>
      </c>
      <c r="L13" t="s">
        <v>72</v>
      </c>
      <c r="M13" t="s">
        <v>76</v>
      </c>
      <c r="N13" t="s">
        <v>352</v>
      </c>
      <c r="O13" t="s">
        <v>72</v>
      </c>
      <c r="P13" t="s">
        <v>72</v>
      </c>
      <c r="Q13" t="s">
        <v>72</v>
      </c>
      <c r="R13" t="s">
        <v>72</v>
      </c>
      <c r="S13" t="s">
        <v>72</v>
      </c>
      <c r="T13" t="s">
        <v>9177</v>
      </c>
      <c r="U13" t="s">
        <v>9178</v>
      </c>
      <c r="V13" t="s">
        <v>9179</v>
      </c>
      <c r="W13" t="s">
        <v>9180</v>
      </c>
      <c r="X13" t="s">
        <v>9181</v>
      </c>
      <c r="Y13" t="s">
        <v>9182</v>
      </c>
      <c r="Z13" t="s">
        <v>9183</v>
      </c>
      <c r="AA13" t="s">
        <v>72</v>
      </c>
      <c r="AB13" t="s">
        <v>72</v>
      </c>
      <c r="AC13" t="s">
        <v>72</v>
      </c>
      <c r="AD13" t="s">
        <v>72</v>
      </c>
      <c r="AE13" t="s">
        <v>72</v>
      </c>
      <c r="AF13" t="s">
        <v>72</v>
      </c>
      <c r="AG13">
        <v>91</v>
      </c>
      <c r="AH13">
        <v>1</v>
      </c>
      <c r="AI13">
        <v>1</v>
      </c>
      <c r="AJ13">
        <v>33</v>
      </c>
      <c r="AK13">
        <v>33</v>
      </c>
      <c r="AL13" t="s">
        <v>88</v>
      </c>
      <c r="AM13" t="s">
        <v>89</v>
      </c>
      <c r="AN13" t="s">
        <v>90</v>
      </c>
      <c r="AO13" t="s">
        <v>1617</v>
      </c>
      <c r="AP13" t="s">
        <v>1618</v>
      </c>
      <c r="AQ13" t="s">
        <v>72</v>
      </c>
      <c r="AR13" t="s">
        <v>1619</v>
      </c>
      <c r="AS13" t="s">
        <v>1620</v>
      </c>
      <c r="AT13" t="s">
        <v>72</v>
      </c>
      <c r="AU13" t="s">
        <v>72</v>
      </c>
      <c r="AV13" t="s">
        <v>72</v>
      </c>
      <c r="AW13" t="s">
        <v>72</v>
      </c>
      <c r="AX13" t="s">
        <v>72</v>
      </c>
      <c r="AY13" t="s">
        <v>72</v>
      </c>
      <c r="AZ13" t="s">
        <v>72</v>
      </c>
      <c r="BA13" t="s">
        <v>72</v>
      </c>
      <c r="BB13" t="s">
        <v>72</v>
      </c>
      <c r="BC13" t="s">
        <v>72</v>
      </c>
      <c r="BD13" t="s">
        <v>72</v>
      </c>
      <c r="BE13" t="s">
        <v>9184</v>
      </c>
      <c r="BF13" t="str">
        <f>HYPERLINK("http://dx.doi.org/10.1007/s11366-022-09820-4","http://dx.doi.org/10.1007/s11366-022-09820-4")</f>
        <v>http://dx.doi.org/10.1007/s11366-022-09820-4</v>
      </c>
      <c r="BG13" t="s">
        <v>72</v>
      </c>
      <c r="BH13" t="s">
        <v>988</v>
      </c>
      <c r="BI13">
        <v>33</v>
      </c>
      <c r="BJ13" t="s">
        <v>1622</v>
      </c>
      <c r="BK13" s="1" t="s">
        <v>17619</v>
      </c>
      <c r="BL13" t="s">
        <v>9185</v>
      </c>
      <c r="BM13" t="s">
        <v>72</v>
      </c>
      <c r="BN13" t="s">
        <v>72</v>
      </c>
      <c r="BO13" t="s">
        <v>72</v>
      </c>
      <c r="BP13" t="s">
        <v>72</v>
      </c>
      <c r="BQ13" t="s">
        <v>100</v>
      </c>
      <c r="BR13" t="s">
        <v>9186</v>
      </c>
      <c r="BS13" t="str">
        <f>HYPERLINK("https%3A%2F%2Fwww.webofscience.com%2Fwos%2Fwoscc%2Ffull-record%2FWOS:000813577900001","View Full Record in Web of Science")</f>
        <v>View Full Record in Web of Science</v>
      </c>
    </row>
    <row r="14" spans="1:71" x14ac:dyDescent="0.2">
      <c r="A14" t="s">
        <v>70</v>
      </c>
      <c r="B14" t="s">
        <v>4313</v>
      </c>
      <c r="C14" t="s">
        <v>72</v>
      </c>
      <c r="D14" t="s">
        <v>72</v>
      </c>
      <c r="E14" t="s">
        <v>72</v>
      </c>
      <c r="F14" t="s">
        <v>4314</v>
      </c>
      <c r="G14" t="s">
        <v>72</v>
      </c>
      <c r="H14" t="s">
        <v>72</v>
      </c>
      <c r="I14" t="s">
        <v>4315</v>
      </c>
      <c r="J14" t="s">
        <v>4316</v>
      </c>
      <c r="K14" t="s">
        <v>72</v>
      </c>
      <c r="L14" t="s">
        <v>72</v>
      </c>
      <c r="M14" t="s">
        <v>76</v>
      </c>
      <c r="N14" t="s">
        <v>352</v>
      </c>
      <c r="O14" t="s">
        <v>72</v>
      </c>
      <c r="P14" t="s">
        <v>72</v>
      </c>
      <c r="Q14" t="s">
        <v>72</v>
      </c>
      <c r="R14" t="s">
        <v>72</v>
      </c>
      <c r="S14" t="s">
        <v>72</v>
      </c>
      <c r="T14" t="s">
        <v>72</v>
      </c>
      <c r="U14" t="s">
        <v>4317</v>
      </c>
      <c r="V14" t="s">
        <v>4318</v>
      </c>
      <c r="W14" t="s">
        <v>4319</v>
      </c>
      <c r="X14" t="s">
        <v>4320</v>
      </c>
      <c r="Y14" t="s">
        <v>4321</v>
      </c>
      <c r="Z14" t="s">
        <v>4322</v>
      </c>
      <c r="AA14" t="s">
        <v>72</v>
      </c>
      <c r="AB14" t="s">
        <v>72</v>
      </c>
      <c r="AC14" t="s">
        <v>72</v>
      </c>
      <c r="AD14" t="s">
        <v>72</v>
      </c>
      <c r="AE14" t="s">
        <v>72</v>
      </c>
      <c r="AF14" t="s">
        <v>72</v>
      </c>
      <c r="AG14">
        <v>69</v>
      </c>
      <c r="AH14">
        <v>0</v>
      </c>
      <c r="AI14">
        <v>0</v>
      </c>
      <c r="AJ14">
        <v>0</v>
      </c>
      <c r="AK14">
        <v>0</v>
      </c>
      <c r="AL14" t="s">
        <v>364</v>
      </c>
      <c r="AM14" t="s">
        <v>365</v>
      </c>
      <c r="AN14" t="s">
        <v>366</v>
      </c>
      <c r="AO14" t="s">
        <v>4323</v>
      </c>
      <c r="AP14" t="s">
        <v>4324</v>
      </c>
      <c r="AQ14" t="s">
        <v>72</v>
      </c>
      <c r="AR14" t="s">
        <v>4325</v>
      </c>
      <c r="AS14" t="s">
        <v>4326</v>
      </c>
      <c r="AT14" t="s">
        <v>72</v>
      </c>
      <c r="AU14" t="s">
        <v>72</v>
      </c>
      <c r="AV14" t="s">
        <v>72</v>
      </c>
      <c r="AW14" t="s">
        <v>72</v>
      </c>
      <c r="AX14" t="s">
        <v>72</v>
      </c>
      <c r="AY14" t="s">
        <v>72</v>
      </c>
      <c r="AZ14" t="s">
        <v>72</v>
      </c>
      <c r="BA14" t="s">
        <v>72</v>
      </c>
      <c r="BB14" t="s">
        <v>72</v>
      </c>
      <c r="BC14" t="s">
        <v>72</v>
      </c>
      <c r="BD14" t="s">
        <v>72</v>
      </c>
      <c r="BE14" t="s">
        <v>4327</v>
      </c>
      <c r="BF14" t="str">
        <f>HYPERLINK("http://dx.doi.org/10.1080/13530194.2021.2023353","http://dx.doi.org/10.1080/13530194.2021.2023353")</f>
        <v>http://dx.doi.org/10.1080/13530194.2021.2023353</v>
      </c>
      <c r="BG14" t="s">
        <v>72</v>
      </c>
      <c r="BH14" t="s">
        <v>1832</v>
      </c>
      <c r="BI14">
        <v>19</v>
      </c>
      <c r="BJ14" t="s">
        <v>4328</v>
      </c>
      <c r="BK14" s="1" t="s">
        <v>17619</v>
      </c>
      <c r="BL14" t="s">
        <v>4329</v>
      </c>
      <c r="BM14" t="s">
        <v>72</v>
      </c>
      <c r="BN14" t="s">
        <v>72</v>
      </c>
      <c r="BO14" t="s">
        <v>72</v>
      </c>
      <c r="BP14" t="s">
        <v>72</v>
      </c>
      <c r="BQ14" t="s">
        <v>100</v>
      </c>
      <c r="BR14" t="s">
        <v>4330</v>
      </c>
      <c r="BS14" t="str">
        <f>HYPERLINK("https%3A%2F%2Fwww.webofscience.com%2Fwos%2Fwoscc%2Ffull-record%2FWOS:000750466400001","View Full Record in Web of Science")</f>
        <v>View Full Record in Web of Science</v>
      </c>
    </row>
    <row r="15" spans="1:71" x14ac:dyDescent="0.2">
      <c r="A15" t="s">
        <v>715</v>
      </c>
      <c r="B15" t="s">
        <v>4331</v>
      </c>
      <c r="C15" t="s">
        <v>72</v>
      </c>
      <c r="D15" t="s">
        <v>4332</v>
      </c>
      <c r="E15" t="s">
        <v>72</v>
      </c>
      <c r="F15" t="s">
        <v>4333</v>
      </c>
      <c r="G15" t="s">
        <v>72</v>
      </c>
      <c r="H15" t="s">
        <v>72</v>
      </c>
      <c r="I15" t="s">
        <v>4334</v>
      </c>
      <c r="J15" t="s">
        <v>4335</v>
      </c>
      <c r="K15" t="s">
        <v>4336</v>
      </c>
      <c r="L15" t="s">
        <v>72</v>
      </c>
      <c r="M15" t="s">
        <v>76</v>
      </c>
      <c r="N15" t="s">
        <v>567</v>
      </c>
      <c r="O15" t="s">
        <v>72</v>
      </c>
      <c r="P15" t="s">
        <v>72</v>
      </c>
      <c r="Q15" t="s">
        <v>72</v>
      </c>
      <c r="R15" t="s">
        <v>72</v>
      </c>
      <c r="S15" t="s">
        <v>72</v>
      </c>
      <c r="T15" t="s">
        <v>4337</v>
      </c>
      <c r="U15" t="s">
        <v>4338</v>
      </c>
      <c r="V15" t="s">
        <v>4339</v>
      </c>
      <c r="W15" t="s">
        <v>4340</v>
      </c>
      <c r="X15" t="s">
        <v>4341</v>
      </c>
      <c r="Y15" t="s">
        <v>4342</v>
      </c>
      <c r="Z15" t="s">
        <v>4343</v>
      </c>
      <c r="AA15" t="s">
        <v>4344</v>
      </c>
      <c r="AB15" t="s">
        <v>4345</v>
      </c>
      <c r="AC15" t="s">
        <v>72</v>
      </c>
      <c r="AD15" t="s">
        <v>72</v>
      </c>
      <c r="AE15" t="s">
        <v>72</v>
      </c>
      <c r="AF15" t="s">
        <v>72</v>
      </c>
      <c r="AG15">
        <v>50</v>
      </c>
      <c r="AH15">
        <v>0</v>
      </c>
      <c r="AI15">
        <v>0</v>
      </c>
      <c r="AJ15">
        <v>0</v>
      </c>
      <c r="AK15">
        <v>0</v>
      </c>
      <c r="AL15" t="s">
        <v>4346</v>
      </c>
      <c r="AM15" t="s">
        <v>2170</v>
      </c>
      <c r="AN15" t="s">
        <v>4347</v>
      </c>
      <c r="AO15" t="s">
        <v>4348</v>
      </c>
      <c r="AP15" t="s">
        <v>72</v>
      </c>
      <c r="AQ15" t="s">
        <v>4349</v>
      </c>
      <c r="AR15" t="s">
        <v>4350</v>
      </c>
      <c r="AS15" t="s">
        <v>72</v>
      </c>
      <c r="AT15" t="s">
        <v>72</v>
      </c>
      <c r="AU15">
        <v>2017</v>
      </c>
      <c r="AV15" t="s">
        <v>72</v>
      </c>
      <c r="AW15" t="s">
        <v>72</v>
      </c>
      <c r="AX15" t="s">
        <v>72</v>
      </c>
      <c r="AY15" t="s">
        <v>72</v>
      </c>
      <c r="AZ15" t="s">
        <v>72</v>
      </c>
      <c r="BA15" t="s">
        <v>72</v>
      </c>
      <c r="BB15">
        <v>57</v>
      </c>
      <c r="BC15">
        <v>82</v>
      </c>
      <c r="BD15" t="s">
        <v>72</v>
      </c>
      <c r="BE15" t="s">
        <v>4351</v>
      </c>
      <c r="BF15" t="str">
        <f>HYPERLINK("http://dx.doi.org/10.1007/978-4-431-56466-9_3","http://dx.doi.org/10.1007/978-4-431-56466-9_3")</f>
        <v>http://dx.doi.org/10.1007/978-4-431-56466-9_3</v>
      </c>
      <c r="BG15" t="s">
        <v>4352</v>
      </c>
      <c r="BH15" t="s">
        <v>72</v>
      </c>
      <c r="BI15">
        <v>26</v>
      </c>
      <c r="BJ15" t="s">
        <v>4353</v>
      </c>
      <c r="BK15" s="1" t="s">
        <v>17619</v>
      </c>
      <c r="BL15" t="s">
        <v>4354</v>
      </c>
      <c r="BM15" t="s">
        <v>72</v>
      </c>
      <c r="BN15" t="s">
        <v>72</v>
      </c>
      <c r="BO15" t="s">
        <v>72</v>
      </c>
      <c r="BP15" t="s">
        <v>72</v>
      </c>
      <c r="BQ15" t="s">
        <v>100</v>
      </c>
      <c r="BR15" t="s">
        <v>4355</v>
      </c>
      <c r="BS15" t="str">
        <f>HYPERLINK("https%3A%2F%2Fwww.webofscience.com%2Fwos%2Fwoscc%2Ffull-record%2FWOS:000417089900004","View Full Record in Web of Science")</f>
        <v>View Full Record in Web of Science</v>
      </c>
    </row>
    <row r="16" spans="1:71" x14ac:dyDescent="0.2">
      <c r="A16" t="s">
        <v>70</v>
      </c>
      <c r="B16" t="s">
        <v>1897</v>
      </c>
      <c r="C16" t="s">
        <v>72</v>
      </c>
      <c r="D16" t="s">
        <v>72</v>
      </c>
      <c r="E16" t="s">
        <v>72</v>
      </c>
      <c r="F16" t="s">
        <v>1898</v>
      </c>
      <c r="G16" t="s">
        <v>72</v>
      </c>
      <c r="H16" t="s">
        <v>72</v>
      </c>
      <c r="I16" t="s">
        <v>7740</v>
      </c>
      <c r="J16" t="s">
        <v>7741</v>
      </c>
      <c r="K16" t="s">
        <v>72</v>
      </c>
      <c r="L16" t="s">
        <v>72</v>
      </c>
      <c r="M16" t="s">
        <v>76</v>
      </c>
      <c r="N16" t="s">
        <v>77</v>
      </c>
      <c r="O16" t="s">
        <v>72</v>
      </c>
      <c r="P16" t="s">
        <v>72</v>
      </c>
      <c r="Q16" t="s">
        <v>72</v>
      </c>
      <c r="R16" t="s">
        <v>72</v>
      </c>
      <c r="S16" t="s">
        <v>72</v>
      </c>
      <c r="T16" t="s">
        <v>7742</v>
      </c>
      <c r="U16" t="s">
        <v>72</v>
      </c>
      <c r="V16" t="s">
        <v>7743</v>
      </c>
      <c r="W16" t="s">
        <v>7744</v>
      </c>
      <c r="X16" t="s">
        <v>1904</v>
      </c>
      <c r="Y16" t="s">
        <v>7745</v>
      </c>
      <c r="Z16" t="s">
        <v>7746</v>
      </c>
      <c r="AA16" t="s">
        <v>72</v>
      </c>
      <c r="AB16" t="s">
        <v>72</v>
      </c>
      <c r="AC16" t="s">
        <v>72</v>
      </c>
      <c r="AD16" t="s">
        <v>72</v>
      </c>
      <c r="AE16" t="s">
        <v>72</v>
      </c>
      <c r="AF16" t="s">
        <v>72</v>
      </c>
      <c r="AG16">
        <v>33</v>
      </c>
      <c r="AH16">
        <v>4</v>
      </c>
      <c r="AI16">
        <v>4</v>
      </c>
      <c r="AJ16">
        <v>0</v>
      </c>
      <c r="AK16">
        <v>10</v>
      </c>
      <c r="AL16" t="s">
        <v>7747</v>
      </c>
      <c r="AM16" t="s">
        <v>7748</v>
      </c>
      <c r="AN16" t="s">
        <v>7749</v>
      </c>
      <c r="AO16" t="s">
        <v>7750</v>
      </c>
      <c r="AP16" t="s">
        <v>72</v>
      </c>
      <c r="AQ16" t="s">
        <v>72</v>
      </c>
      <c r="AR16" t="s">
        <v>7751</v>
      </c>
      <c r="AS16" t="s">
        <v>7752</v>
      </c>
      <c r="AT16" t="s">
        <v>4105</v>
      </c>
      <c r="AU16">
        <v>2012</v>
      </c>
      <c r="AV16">
        <v>43</v>
      </c>
      <c r="AW16">
        <v>4</v>
      </c>
      <c r="AX16" t="s">
        <v>72</v>
      </c>
      <c r="AY16" t="s">
        <v>72</v>
      </c>
      <c r="AZ16" t="s">
        <v>72</v>
      </c>
      <c r="BA16" t="s">
        <v>72</v>
      </c>
      <c r="BB16">
        <v>649</v>
      </c>
      <c r="BC16">
        <v>674</v>
      </c>
      <c r="BD16" t="s">
        <v>72</v>
      </c>
      <c r="BE16" t="s">
        <v>72</v>
      </c>
      <c r="BF16" t="s">
        <v>72</v>
      </c>
      <c r="BG16" t="s">
        <v>72</v>
      </c>
      <c r="BH16" t="s">
        <v>72</v>
      </c>
      <c r="BI16">
        <v>26</v>
      </c>
      <c r="BJ16" t="s">
        <v>4353</v>
      </c>
      <c r="BK16" s="1" t="s">
        <v>17619</v>
      </c>
      <c r="BL16" t="s">
        <v>7753</v>
      </c>
      <c r="BM16" t="s">
        <v>72</v>
      </c>
      <c r="BN16" t="s">
        <v>72</v>
      </c>
      <c r="BO16" t="s">
        <v>72</v>
      </c>
      <c r="BP16" t="s">
        <v>72</v>
      </c>
      <c r="BQ16" t="s">
        <v>100</v>
      </c>
      <c r="BR16" t="s">
        <v>7754</v>
      </c>
      <c r="BS16" t="str">
        <f>HYPERLINK("https%3A%2F%2Fwww.webofscience.com%2Fwos%2Fwoscc%2Ffull-record%2FWOS:000313084000005","View Full Record in Web of Science")</f>
        <v>View Full Record in Web of Science</v>
      </c>
    </row>
    <row r="17" spans="1:71" x14ac:dyDescent="0.2">
      <c r="A17" t="s">
        <v>70</v>
      </c>
      <c r="B17" t="s">
        <v>3467</v>
      </c>
      <c r="C17" t="s">
        <v>72</v>
      </c>
      <c r="D17" t="s">
        <v>72</v>
      </c>
      <c r="E17" t="s">
        <v>72</v>
      </c>
      <c r="F17" t="s">
        <v>3468</v>
      </c>
      <c r="G17" t="s">
        <v>72</v>
      </c>
      <c r="H17" t="s">
        <v>72</v>
      </c>
      <c r="I17" t="s">
        <v>3469</v>
      </c>
      <c r="J17" t="s">
        <v>3470</v>
      </c>
      <c r="K17" t="s">
        <v>72</v>
      </c>
      <c r="L17" t="s">
        <v>72</v>
      </c>
      <c r="M17" t="s">
        <v>76</v>
      </c>
      <c r="N17" t="s">
        <v>3373</v>
      </c>
      <c r="O17" t="s">
        <v>72</v>
      </c>
      <c r="P17" t="s">
        <v>72</v>
      </c>
      <c r="Q17" t="s">
        <v>72</v>
      </c>
      <c r="R17" t="s">
        <v>72</v>
      </c>
      <c r="S17" t="s">
        <v>72</v>
      </c>
      <c r="T17" t="s">
        <v>72</v>
      </c>
      <c r="U17" t="s">
        <v>72</v>
      </c>
      <c r="V17" t="s">
        <v>72</v>
      </c>
      <c r="W17" t="s">
        <v>72</v>
      </c>
      <c r="X17" t="s">
        <v>72</v>
      </c>
      <c r="Y17" t="s">
        <v>72</v>
      </c>
      <c r="Z17" t="s">
        <v>72</v>
      </c>
      <c r="AA17" t="s">
        <v>3471</v>
      </c>
      <c r="AB17" t="s">
        <v>3472</v>
      </c>
      <c r="AC17" t="s">
        <v>72</v>
      </c>
      <c r="AD17" t="s">
        <v>72</v>
      </c>
      <c r="AE17" t="s">
        <v>72</v>
      </c>
      <c r="AF17" t="s">
        <v>72</v>
      </c>
      <c r="AG17">
        <v>1</v>
      </c>
      <c r="AH17">
        <v>0</v>
      </c>
      <c r="AI17">
        <v>0</v>
      </c>
      <c r="AJ17">
        <v>1</v>
      </c>
      <c r="AK17">
        <v>2</v>
      </c>
      <c r="AL17" t="s">
        <v>240</v>
      </c>
      <c r="AM17" t="s">
        <v>707</v>
      </c>
      <c r="AN17" t="s">
        <v>1205</v>
      </c>
      <c r="AO17" t="s">
        <v>3473</v>
      </c>
      <c r="AP17" t="s">
        <v>3474</v>
      </c>
      <c r="AQ17" t="s">
        <v>72</v>
      </c>
      <c r="AR17" t="s">
        <v>3475</v>
      </c>
      <c r="AS17" t="s">
        <v>3476</v>
      </c>
      <c r="AT17" t="s">
        <v>1602</v>
      </c>
      <c r="AU17">
        <v>2022</v>
      </c>
      <c r="AV17">
        <v>64</v>
      </c>
      <c r="AW17">
        <v>1</v>
      </c>
      <c r="AX17" t="s">
        <v>72</v>
      </c>
      <c r="AY17" t="s">
        <v>72</v>
      </c>
      <c r="AZ17" t="s">
        <v>72</v>
      </c>
      <c r="BA17" t="s">
        <v>72</v>
      </c>
      <c r="BB17">
        <v>174</v>
      </c>
      <c r="BC17">
        <v>175</v>
      </c>
      <c r="BD17" t="s">
        <v>72</v>
      </c>
      <c r="BE17" t="s">
        <v>3477</v>
      </c>
      <c r="BF17" t="str">
        <f>HYPERLINK("http://dx.doi.org/10.1017/lap.2021.66","http://dx.doi.org/10.1017/lap.2021.66")</f>
        <v>http://dx.doi.org/10.1017/lap.2021.66</v>
      </c>
      <c r="BG17" t="s">
        <v>72</v>
      </c>
      <c r="BH17" t="s">
        <v>1212</v>
      </c>
      <c r="BI17">
        <v>2</v>
      </c>
      <c r="BJ17" t="s">
        <v>3478</v>
      </c>
      <c r="BK17" s="1" t="s">
        <v>17619</v>
      </c>
      <c r="BL17" t="s">
        <v>3479</v>
      </c>
      <c r="BM17" t="s">
        <v>72</v>
      </c>
      <c r="BN17" t="s">
        <v>1497</v>
      </c>
      <c r="BO17" t="s">
        <v>72</v>
      </c>
      <c r="BP17" t="s">
        <v>72</v>
      </c>
      <c r="BQ17" t="s">
        <v>100</v>
      </c>
      <c r="BR17" t="s">
        <v>3480</v>
      </c>
      <c r="BS17" t="str">
        <f>HYPERLINK("https%3A%2F%2Fwww.webofscience.com%2Fwos%2Fwoscc%2Ffull-record%2FWOS:000750643300001","View Full Record in Web of Science")</f>
        <v>View Full Record in Web of Science</v>
      </c>
    </row>
    <row r="18" spans="1:71" x14ac:dyDescent="0.2">
      <c r="A18" t="s">
        <v>70</v>
      </c>
      <c r="B18" t="s">
        <v>3467</v>
      </c>
      <c r="C18" t="s">
        <v>72</v>
      </c>
      <c r="D18" t="s">
        <v>72</v>
      </c>
      <c r="E18" t="s">
        <v>72</v>
      </c>
      <c r="F18" t="s">
        <v>3468</v>
      </c>
      <c r="G18" t="s">
        <v>72</v>
      </c>
      <c r="H18" t="s">
        <v>72</v>
      </c>
      <c r="I18" t="s">
        <v>6457</v>
      </c>
      <c r="J18" t="s">
        <v>3470</v>
      </c>
      <c r="K18" t="s">
        <v>72</v>
      </c>
      <c r="L18" t="s">
        <v>72</v>
      </c>
      <c r="M18" t="s">
        <v>76</v>
      </c>
      <c r="N18" t="s">
        <v>77</v>
      </c>
      <c r="O18" t="s">
        <v>72</v>
      </c>
      <c r="P18" t="s">
        <v>72</v>
      </c>
      <c r="Q18" t="s">
        <v>72</v>
      </c>
      <c r="R18" t="s">
        <v>72</v>
      </c>
      <c r="S18" t="s">
        <v>72</v>
      </c>
      <c r="T18" t="s">
        <v>6458</v>
      </c>
      <c r="U18" t="s">
        <v>6459</v>
      </c>
      <c r="V18" t="s">
        <v>6460</v>
      </c>
      <c r="W18" t="s">
        <v>6461</v>
      </c>
      <c r="X18" t="s">
        <v>6462</v>
      </c>
      <c r="Y18" t="s">
        <v>6463</v>
      </c>
      <c r="Z18" t="s">
        <v>6464</v>
      </c>
      <c r="AA18" t="s">
        <v>72</v>
      </c>
      <c r="AB18" t="s">
        <v>6465</v>
      </c>
      <c r="AC18" t="s">
        <v>6466</v>
      </c>
      <c r="AD18" t="s">
        <v>6467</v>
      </c>
      <c r="AE18" t="s">
        <v>6468</v>
      </c>
      <c r="AF18" t="s">
        <v>72</v>
      </c>
      <c r="AG18">
        <v>58</v>
      </c>
      <c r="AH18">
        <v>1</v>
      </c>
      <c r="AI18">
        <v>2</v>
      </c>
      <c r="AJ18">
        <v>0</v>
      </c>
      <c r="AK18">
        <v>6</v>
      </c>
      <c r="AL18" t="s">
        <v>240</v>
      </c>
      <c r="AM18" t="s">
        <v>707</v>
      </c>
      <c r="AN18" t="s">
        <v>1205</v>
      </c>
      <c r="AO18" t="s">
        <v>3473</v>
      </c>
      <c r="AP18" t="s">
        <v>3474</v>
      </c>
      <c r="AQ18" t="s">
        <v>72</v>
      </c>
      <c r="AR18" t="s">
        <v>3475</v>
      </c>
      <c r="AS18" t="s">
        <v>3476</v>
      </c>
      <c r="AT18" t="s">
        <v>1602</v>
      </c>
      <c r="AU18">
        <v>2021</v>
      </c>
      <c r="AV18">
        <v>63</v>
      </c>
      <c r="AW18">
        <v>1</v>
      </c>
      <c r="AX18" t="s">
        <v>72</v>
      </c>
      <c r="AY18" t="s">
        <v>72</v>
      </c>
      <c r="AZ18" t="s">
        <v>72</v>
      </c>
      <c r="BA18" t="s">
        <v>72</v>
      </c>
      <c r="BB18">
        <v>145</v>
      </c>
      <c r="BC18">
        <v>164</v>
      </c>
      <c r="BD18" t="s">
        <v>6469</v>
      </c>
      <c r="BE18" t="s">
        <v>6470</v>
      </c>
      <c r="BF18" t="str">
        <f>HYPERLINK("http://dx.doi.org/10.1017/lap.2020.36","http://dx.doi.org/10.1017/lap.2020.36")</f>
        <v>http://dx.doi.org/10.1017/lap.2020.36</v>
      </c>
      <c r="BG18" t="s">
        <v>72</v>
      </c>
      <c r="BH18" t="s">
        <v>72</v>
      </c>
      <c r="BI18">
        <v>20</v>
      </c>
      <c r="BJ18" t="s">
        <v>3478</v>
      </c>
      <c r="BK18" s="1" t="s">
        <v>17619</v>
      </c>
      <c r="BL18" t="s">
        <v>6471</v>
      </c>
      <c r="BM18" t="s">
        <v>72</v>
      </c>
      <c r="BN18" t="s">
        <v>72</v>
      </c>
      <c r="BO18" t="s">
        <v>72</v>
      </c>
      <c r="BP18" t="s">
        <v>72</v>
      </c>
      <c r="BQ18" t="s">
        <v>100</v>
      </c>
      <c r="BR18" t="s">
        <v>6472</v>
      </c>
      <c r="BS18" t="str">
        <f>HYPERLINK("https%3A%2F%2Fwww.webofscience.com%2Fwos%2Fwoscc%2Ffull-record%2FWOS:000616287900007","View Full Record in Web of Science")</f>
        <v>View Full Record in Web of Science</v>
      </c>
    </row>
    <row r="19" spans="1:71" x14ac:dyDescent="0.2">
      <c r="A19" t="s">
        <v>70</v>
      </c>
      <c r="B19" t="s">
        <v>7013</v>
      </c>
      <c r="C19" t="s">
        <v>72</v>
      </c>
      <c r="D19" t="s">
        <v>72</v>
      </c>
      <c r="E19" t="s">
        <v>72</v>
      </c>
      <c r="F19" t="s">
        <v>7014</v>
      </c>
      <c r="G19" t="s">
        <v>72</v>
      </c>
      <c r="H19" t="s">
        <v>72</v>
      </c>
      <c r="I19" t="s">
        <v>7015</v>
      </c>
      <c r="J19" t="s">
        <v>7016</v>
      </c>
      <c r="K19" t="s">
        <v>72</v>
      </c>
      <c r="L19" t="s">
        <v>72</v>
      </c>
      <c r="M19" t="s">
        <v>76</v>
      </c>
      <c r="N19" t="s">
        <v>352</v>
      </c>
      <c r="O19" t="s">
        <v>72</v>
      </c>
      <c r="P19" t="s">
        <v>72</v>
      </c>
      <c r="Q19" t="s">
        <v>72</v>
      </c>
      <c r="R19" t="s">
        <v>72</v>
      </c>
      <c r="S19" t="s">
        <v>72</v>
      </c>
      <c r="T19" t="s">
        <v>7017</v>
      </c>
      <c r="U19" t="s">
        <v>7018</v>
      </c>
      <c r="V19" t="s">
        <v>7019</v>
      </c>
      <c r="W19" t="s">
        <v>7020</v>
      </c>
      <c r="X19" t="s">
        <v>7021</v>
      </c>
      <c r="Y19" t="s">
        <v>7022</v>
      </c>
      <c r="Z19" t="s">
        <v>2735</v>
      </c>
      <c r="AA19" t="s">
        <v>72</v>
      </c>
      <c r="AB19" t="s">
        <v>7023</v>
      </c>
      <c r="AC19" t="s">
        <v>7024</v>
      </c>
      <c r="AD19" t="s">
        <v>7025</v>
      </c>
      <c r="AE19" t="s">
        <v>7026</v>
      </c>
      <c r="AF19" t="s">
        <v>72</v>
      </c>
      <c r="AG19">
        <v>44</v>
      </c>
      <c r="AH19">
        <v>0</v>
      </c>
      <c r="AI19">
        <v>0</v>
      </c>
      <c r="AJ19">
        <v>1</v>
      </c>
      <c r="AK19">
        <v>1</v>
      </c>
      <c r="AL19" t="s">
        <v>364</v>
      </c>
      <c r="AM19" t="s">
        <v>365</v>
      </c>
      <c r="AN19" t="s">
        <v>366</v>
      </c>
      <c r="AO19" t="s">
        <v>7027</v>
      </c>
      <c r="AP19" t="s">
        <v>7028</v>
      </c>
      <c r="AQ19" t="s">
        <v>72</v>
      </c>
      <c r="AR19" t="s">
        <v>7029</v>
      </c>
      <c r="AS19" t="s">
        <v>7030</v>
      </c>
      <c r="AT19" t="s">
        <v>72</v>
      </c>
      <c r="AU19" t="s">
        <v>72</v>
      </c>
      <c r="AV19" t="s">
        <v>72</v>
      </c>
      <c r="AW19" t="s">
        <v>72</v>
      </c>
      <c r="AX19" t="s">
        <v>72</v>
      </c>
      <c r="AY19" t="s">
        <v>72</v>
      </c>
      <c r="AZ19" t="s">
        <v>72</v>
      </c>
      <c r="BA19" t="s">
        <v>72</v>
      </c>
      <c r="BB19" t="s">
        <v>72</v>
      </c>
      <c r="BC19" t="s">
        <v>72</v>
      </c>
      <c r="BD19" t="s">
        <v>72</v>
      </c>
      <c r="BE19" t="s">
        <v>7031</v>
      </c>
      <c r="BF19" t="str">
        <f>HYPERLINK("http://dx.doi.org/10.1080/14782804.2022.2109605","http://dx.doi.org/10.1080/14782804.2022.2109605")</f>
        <v>http://dx.doi.org/10.1080/14782804.2022.2109605</v>
      </c>
      <c r="BG19" t="s">
        <v>72</v>
      </c>
      <c r="BH19" t="s">
        <v>1072</v>
      </c>
      <c r="BI19">
        <v>14</v>
      </c>
      <c r="BJ19" t="s">
        <v>3478</v>
      </c>
      <c r="BK19" s="1" t="s">
        <v>17619</v>
      </c>
      <c r="BL19" t="s">
        <v>7032</v>
      </c>
      <c r="BM19" t="s">
        <v>72</v>
      </c>
      <c r="BN19" t="s">
        <v>280</v>
      </c>
      <c r="BO19" t="s">
        <v>72</v>
      </c>
      <c r="BP19" t="s">
        <v>72</v>
      </c>
      <c r="BQ19" t="s">
        <v>100</v>
      </c>
      <c r="BR19" t="s">
        <v>7033</v>
      </c>
      <c r="BS19" t="str">
        <f>HYPERLINK("https%3A%2F%2Fwww.webofscience.com%2Fwos%2Fwoscc%2Ffull-record%2FWOS:000843096800001","View Full Record in Web of Science")</f>
        <v>View Full Record in Web of Science</v>
      </c>
    </row>
    <row r="20" spans="1:71" x14ac:dyDescent="0.2">
      <c r="A20" t="s">
        <v>70</v>
      </c>
      <c r="B20" t="s">
        <v>12374</v>
      </c>
      <c r="C20" t="s">
        <v>72</v>
      </c>
      <c r="D20" t="s">
        <v>72</v>
      </c>
      <c r="E20" t="s">
        <v>72</v>
      </c>
      <c r="F20" t="s">
        <v>12375</v>
      </c>
      <c r="G20" t="s">
        <v>72</v>
      </c>
      <c r="H20" t="s">
        <v>72</v>
      </c>
      <c r="I20" t="s">
        <v>12376</v>
      </c>
      <c r="J20" t="s">
        <v>7016</v>
      </c>
      <c r="K20" t="s">
        <v>72</v>
      </c>
      <c r="L20" t="s">
        <v>72</v>
      </c>
      <c r="M20" t="s">
        <v>76</v>
      </c>
      <c r="N20" t="s">
        <v>77</v>
      </c>
      <c r="O20" t="s">
        <v>72</v>
      </c>
      <c r="P20" t="s">
        <v>72</v>
      </c>
      <c r="Q20" t="s">
        <v>72</v>
      </c>
      <c r="R20" t="s">
        <v>72</v>
      </c>
      <c r="S20" t="s">
        <v>72</v>
      </c>
      <c r="T20" t="s">
        <v>12377</v>
      </c>
      <c r="U20" t="s">
        <v>12378</v>
      </c>
      <c r="V20" t="s">
        <v>12379</v>
      </c>
      <c r="W20" t="s">
        <v>12380</v>
      </c>
      <c r="X20" t="s">
        <v>12381</v>
      </c>
      <c r="Y20" t="s">
        <v>12382</v>
      </c>
      <c r="Z20" t="s">
        <v>12383</v>
      </c>
      <c r="AA20" t="s">
        <v>12384</v>
      </c>
      <c r="AB20" t="s">
        <v>12385</v>
      </c>
      <c r="AC20" t="s">
        <v>72</v>
      </c>
      <c r="AD20" t="s">
        <v>72</v>
      </c>
      <c r="AE20" t="s">
        <v>72</v>
      </c>
      <c r="AF20" t="s">
        <v>72</v>
      </c>
      <c r="AG20">
        <v>48</v>
      </c>
      <c r="AH20">
        <v>2</v>
      </c>
      <c r="AI20">
        <v>2</v>
      </c>
      <c r="AJ20">
        <v>0</v>
      </c>
      <c r="AK20">
        <v>9</v>
      </c>
      <c r="AL20" t="s">
        <v>364</v>
      </c>
      <c r="AM20" t="s">
        <v>365</v>
      </c>
      <c r="AN20" t="s">
        <v>366</v>
      </c>
      <c r="AO20" t="s">
        <v>7027</v>
      </c>
      <c r="AP20" t="s">
        <v>7028</v>
      </c>
      <c r="AQ20" t="s">
        <v>72</v>
      </c>
      <c r="AR20" t="s">
        <v>7029</v>
      </c>
      <c r="AS20" t="s">
        <v>7030</v>
      </c>
      <c r="AT20" t="s">
        <v>3100</v>
      </c>
      <c r="AU20">
        <v>2021</v>
      </c>
      <c r="AV20">
        <v>29</v>
      </c>
      <c r="AW20">
        <v>4</v>
      </c>
      <c r="AX20" t="s">
        <v>72</v>
      </c>
      <c r="AY20" t="s">
        <v>72</v>
      </c>
      <c r="AZ20" t="s">
        <v>478</v>
      </c>
      <c r="BA20" t="s">
        <v>72</v>
      </c>
      <c r="BB20">
        <v>502</v>
      </c>
      <c r="BC20">
        <v>518</v>
      </c>
      <c r="BD20" t="s">
        <v>72</v>
      </c>
      <c r="BE20" t="s">
        <v>12386</v>
      </c>
      <c r="BF20" t="str">
        <f>HYPERLINK("http://dx.doi.org/10.1080/14782804.2020.1825352","http://dx.doi.org/10.1080/14782804.2020.1825352")</f>
        <v>http://dx.doi.org/10.1080/14782804.2020.1825352</v>
      </c>
      <c r="BG20" t="s">
        <v>72</v>
      </c>
      <c r="BH20" t="s">
        <v>2703</v>
      </c>
      <c r="BI20">
        <v>17</v>
      </c>
      <c r="BJ20" t="s">
        <v>3478</v>
      </c>
      <c r="BK20" s="1" t="s">
        <v>17619</v>
      </c>
      <c r="BL20" t="s">
        <v>12387</v>
      </c>
      <c r="BM20" t="s">
        <v>72</v>
      </c>
      <c r="BN20" t="s">
        <v>8787</v>
      </c>
      <c r="BO20" t="s">
        <v>72</v>
      </c>
      <c r="BP20" t="s">
        <v>72</v>
      </c>
      <c r="BQ20" t="s">
        <v>100</v>
      </c>
      <c r="BR20" t="s">
        <v>12388</v>
      </c>
      <c r="BS20" t="str">
        <f>HYPERLINK("https%3A%2F%2Fwww.webofscience.com%2Fwos%2Fwoscc%2Ffull-record%2FWOS:000574237400001","View Full Record in Web of Science")</f>
        <v>View Full Record in Web of Science</v>
      </c>
    </row>
    <row r="21" spans="1:71" x14ac:dyDescent="0.2">
      <c r="A21" t="s">
        <v>70</v>
      </c>
      <c r="B21" t="s">
        <v>13731</v>
      </c>
      <c r="C21" t="s">
        <v>72</v>
      </c>
      <c r="D21" t="s">
        <v>72</v>
      </c>
      <c r="E21" t="s">
        <v>72</v>
      </c>
      <c r="F21" t="s">
        <v>13732</v>
      </c>
      <c r="G21" t="s">
        <v>72</v>
      </c>
      <c r="H21" t="s">
        <v>72</v>
      </c>
      <c r="I21" t="s">
        <v>13733</v>
      </c>
      <c r="J21" t="s">
        <v>13734</v>
      </c>
      <c r="K21" t="s">
        <v>72</v>
      </c>
      <c r="L21" t="s">
        <v>72</v>
      </c>
      <c r="M21" t="s">
        <v>76</v>
      </c>
      <c r="N21" t="s">
        <v>77</v>
      </c>
      <c r="O21" t="s">
        <v>72</v>
      </c>
      <c r="P21" t="s">
        <v>72</v>
      </c>
      <c r="Q21" t="s">
        <v>72</v>
      </c>
      <c r="R21" t="s">
        <v>72</v>
      </c>
      <c r="S21" t="s">
        <v>72</v>
      </c>
      <c r="T21" t="s">
        <v>13735</v>
      </c>
      <c r="U21" t="s">
        <v>72</v>
      </c>
      <c r="V21" t="s">
        <v>13736</v>
      </c>
      <c r="W21" t="s">
        <v>13737</v>
      </c>
      <c r="X21" t="s">
        <v>13738</v>
      </c>
      <c r="Y21" t="s">
        <v>13739</v>
      </c>
      <c r="Z21" t="s">
        <v>13740</v>
      </c>
      <c r="AA21" t="s">
        <v>72</v>
      </c>
      <c r="AB21" t="s">
        <v>72</v>
      </c>
      <c r="AC21" t="s">
        <v>72</v>
      </c>
      <c r="AD21" t="s">
        <v>72</v>
      </c>
      <c r="AE21" t="s">
        <v>72</v>
      </c>
      <c r="AF21" t="s">
        <v>72</v>
      </c>
      <c r="AG21">
        <v>35</v>
      </c>
      <c r="AH21">
        <v>5</v>
      </c>
      <c r="AI21">
        <v>7</v>
      </c>
      <c r="AJ21">
        <v>1</v>
      </c>
      <c r="AK21">
        <v>1</v>
      </c>
      <c r="AL21" t="s">
        <v>2073</v>
      </c>
      <c r="AM21" t="s">
        <v>365</v>
      </c>
      <c r="AN21" t="s">
        <v>2074</v>
      </c>
      <c r="AO21" t="s">
        <v>13741</v>
      </c>
      <c r="AP21" t="s">
        <v>13742</v>
      </c>
      <c r="AQ21" t="s">
        <v>72</v>
      </c>
      <c r="AR21" t="s">
        <v>13743</v>
      </c>
      <c r="AS21" t="s">
        <v>13744</v>
      </c>
      <c r="AT21" t="s">
        <v>1830</v>
      </c>
      <c r="AU21">
        <v>2019</v>
      </c>
      <c r="AV21">
        <v>7</v>
      </c>
      <c r="AW21">
        <v>2</v>
      </c>
      <c r="AX21" t="s">
        <v>72</v>
      </c>
      <c r="AY21" t="s">
        <v>72</v>
      </c>
      <c r="AZ21" t="s">
        <v>72</v>
      </c>
      <c r="BA21" t="s">
        <v>72</v>
      </c>
      <c r="BB21">
        <v>95</v>
      </c>
      <c r="BC21">
        <v>109</v>
      </c>
      <c r="BD21" t="s">
        <v>72</v>
      </c>
      <c r="BE21" t="s">
        <v>13745</v>
      </c>
      <c r="BF21" t="str">
        <f>HYPERLINK("http://dx.doi.org/10.1080/23761199.2019.1567145","http://dx.doi.org/10.1080/23761199.2019.1567145")</f>
        <v>http://dx.doi.org/10.1080/23761199.2019.1567145</v>
      </c>
      <c r="BG21" t="s">
        <v>72</v>
      </c>
      <c r="BH21" t="s">
        <v>72</v>
      </c>
      <c r="BI21">
        <v>15</v>
      </c>
      <c r="BJ21" t="s">
        <v>3478</v>
      </c>
      <c r="BK21" s="1" t="s">
        <v>17619</v>
      </c>
      <c r="BL21" t="s">
        <v>13746</v>
      </c>
      <c r="BM21" t="s">
        <v>72</v>
      </c>
      <c r="BN21" t="s">
        <v>72</v>
      </c>
      <c r="BO21" t="s">
        <v>72</v>
      </c>
      <c r="BP21" t="s">
        <v>72</v>
      </c>
      <c r="BQ21" t="s">
        <v>100</v>
      </c>
      <c r="BR21" t="s">
        <v>13747</v>
      </c>
      <c r="BS21" t="str">
        <f>HYPERLINK("https%3A%2F%2Fwww.webofscience.com%2Fwos%2Fwoscc%2Ffull-record%2FWOS:000667220200001","View Full Record in Web of Science")</f>
        <v>View Full Record in Web of Science</v>
      </c>
    </row>
    <row r="22" spans="1:71" hidden="1" x14ac:dyDescent="0.2">
      <c r="A22" t="s">
        <v>70</v>
      </c>
      <c r="B22" t="s">
        <v>12844</v>
      </c>
      <c r="C22" t="s">
        <v>72</v>
      </c>
      <c r="D22" t="s">
        <v>72</v>
      </c>
      <c r="E22" t="s">
        <v>72</v>
      </c>
      <c r="F22" t="s">
        <v>12845</v>
      </c>
      <c r="G22" t="s">
        <v>72</v>
      </c>
      <c r="H22" t="s">
        <v>72</v>
      </c>
      <c r="I22" t="s">
        <v>12846</v>
      </c>
      <c r="J22" t="s">
        <v>12847</v>
      </c>
      <c r="K22" t="s">
        <v>72</v>
      </c>
      <c r="L22" t="s">
        <v>72</v>
      </c>
      <c r="M22" t="s">
        <v>76</v>
      </c>
      <c r="N22" t="s">
        <v>77</v>
      </c>
      <c r="O22" t="s">
        <v>72</v>
      </c>
      <c r="P22" t="s">
        <v>72</v>
      </c>
      <c r="Q22" t="s">
        <v>72</v>
      </c>
      <c r="R22" t="s">
        <v>72</v>
      </c>
      <c r="S22" t="s">
        <v>72</v>
      </c>
      <c r="T22" t="s">
        <v>12848</v>
      </c>
      <c r="U22" t="s">
        <v>12849</v>
      </c>
      <c r="V22" t="s">
        <v>12850</v>
      </c>
      <c r="W22" t="s">
        <v>12851</v>
      </c>
      <c r="X22" t="s">
        <v>12852</v>
      </c>
      <c r="Y22" t="s">
        <v>12853</v>
      </c>
      <c r="Z22" t="s">
        <v>12854</v>
      </c>
      <c r="AA22" t="s">
        <v>12855</v>
      </c>
      <c r="AB22" t="s">
        <v>12856</v>
      </c>
      <c r="AC22" t="s">
        <v>12857</v>
      </c>
      <c r="AD22" t="s">
        <v>12858</v>
      </c>
      <c r="AE22" t="s">
        <v>12859</v>
      </c>
      <c r="AF22" t="s">
        <v>72</v>
      </c>
      <c r="AG22">
        <v>58</v>
      </c>
      <c r="AH22">
        <v>3</v>
      </c>
      <c r="AI22">
        <v>3</v>
      </c>
      <c r="AJ22">
        <v>2</v>
      </c>
      <c r="AK22">
        <v>8</v>
      </c>
      <c r="AL22" t="s">
        <v>88</v>
      </c>
      <c r="AM22" t="s">
        <v>89</v>
      </c>
      <c r="AN22" t="s">
        <v>90</v>
      </c>
      <c r="AO22" t="s">
        <v>12860</v>
      </c>
      <c r="AP22" t="s">
        <v>12861</v>
      </c>
      <c r="AQ22" t="s">
        <v>72</v>
      </c>
      <c r="AR22" t="s">
        <v>12862</v>
      </c>
      <c r="AS22" t="s">
        <v>12863</v>
      </c>
      <c r="AT22" t="s">
        <v>639</v>
      </c>
      <c r="AU22">
        <v>2019</v>
      </c>
      <c r="AV22">
        <v>12</v>
      </c>
      <c r="AW22">
        <v>2</v>
      </c>
      <c r="AX22" t="s">
        <v>72</v>
      </c>
      <c r="AY22" t="s">
        <v>72</v>
      </c>
      <c r="AZ22" t="s">
        <v>72</v>
      </c>
      <c r="BA22" t="s">
        <v>72</v>
      </c>
      <c r="BB22">
        <v>289</v>
      </c>
      <c r="BC22">
        <v>304</v>
      </c>
      <c r="BD22" t="s">
        <v>72</v>
      </c>
      <c r="BE22" t="s">
        <v>12864</v>
      </c>
      <c r="BF22" t="str">
        <f>HYPERLINK("http://dx.doi.org/10.1007/s12304-019-09353-z","http://dx.doi.org/10.1007/s12304-019-09353-z")</f>
        <v>http://dx.doi.org/10.1007/s12304-019-09353-z</v>
      </c>
      <c r="BG22" t="s">
        <v>72</v>
      </c>
      <c r="BH22" t="s">
        <v>72</v>
      </c>
      <c r="BI22">
        <v>16</v>
      </c>
      <c r="BJ22" t="s">
        <v>12865</v>
      </c>
      <c r="BK22" s="1" t="s">
        <v>17621</v>
      </c>
      <c r="BL22" t="s">
        <v>12866</v>
      </c>
      <c r="BM22" t="s">
        <v>72</v>
      </c>
      <c r="BN22" t="s">
        <v>72</v>
      </c>
      <c r="BO22" t="s">
        <v>72</v>
      </c>
      <c r="BP22" t="s">
        <v>72</v>
      </c>
      <c r="BQ22" t="s">
        <v>100</v>
      </c>
      <c r="BR22" t="s">
        <v>12867</v>
      </c>
      <c r="BS22" t="str">
        <f>HYPERLINK("https%3A%2F%2Fwww.webofscience.com%2Fwos%2Fwoscc%2Ffull-record%2FWOS:000483695600006","View Full Record in Web of Science")</f>
        <v>View Full Record in Web of Science</v>
      </c>
    </row>
    <row r="23" spans="1:71" hidden="1" x14ac:dyDescent="0.2">
      <c r="A23" t="s">
        <v>70</v>
      </c>
      <c r="B23" t="s">
        <v>2857</v>
      </c>
      <c r="C23" t="s">
        <v>72</v>
      </c>
      <c r="D23" t="s">
        <v>72</v>
      </c>
      <c r="E23" t="s">
        <v>72</v>
      </c>
      <c r="F23" t="s">
        <v>2858</v>
      </c>
      <c r="G23" t="s">
        <v>72</v>
      </c>
      <c r="H23" t="s">
        <v>72</v>
      </c>
      <c r="I23" t="s">
        <v>2846</v>
      </c>
      <c r="J23" t="s">
        <v>2859</v>
      </c>
      <c r="K23" t="s">
        <v>72</v>
      </c>
      <c r="L23" t="s">
        <v>72</v>
      </c>
      <c r="M23" t="s">
        <v>76</v>
      </c>
      <c r="N23" t="s">
        <v>2834</v>
      </c>
      <c r="O23" t="s">
        <v>72</v>
      </c>
      <c r="P23" t="s">
        <v>72</v>
      </c>
      <c r="Q23" t="s">
        <v>72</v>
      </c>
      <c r="R23" t="s">
        <v>72</v>
      </c>
      <c r="S23" t="s">
        <v>72</v>
      </c>
      <c r="T23" t="s">
        <v>72</v>
      </c>
      <c r="U23" t="s">
        <v>72</v>
      </c>
      <c r="V23" t="s">
        <v>72</v>
      </c>
      <c r="W23" t="s">
        <v>2860</v>
      </c>
      <c r="X23" t="s">
        <v>2861</v>
      </c>
      <c r="Y23" t="s">
        <v>2862</v>
      </c>
      <c r="Z23" t="s">
        <v>72</v>
      </c>
      <c r="AA23" t="s">
        <v>72</v>
      </c>
      <c r="AB23" t="s">
        <v>72</v>
      </c>
      <c r="AC23" t="s">
        <v>72</v>
      </c>
      <c r="AD23" t="s">
        <v>72</v>
      </c>
      <c r="AE23" t="s">
        <v>72</v>
      </c>
      <c r="AF23" t="s">
        <v>72</v>
      </c>
      <c r="AG23">
        <v>2</v>
      </c>
      <c r="AH23">
        <v>0</v>
      </c>
      <c r="AI23">
        <v>0</v>
      </c>
      <c r="AJ23">
        <v>1</v>
      </c>
      <c r="AK23">
        <v>1</v>
      </c>
      <c r="AL23" t="s">
        <v>879</v>
      </c>
      <c r="AM23" t="s">
        <v>451</v>
      </c>
      <c r="AN23" t="s">
        <v>880</v>
      </c>
      <c r="AO23" t="s">
        <v>2863</v>
      </c>
      <c r="AP23" t="s">
        <v>2864</v>
      </c>
      <c r="AQ23" t="s">
        <v>72</v>
      </c>
      <c r="AR23" t="s">
        <v>2865</v>
      </c>
      <c r="AS23" t="s">
        <v>2866</v>
      </c>
      <c r="AT23" t="s">
        <v>72</v>
      </c>
      <c r="AU23" t="s">
        <v>72</v>
      </c>
      <c r="AV23" t="s">
        <v>72</v>
      </c>
      <c r="AW23" t="s">
        <v>72</v>
      </c>
      <c r="AX23" t="s">
        <v>72</v>
      </c>
      <c r="AY23" t="s">
        <v>72</v>
      </c>
      <c r="AZ23" t="s">
        <v>72</v>
      </c>
      <c r="BA23" t="s">
        <v>72</v>
      </c>
      <c r="BB23" t="s">
        <v>72</v>
      </c>
      <c r="BC23" t="s">
        <v>72</v>
      </c>
      <c r="BD23" t="s">
        <v>72</v>
      </c>
      <c r="BE23" t="s">
        <v>2867</v>
      </c>
      <c r="BF23" t="str">
        <f>HYPERLINK("http://dx.doi.org/10.1093/llc/fqac068","http://dx.doi.org/10.1093/llc/fqac068")</f>
        <v>http://dx.doi.org/10.1093/llc/fqac068</v>
      </c>
      <c r="BG23" t="s">
        <v>72</v>
      </c>
      <c r="BH23" t="s">
        <v>2868</v>
      </c>
      <c r="BI23">
        <v>3</v>
      </c>
      <c r="BJ23" t="s">
        <v>2869</v>
      </c>
      <c r="BK23" s="1" t="s">
        <v>17621</v>
      </c>
      <c r="BL23" t="s">
        <v>2870</v>
      </c>
      <c r="BM23" t="s">
        <v>72</v>
      </c>
      <c r="BN23" t="s">
        <v>72</v>
      </c>
      <c r="BO23" t="s">
        <v>72</v>
      </c>
      <c r="BP23" t="s">
        <v>72</v>
      </c>
      <c r="BQ23" t="s">
        <v>100</v>
      </c>
      <c r="BR23" t="s">
        <v>2871</v>
      </c>
      <c r="BS23" t="str">
        <f>HYPERLINK("https%3A%2F%2Fwww.webofscience.com%2Fwos%2Fwoscc%2Ffull-record%2FWOS:000869335500001","View Full Record in Web of Science")</f>
        <v>View Full Record in Web of Science</v>
      </c>
    </row>
    <row r="24" spans="1:71" hidden="1" x14ac:dyDescent="0.2">
      <c r="A24" t="s">
        <v>70</v>
      </c>
      <c r="B24" t="s">
        <v>16187</v>
      </c>
      <c r="C24" t="s">
        <v>72</v>
      </c>
      <c r="D24" t="s">
        <v>72</v>
      </c>
      <c r="E24" t="s">
        <v>72</v>
      </c>
      <c r="F24" t="s">
        <v>16188</v>
      </c>
      <c r="G24" t="s">
        <v>72</v>
      </c>
      <c r="H24" t="s">
        <v>72</v>
      </c>
      <c r="I24" t="s">
        <v>16189</v>
      </c>
      <c r="J24" t="s">
        <v>2859</v>
      </c>
      <c r="K24" t="s">
        <v>72</v>
      </c>
      <c r="L24" t="s">
        <v>72</v>
      </c>
      <c r="M24" t="s">
        <v>76</v>
      </c>
      <c r="N24" t="s">
        <v>77</v>
      </c>
      <c r="O24" t="s">
        <v>72</v>
      </c>
      <c r="P24" t="s">
        <v>72</v>
      </c>
      <c r="Q24" t="s">
        <v>72</v>
      </c>
      <c r="R24" t="s">
        <v>72</v>
      </c>
      <c r="S24" t="s">
        <v>72</v>
      </c>
      <c r="T24" t="s">
        <v>72</v>
      </c>
      <c r="U24" t="s">
        <v>72</v>
      </c>
      <c r="V24" t="s">
        <v>16190</v>
      </c>
      <c r="W24" t="s">
        <v>16191</v>
      </c>
      <c r="X24" t="s">
        <v>16192</v>
      </c>
      <c r="Y24" t="s">
        <v>16193</v>
      </c>
      <c r="Z24" t="s">
        <v>16194</v>
      </c>
      <c r="AA24" t="s">
        <v>72</v>
      </c>
      <c r="AB24" t="s">
        <v>72</v>
      </c>
      <c r="AC24" t="s">
        <v>16195</v>
      </c>
      <c r="AD24" t="s">
        <v>16195</v>
      </c>
      <c r="AE24" t="s">
        <v>16196</v>
      </c>
      <c r="AF24" t="s">
        <v>72</v>
      </c>
      <c r="AG24">
        <v>42</v>
      </c>
      <c r="AH24">
        <v>0</v>
      </c>
      <c r="AI24">
        <v>0</v>
      </c>
      <c r="AJ24">
        <v>2</v>
      </c>
      <c r="AK24">
        <v>5</v>
      </c>
      <c r="AL24" t="s">
        <v>879</v>
      </c>
      <c r="AM24" t="s">
        <v>451</v>
      </c>
      <c r="AN24" t="s">
        <v>880</v>
      </c>
      <c r="AO24" t="s">
        <v>2863</v>
      </c>
      <c r="AP24" t="s">
        <v>2864</v>
      </c>
      <c r="AQ24" t="s">
        <v>72</v>
      </c>
      <c r="AR24" t="s">
        <v>2865</v>
      </c>
      <c r="AS24" t="s">
        <v>2866</v>
      </c>
      <c r="AT24" t="s">
        <v>929</v>
      </c>
      <c r="AU24">
        <v>2021</v>
      </c>
      <c r="AV24">
        <v>36</v>
      </c>
      <c r="AW24">
        <v>4</v>
      </c>
      <c r="AX24" t="s">
        <v>72</v>
      </c>
      <c r="AY24" t="s">
        <v>72</v>
      </c>
      <c r="AZ24" t="s">
        <v>72</v>
      </c>
      <c r="BA24" t="s">
        <v>72</v>
      </c>
      <c r="BB24">
        <v>950</v>
      </c>
      <c r="BC24">
        <v>970</v>
      </c>
      <c r="BD24" t="s">
        <v>72</v>
      </c>
      <c r="BE24" t="s">
        <v>16197</v>
      </c>
      <c r="BF24" t="str">
        <f>HYPERLINK("http://dx.doi.org/10.1093/llc/fqab011","http://dx.doi.org/10.1093/llc/fqab011")</f>
        <v>http://dx.doi.org/10.1093/llc/fqab011</v>
      </c>
      <c r="BG24" t="s">
        <v>72</v>
      </c>
      <c r="BH24" t="s">
        <v>344</v>
      </c>
      <c r="BI24">
        <v>21</v>
      </c>
      <c r="BJ24" t="s">
        <v>2869</v>
      </c>
      <c r="BK24" s="1" t="s">
        <v>17621</v>
      </c>
      <c r="BL24" t="s">
        <v>16198</v>
      </c>
      <c r="BM24" t="s">
        <v>72</v>
      </c>
      <c r="BN24" t="s">
        <v>72</v>
      </c>
      <c r="BO24" t="s">
        <v>72</v>
      </c>
      <c r="BP24" t="s">
        <v>72</v>
      </c>
      <c r="BQ24" t="s">
        <v>100</v>
      </c>
      <c r="BR24" t="s">
        <v>16199</v>
      </c>
      <c r="BS24" t="str">
        <f>HYPERLINK("https%3A%2F%2Fwww.webofscience.com%2Fwos%2Fwoscc%2Ffull-record%2FWOS:000743547700012","View Full Record in Web of Science")</f>
        <v>View Full Record in Web of Science</v>
      </c>
    </row>
    <row r="25" spans="1:71" hidden="1" x14ac:dyDescent="0.2">
      <c r="A25" t="s">
        <v>70</v>
      </c>
      <c r="B25" t="s">
        <v>8187</v>
      </c>
      <c r="C25" t="s">
        <v>72</v>
      </c>
      <c r="D25" t="s">
        <v>72</v>
      </c>
      <c r="E25" t="s">
        <v>72</v>
      </c>
      <c r="F25" t="s">
        <v>8188</v>
      </c>
      <c r="G25" t="s">
        <v>72</v>
      </c>
      <c r="H25" t="s">
        <v>72</v>
      </c>
      <c r="I25" t="s">
        <v>8189</v>
      </c>
      <c r="J25" t="s">
        <v>8190</v>
      </c>
      <c r="K25" t="s">
        <v>72</v>
      </c>
      <c r="L25" t="s">
        <v>72</v>
      </c>
      <c r="M25" t="s">
        <v>76</v>
      </c>
      <c r="N25" t="s">
        <v>77</v>
      </c>
      <c r="O25" t="s">
        <v>72</v>
      </c>
      <c r="P25" t="s">
        <v>72</v>
      </c>
      <c r="Q25" t="s">
        <v>72</v>
      </c>
      <c r="R25" t="s">
        <v>72</v>
      </c>
      <c r="S25" t="s">
        <v>72</v>
      </c>
      <c r="T25" t="s">
        <v>8191</v>
      </c>
      <c r="U25" t="s">
        <v>8192</v>
      </c>
      <c r="V25" t="s">
        <v>8193</v>
      </c>
      <c r="W25" t="s">
        <v>8194</v>
      </c>
      <c r="X25" t="s">
        <v>8195</v>
      </c>
      <c r="Y25" t="s">
        <v>8196</v>
      </c>
      <c r="Z25" t="s">
        <v>8197</v>
      </c>
      <c r="AA25" t="s">
        <v>8198</v>
      </c>
      <c r="AB25" t="s">
        <v>8199</v>
      </c>
      <c r="AC25" t="s">
        <v>8200</v>
      </c>
      <c r="AD25" t="s">
        <v>8201</v>
      </c>
      <c r="AE25" t="s">
        <v>8202</v>
      </c>
      <c r="AF25" t="s">
        <v>72</v>
      </c>
      <c r="AG25">
        <v>63</v>
      </c>
      <c r="AH25">
        <v>5</v>
      </c>
      <c r="AI25">
        <v>5</v>
      </c>
      <c r="AJ25">
        <v>2</v>
      </c>
      <c r="AK25">
        <v>12</v>
      </c>
      <c r="AL25" t="s">
        <v>364</v>
      </c>
      <c r="AM25" t="s">
        <v>365</v>
      </c>
      <c r="AN25" t="s">
        <v>366</v>
      </c>
      <c r="AO25" t="s">
        <v>8203</v>
      </c>
      <c r="AP25" t="s">
        <v>8204</v>
      </c>
      <c r="AQ25" t="s">
        <v>72</v>
      </c>
      <c r="AR25" t="s">
        <v>8190</v>
      </c>
      <c r="AS25" t="s">
        <v>8205</v>
      </c>
      <c r="AT25" t="s">
        <v>276</v>
      </c>
      <c r="AU25">
        <v>2021</v>
      </c>
      <c r="AV25">
        <v>35</v>
      </c>
      <c r="AW25">
        <v>7</v>
      </c>
      <c r="AX25" t="s">
        <v>72</v>
      </c>
      <c r="AY25" t="s">
        <v>72</v>
      </c>
      <c r="AZ25" t="s">
        <v>72</v>
      </c>
      <c r="BA25" t="s">
        <v>72</v>
      </c>
      <c r="BB25">
        <v>900</v>
      </c>
      <c r="BC25">
        <v>913</v>
      </c>
      <c r="BD25" t="s">
        <v>72</v>
      </c>
      <c r="BE25" t="s">
        <v>8206</v>
      </c>
      <c r="BF25" t="str">
        <f>HYPERLINK("http://dx.doi.org/10.1080/02687038.2020.1742282","http://dx.doi.org/10.1080/02687038.2020.1742282")</f>
        <v>http://dx.doi.org/10.1080/02687038.2020.1742282</v>
      </c>
      <c r="BG25" t="s">
        <v>72</v>
      </c>
      <c r="BH25" t="s">
        <v>2656</v>
      </c>
      <c r="BI25">
        <v>14</v>
      </c>
      <c r="BJ25" t="s">
        <v>8207</v>
      </c>
      <c r="BK25" t="s">
        <v>8208</v>
      </c>
      <c r="BL25" t="s">
        <v>8209</v>
      </c>
      <c r="BM25" t="s">
        <v>72</v>
      </c>
      <c r="BN25" t="s">
        <v>2403</v>
      </c>
      <c r="BO25" t="s">
        <v>72</v>
      </c>
      <c r="BP25" t="s">
        <v>72</v>
      </c>
      <c r="BQ25" t="s">
        <v>100</v>
      </c>
      <c r="BR25" t="s">
        <v>8210</v>
      </c>
      <c r="BS25" t="str">
        <f>HYPERLINK("https%3A%2F%2Fwww.webofscience.com%2Fwos%2Fwoscc%2Ffull-record%2FWOS:000526283200001","View Full Record in Web of Science")</f>
        <v>View Full Record in Web of Science</v>
      </c>
    </row>
    <row r="26" spans="1:71" hidden="1" x14ac:dyDescent="0.2">
      <c r="A26" t="s">
        <v>70</v>
      </c>
      <c r="B26" t="s">
        <v>12662</v>
      </c>
      <c r="C26" t="s">
        <v>72</v>
      </c>
      <c r="D26" t="s">
        <v>72</v>
      </c>
      <c r="E26" t="s">
        <v>72</v>
      </c>
      <c r="F26" t="s">
        <v>12663</v>
      </c>
      <c r="G26" t="s">
        <v>72</v>
      </c>
      <c r="H26" t="s">
        <v>72</v>
      </c>
      <c r="I26" t="s">
        <v>12664</v>
      </c>
      <c r="J26" t="s">
        <v>8190</v>
      </c>
      <c r="K26" t="s">
        <v>72</v>
      </c>
      <c r="L26" t="s">
        <v>72</v>
      </c>
      <c r="M26" t="s">
        <v>76</v>
      </c>
      <c r="N26" t="s">
        <v>77</v>
      </c>
      <c r="O26" t="s">
        <v>72</v>
      </c>
      <c r="P26" t="s">
        <v>72</v>
      </c>
      <c r="Q26" t="s">
        <v>72</v>
      </c>
      <c r="R26" t="s">
        <v>72</v>
      </c>
      <c r="S26" t="s">
        <v>72</v>
      </c>
      <c r="T26" t="s">
        <v>12665</v>
      </c>
      <c r="U26" t="s">
        <v>12666</v>
      </c>
      <c r="V26" t="s">
        <v>12667</v>
      </c>
      <c r="W26" t="s">
        <v>12668</v>
      </c>
      <c r="X26" t="s">
        <v>12669</v>
      </c>
      <c r="Y26" t="s">
        <v>12670</v>
      </c>
      <c r="Z26" t="s">
        <v>12671</v>
      </c>
      <c r="AA26" t="s">
        <v>72</v>
      </c>
      <c r="AB26" t="s">
        <v>12672</v>
      </c>
      <c r="AC26" t="s">
        <v>12673</v>
      </c>
      <c r="AD26" t="s">
        <v>12673</v>
      </c>
      <c r="AE26" t="s">
        <v>12674</v>
      </c>
      <c r="AF26" t="s">
        <v>72</v>
      </c>
      <c r="AG26">
        <v>50</v>
      </c>
      <c r="AH26">
        <v>29</v>
      </c>
      <c r="AI26">
        <v>29</v>
      </c>
      <c r="AJ26">
        <v>0</v>
      </c>
      <c r="AK26">
        <v>12</v>
      </c>
      <c r="AL26" t="s">
        <v>364</v>
      </c>
      <c r="AM26" t="s">
        <v>365</v>
      </c>
      <c r="AN26" t="s">
        <v>366</v>
      </c>
      <c r="AO26" t="s">
        <v>8203</v>
      </c>
      <c r="AP26" t="s">
        <v>8204</v>
      </c>
      <c r="AQ26" t="s">
        <v>72</v>
      </c>
      <c r="AR26" t="s">
        <v>8190</v>
      </c>
      <c r="AS26" t="s">
        <v>8205</v>
      </c>
      <c r="AT26" t="s">
        <v>72</v>
      </c>
      <c r="AU26">
        <v>2018</v>
      </c>
      <c r="AV26">
        <v>32</v>
      </c>
      <c r="AW26">
        <v>1</v>
      </c>
      <c r="AX26" t="s">
        <v>72</v>
      </c>
      <c r="AY26" t="s">
        <v>72</v>
      </c>
      <c r="AZ26" t="s">
        <v>478</v>
      </c>
      <c r="BA26" t="s">
        <v>72</v>
      </c>
      <c r="BB26">
        <v>27</v>
      </c>
      <c r="BC26">
        <v>40</v>
      </c>
      <c r="BD26" t="s">
        <v>72</v>
      </c>
      <c r="BE26" t="s">
        <v>12675</v>
      </c>
      <c r="BF26" t="str">
        <f>HYPERLINK("http://dx.doi.org/10.1080/02687038.2017.1303441","http://dx.doi.org/10.1080/02687038.2017.1303441")</f>
        <v>http://dx.doi.org/10.1080/02687038.2017.1303441</v>
      </c>
      <c r="BG26" t="s">
        <v>72</v>
      </c>
      <c r="BH26" t="s">
        <v>72</v>
      </c>
      <c r="BI26">
        <v>14</v>
      </c>
      <c r="BJ26" t="s">
        <v>8207</v>
      </c>
      <c r="BK26" t="s">
        <v>8208</v>
      </c>
      <c r="BL26" t="s">
        <v>12676</v>
      </c>
      <c r="BM26" t="s">
        <v>72</v>
      </c>
      <c r="BN26" t="s">
        <v>72</v>
      </c>
      <c r="BO26" t="s">
        <v>72</v>
      </c>
      <c r="BP26" t="s">
        <v>72</v>
      </c>
      <c r="BQ26" t="s">
        <v>100</v>
      </c>
      <c r="BR26" t="s">
        <v>12677</v>
      </c>
      <c r="BS26" t="str">
        <f>HYPERLINK("https%3A%2F%2Fwww.webofscience.com%2Fwos%2Fwoscc%2Ffull-record%2FWOS:000427198800003","View Full Record in Web of Science")</f>
        <v>View Full Record in Web of Science</v>
      </c>
    </row>
    <row r="27" spans="1:71" hidden="1" x14ac:dyDescent="0.2">
      <c r="A27" t="s">
        <v>70</v>
      </c>
      <c r="B27" t="s">
        <v>14522</v>
      </c>
      <c r="C27" t="s">
        <v>72</v>
      </c>
      <c r="D27" t="s">
        <v>72</v>
      </c>
      <c r="E27" t="s">
        <v>72</v>
      </c>
      <c r="F27" t="s">
        <v>14523</v>
      </c>
      <c r="G27" t="s">
        <v>72</v>
      </c>
      <c r="H27" t="s">
        <v>72</v>
      </c>
      <c r="I27" t="s">
        <v>14524</v>
      </c>
      <c r="J27" t="s">
        <v>14525</v>
      </c>
      <c r="K27" t="s">
        <v>72</v>
      </c>
      <c r="L27" t="s">
        <v>72</v>
      </c>
      <c r="M27" t="s">
        <v>76</v>
      </c>
      <c r="N27" t="s">
        <v>77</v>
      </c>
      <c r="O27" t="s">
        <v>72</v>
      </c>
      <c r="P27" t="s">
        <v>72</v>
      </c>
      <c r="Q27" t="s">
        <v>72</v>
      </c>
      <c r="R27" t="s">
        <v>72</v>
      </c>
      <c r="S27" t="s">
        <v>72</v>
      </c>
      <c r="T27" t="s">
        <v>72</v>
      </c>
      <c r="U27" t="s">
        <v>14526</v>
      </c>
      <c r="V27" t="s">
        <v>14527</v>
      </c>
      <c r="W27" t="s">
        <v>14528</v>
      </c>
      <c r="X27" t="s">
        <v>14529</v>
      </c>
      <c r="Y27" t="s">
        <v>14530</v>
      </c>
      <c r="Z27" t="s">
        <v>14531</v>
      </c>
      <c r="AA27" t="s">
        <v>14532</v>
      </c>
      <c r="AB27" t="s">
        <v>14533</v>
      </c>
      <c r="AC27" t="s">
        <v>72</v>
      </c>
      <c r="AD27" t="s">
        <v>72</v>
      </c>
      <c r="AE27" t="s">
        <v>72</v>
      </c>
      <c r="AF27" t="s">
        <v>72</v>
      </c>
      <c r="AG27">
        <v>38</v>
      </c>
      <c r="AH27">
        <v>1</v>
      </c>
      <c r="AI27">
        <v>1</v>
      </c>
      <c r="AJ27">
        <v>0</v>
      </c>
      <c r="AK27">
        <v>1</v>
      </c>
      <c r="AL27" t="s">
        <v>14534</v>
      </c>
      <c r="AM27" t="s">
        <v>14535</v>
      </c>
      <c r="AN27" t="s">
        <v>14536</v>
      </c>
      <c r="AO27" t="s">
        <v>14537</v>
      </c>
      <c r="AP27" t="s">
        <v>14538</v>
      </c>
      <c r="AQ27" t="s">
        <v>72</v>
      </c>
      <c r="AR27" t="s">
        <v>14539</v>
      </c>
      <c r="AS27" t="s">
        <v>14540</v>
      </c>
      <c r="AT27" t="s">
        <v>95</v>
      </c>
      <c r="AU27">
        <v>2021</v>
      </c>
      <c r="AV27">
        <v>30</v>
      </c>
      <c r="AW27">
        <v>3</v>
      </c>
      <c r="AX27" t="s">
        <v>72</v>
      </c>
      <c r="AY27" t="s">
        <v>72</v>
      </c>
      <c r="AZ27" t="s">
        <v>72</v>
      </c>
      <c r="BA27" t="s">
        <v>72</v>
      </c>
      <c r="BB27">
        <v>761</v>
      </c>
      <c r="BC27">
        <v>768</v>
      </c>
      <c r="BD27" t="s">
        <v>72</v>
      </c>
      <c r="BE27" t="s">
        <v>14541</v>
      </c>
      <c r="BF27" t="str">
        <f>HYPERLINK("http://dx.doi.org/10.1044/2021_AJA-21-00061","http://dx.doi.org/10.1044/2021_AJA-21-00061")</f>
        <v>http://dx.doi.org/10.1044/2021_AJA-21-00061</v>
      </c>
      <c r="BG27" t="s">
        <v>72</v>
      </c>
      <c r="BH27" t="s">
        <v>72</v>
      </c>
      <c r="BI27">
        <v>8</v>
      </c>
      <c r="BJ27" t="s">
        <v>14542</v>
      </c>
      <c r="BK27" t="s">
        <v>14542</v>
      </c>
      <c r="BL27" t="s">
        <v>14543</v>
      </c>
      <c r="BM27">
        <v>34436933</v>
      </c>
      <c r="BN27" t="s">
        <v>72</v>
      </c>
      <c r="BO27" t="s">
        <v>72</v>
      </c>
      <c r="BP27" t="s">
        <v>72</v>
      </c>
      <c r="BQ27" t="s">
        <v>100</v>
      </c>
      <c r="BR27" t="s">
        <v>14544</v>
      </c>
      <c r="BS27" t="str">
        <f>HYPERLINK("https%3A%2F%2Fwww.webofscience.com%2Fwos%2Fwoscc%2Ffull-record%2FWOS:000695223000025","View Full Record in Web of Science")</f>
        <v>View Full Record in Web of Science</v>
      </c>
    </row>
    <row r="28" spans="1:71" hidden="1" x14ac:dyDescent="0.2">
      <c r="A28" t="s">
        <v>70</v>
      </c>
      <c r="B28" t="s">
        <v>15715</v>
      </c>
      <c r="C28" t="s">
        <v>72</v>
      </c>
      <c r="D28" t="s">
        <v>72</v>
      </c>
      <c r="E28" t="s">
        <v>72</v>
      </c>
      <c r="F28" t="s">
        <v>15716</v>
      </c>
      <c r="G28" t="s">
        <v>72</v>
      </c>
      <c r="H28" t="s">
        <v>72</v>
      </c>
      <c r="I28" t="s">
        <v>15717</v>
      </c>
      <c r="J28" t="s">
        <v>14525</v>
      </c>
      <c r="K28" t="s">
        <v>72</v>
      </c>
      <c r="L28" t="s">
        <v>72</v>
      </c>
      <c r="M28" t="s">
        <v>76</v>
      </c>
      <c r="N28" t="s">
        <v>77</v>
      </c>
      <c r="O28" t="s">
        <v>72</v>
      </c>
      <c r="P28" t="s">
        <v>72</v>
      </c>
      <c r="Q28" t="s">
        <v>72</v>
      </c>
      <c r="R28" t="s">
        <v>72</v>
      </c>
      <c r="S28" t="s">
        <v>72</v>
      </c>
      <c r="T28" t="s">
        <v>72</v>
      </c>
      <c r="U28" t="s">
        <v>15718</v>
      </c>
      <c r="V28" t="s">
        <v>15719</v>
      </c>
      <c r="W28" t="s">
        <v>15720</v>
      </c>
      <c r="X28" t="s">
        <v>15721</v>
      </c>
      <c r="Y28" t="s">
        <v>15722</v>
      </c>
      <c r="Z28" t="s">
        <v>15723</v>
      </c>
      <c r="AA28" t="s">
        <v>15724</v>
      </c>
      <c r="AB28" t="s">
        <v>15725</v>
      </c>
      <c r="AC28" t="s">
        <v>72</v>
      </c>
      <c r="AD28" t="s">
        <v>72</v>
      </c>
      <c r="AE28" t="s">
        <v>72</v>
      </c>
      <c r="AF28" t="s">
        <v>72</v>
      </c>
      <c r="AG28">
        <v>43</v>
      </c>
      <c r="AH28">
        <v>2</v>
      </c>
      <c r="AI28">
        <v>2</v>
      </c>
      <c r="AJ28">
        <v>0</v>
      </c>
      <c r="AK28">
        <v>1</v>
      </c>
      <c r="AL28" t="s">
        <v>14534</v>
      </c>
      <c r="AM28" t="s">
        <v>14535</v>
      </c>
      <c r="AN28" t="s">
        <v>14536</v>
      </c>
      <c r="AO28" t="s">
        <v>14537</v>
      </c>
      <c r="AP28" t="s">
        <v>14538</v>
      </c>
      <c r="AQ28" t="s">
        <v>72</v>
      </c>
      <c r="AR28" t="s">
        <v>14539</v>
      </c>
      <c r="AS28" t="s">
        <v>14540</v>
      </c>
      <c r="AT28" t="s">
        <v>95</v>
      </c>
      <c r="AU28">
        <v>2021</v>
      </c>
      <c r="AV28">
        <v>30</v>
      </c>
      <c r="AW28">
        <v>3</v>
      </c>
      <c r="AX28" t="s">
        <v>72</v>
      </c>
      <c r="AY28" t="s">
        <v>72</v>
      </c>
      <c r="AZ28" t="s">
        <v>72</v>
      </c>
      <c r="BA28" t="s">
        <v>72</v>
      </c>
      <c r="BB28">
        <v>745</v>
      </c>
      <c r="BC28">
        <v>754</v>
      </c>
      <c r="BD28" t="s">
        <v>72</v>
      </c>
      <c r="BE28" t="s">
        <v>15726</v>
      </c>
      <c r="BF28" t="str">
        <f>HYPERLINK("http://dx.doi.org/10.1044/2021_AJA-21-00041","http://dx.doi.org/10.1044/2021_AJA-21-00041")</f>
        <v>http://dx.doi.org/10.1044/2021_AJA-21-00041</v>
      </c>
      <c r="BG28" t="s">
        <v>72</v>
      </c>
      <c r="BH28" t="s">
        <v>72</v>
      </c>
      <c r="BI28">
        <v>10</v>
      </c>
      <c r="BJ28" t="s">
        <v>14542</v>
      </c>
      <c r="BK28" t="s">
        <v>14542</v>
      </c>
      <c r="BL28" t="s">
        <v>14543</v>
      </c>
      <c r="BM28">
        <v>34491785</v>
      </c>
      <c r="BN28" t="s">
        <v>72</v>
      </c>
      <c r="BO28" t="s">
        <v>72</v>
      </c>
      <c r="BP28" t="s">
        <v>72</v>
      </c>
      <c r="BQ28" t="s">
        <v>100</v>
      </c>
      <c r="BR28" t="s">
        <v>15727</v>
      </c>
      <c r="BS28" t="str">
        <f>HYPERLINK("https%3A%2F%2Fwww.webofscience.com%2Fwos%2Fwoscc%2Ffull-record%2FWOS:000695223000023","View Full Record in Web of Science")</f>
        <v>View Full Record in Web of Science</v>
      </c>
    </row>
    <row r="29" spans="1:71" hidden="1" x14ac:dyDescent="0.2">
      <c r="A29" t="s">
        <v>70</v>
      </c>
      <c r="B29" t="s">
        <v>16579</v>
      </c>
      <c r="C29" t="s">
        <v>72</v>
      </c>
      <c r="D29" t="s">
        <v>72</v>
      </c>
      <c r="E29" t="s">
        <v>72</v>
      </c>
      <c r="F29" t="s">
        <v>16580</v>
      </c>
      <c r="G29" t="s">
        <v>72</v>
      </c>
      <c r="H29" t="s">
        <v>72</v>
      </c>
      <c r="I29" t="s">
        <v>16581</v>
      </c>
      <c r="J29" t="s">
        <v>14525</v>
      </c>
      <c r="K29" t="s">
        <v>72</v>
      </c>
      <c r="L29" t="s">
        <v>72</v>
      </c>
      <c r="M29" t="s">
        <v>76</v>
      </c>
      <c r="N29" t="s">
        <v>77</v>
      </c>
      <c r="O29" t="s">
        <v>72</v>
      </c>
      <c r="P29" t="s">
        <v>72</v>
      </c>
      <c r="Q29" t="s">
        <v>72</v>
      </c>
      <c r="R29" t="s">
        <v>72</v>
      </c>
      <c r="S29" t="s">
        <v>72</v>
      </c>
      <c r="T29" t="s">
        <v>72</v>
      </c>
      <c r="U29" t="s">
        <v>16582</v>
      </c>
      <c r="V29" t="s">
        <v>16583</v>
      </c>
      <c r="W29" t="s">
        <v>16584</v>
      </c>
      <c r="X29" t="s">
        <v>16585</v>
      </c>
      <c r="Y29" t="s">
        <v>16586</v>
      </c>
      <c r="Z29" t="s">
        <v>16587</v>
      </c>
      <c r="AA29" t="s">
        <v>15724</v>
      </c>
      <c r="AB29" t="s">
        <v>16588</v>
      </c>
      <c r="AC29" t="s">
        <v>16589</v>
      </c>
      <c r="AD29" t="s">
        <v>16590</v>
      </c>
      <c r="AE29" t="s">
        <v>16591</v>
      </c>
      <c r="AF29" t="s">
        <v>72</v>
      </c>
      <c r="AG29">
        <v>34</v>
      </c>
      <c r="AH29">
        <v>10</v>
      </c>
      <c r="AI29">
        <v>10</v>
      </c>
      <c r="AJ29">
        <v>0</v>
      </c>
      <c r="AK29">
        <v>3</v>
      </c>
      <c r="AL29" t="s">
        <v>14534</v>
      </c>
      <c r="AM29" t="s">
        <v>14535</v>
      </c>
      <c r="AN29" t="s">
        <v>14536</v>
      </c>
      <c r="AO29" t="s">
        <v>14537</v>
      </c>
      <c r="AP29" t="s">
        <v>14538</v>
      </c>
      <c r="AQ29" t="s">
        <v>72</v>
      </c>
      <c r="AR29" t="s">
        <v>14539</v>
      </c>
      <c r="AS29" t="s">
        <v>14540</v>
      </c>
      <c r="AT29" t="s">
        <v>299</v>
      </c>
      <c r="AU29">
        <v>2021</v>
      </c>
      <c r="AV29">
        <v>30</v>
      </c>
      <c r="AW29">
        <v>2</v>
      </c>
      <c r="AX29" t="s">
        <v>72</v>
      </c>
      <c r="AY29" t="s">
        <v>72</v>
      </c>
      <c r="AZ29" t="s">
        <v>72</v>
      </c>
      <c r="BA29" t="s">
        <v>72</v>
      </c>
      <c r="BB29">
        <v>385</v>
      </c>
      <c r="BC29">
        <v>393</v>
      </c>
      <c r="BD29" t="s">
        <v>72</v>
      </c>
      <c r="BE29" t="s">
        <v>16592</v>
      </c>
      <c r="BF29" t="str">
        <f>HYPERLINK("http://dx.doi.org/10.1044/2021_AJA-20-00188","http://dx.doi.org/10.1044/2021_AJA-20-00188")</f>
        <v>http://dx.doi.org/10.1044/2021_AJA-20-00188</v>
      </c>
      <c r="BG29" t="s">
        <v>72</v>
      </c>
      <c r="BH29" t="s">
        <v>72</v>
      </c>
      <c r="BI29">
        <v>9</v>
      </c>
      <c r="BJ29" t="s">
        <v>14542</v>
      </c>
      <c r="BK29" t="s">
        <v>14542</v>
      </c>
      <c r="BL29" t="s">
        <v>16593</v>
      </c>
      <c r="BM29">
        <v>33979227</v>
      </c>
      <c r="BN29" t="s">
        <v>4522</v>
      </c>
      <c r="BO29" t="s">
        <v>72</v>
      </c>
      <c r="BP29" t="s">
        <v>72</v>
      </c>
      <c r="BQ29" t="s">
        <v>100</v>
      </c>
      <c r="BR29" t="s">
        <v>16594</v>
      </c>
      <c r="BS29" t="str">
        <f>HYPERLINK("https%3A%2F%2Fwww.webofscience.com%2Fwos%2Fwoscc%2Ffull-record%2FWOS:000661870900013","View Full Record in Web of Science")</f>
        <v>View Full Record in Web of Science</v>
      </c>
    </row>
    <row r="30" spans="1:71" hidden="1" x14ac:dyDescent="0.2">
      <c r="A30" t="s">
        <v>305</v>
      </c>
      <c r="B30" t="s">
        <v>4622</v>
      </c>
      <c r="C30" t="s">
        <v>72</v>
      </c>
      <c r="D30" t="s">
        <v>72</v>
      </c>
      <c r="E30" t="s">
        <v>72</v>
      </c>
      <c r="F30" t="s">
        <v>4623</v>
      </c>
      <c r="G30" t="s">
        <v>72</v>
      </c>
      <c r="H30" t="s">
        <v>72</v>
      </c>
      <c r="I30" t="s">
        <v>4624</v>
      </c>
      <c r="J30" t="s">
        <v>4625</v>
      </c>
      <c r="K30" t="s">
        <v>72</v>
      </c>
      <c r="L30" t="s">
        <v>72</v>
      </c>
      <c r="M30" t="s">
        <v>76</v>
      </c>
      <c r="N30" t="s">
        <v>312</v>
      </c>
      <c r="O30" t="s">
        <v>4626</v>
      </c>
      <c r="P30" t="s">
        <v>4627</v>
      </c>
      <c r="Q30" t="s">
        <v>4628</v>
      </c>
      <c r="R30" t="s">
        <v>4629</v>
      </c>
      <c r="S30" t="s">
        <v>72</v>
      </c>
      <c r="T30" t="s">
        <v>4630</v>
      </c>
      <c r="U30" t="s">
        <v>4631</v>
      </c>
      <c r="V30" t="s">
        <v>4632</v>
      </c>
      <c r="W30" t="s">
        <v>72</v>
      </c>
      <c r="X30" t="s">
        <v>72</v>
      </c>
      <c r="Y30" t="s">
        <v>72</v>
      </c>
      <c r="Z30" t="s">
        <v>4633</v>
      </c>
      <c r="AA30" t="s">
        <v>72</v>
      </c>
      <c r="AB30" t="s">
        <v>4634</v>
      </c>
      <c r="AC30" t="s">
        <v>72</v>
      </c>
      <c r="AD30" t="s">
        <v>72</v>
      </c>
      <c r="AE30" t="s">
        <v>72</v>
      </c>
      <c r="AF30" t="s">
        <v>72</v>
      </c>
      <c r="AG30">
        <v>13</v>
      </c>
      <c r="AH30">
        <v>2</v>
      </c>
      <c r="AI30">
        <v>2</v>
      </c>
      <c r="AJ30">
        <v>0</v>
      </c>
      <c r="AK30">
        <v>1</v>
      </c>
      <c r="AL30" t="s">
        <v>924</v>
      </c>
      <c r="AM30" t="s">
        <v>168</v>
      </c>
      <c r="AN30" t="s">
        <v>925</v>
      </c>
      <c r="AO30" t="s">
        <v>4635</v>
      </c>
      <c r="AP30" t="s">
        <v>72</v>
      </c>
      <c r="AQ30" t="s">
        <v>72</v>
      </c>
      <c r="AR30" t="s">
        <v>4625</v>
      </c>
      <c r="AS30" t="s">
        <v>4625</v>
      </c>
      <c r="AT30" t="s">
        <v>72</v>
      </c>
      <c r="AU30">
        <v>2017</v>
      </c>
      <c r="AV30">
        <v>50</v>
      </c>
      <c r="AW30">
        <v>1</v>
      </c>
      <c r="AX30" t="s">
        <v>72</v>
      </c>
      <c r="AY30" t="s">
        <v>72</v>
      </c>
      <c r="AZ30" t="s">
        <v>72</v>
      </c>
      <c r="BA30" t="s">
        <v>72</v>
      </c>
      <c r="BB30">
        <v>13593</v>
      </c>
      <c r="BC30">
        <v>13598</v>
      </c>
      <c r="BD30" t="s">
        <v>72</v>
      </c>
      <c r="BE30" t="s">
        <v>4636</v>
      </c>
      <c r="BF30" t="str">
        <f>HYPERLINK("http://dx.doi.org/10.1016/j.ifacol.2017.08.2380","http://dx.doi.org/10.1016/j.ifacol.2017.08.2380")</f>
        <v>http://dx.doi.org/10.1016/j.ifacol.2017.08.2380</v>
      </c>
      <c r="BG30" t="s">
        <v>72</v>
      </c>
      <c r="BH30" t="s">
        <v>72</v>
      </c>
      <c r="BI30">
        <v>6</v>
      </c>
      <c r="BJ30" t="s">
        <v>4637</v>
      </c>
      <c r="BK30" s="1" t="s">
        <v>17620</v>
      </c>
      <c r="BL30" t="s">
        <v>4638</v>
      </c>
      <c r="BM30" t="s">
        <v>72</v>
      </c>
      <c r="BN30" t="s">
        <v>222</v>
      </c>
      <c r="BO30" t="s">
        <v>72</v>
      </c>
      <c r="BP30" t="s">
        <v>72</v>
      </c>
      <c r="BQ30" t="s">
        <v>100</v>
      </c>
      <c r="BR30" t="s">
        <v>4639</v>
      </c>
      <c r="BS30" t="str">
        <f>HYPERLINK("https%3A%2F%2Fwww.webofscience.com%2Fwos%2Fwoscc%2Ffull-record%2FWOS:000423965200256","View Full Record in Web of Science")</f>
        <v>View Full Record in Web of Science</v>
      </c>
    </row>
    <row r="31" spans="1:71" hidden="1" x14ac:dyDescent="0.2">
      <c r="A31" t="s">
        <v>305</v>
      </c>
      <c r="B31" t="s">
        <v>12635</v>
      </c>
      <c r="C31" t="s">
        <v>72</v>
      </c>
      <c r="D31" t="s">
        <v>72</v>
      </c>
      <c r="E31" t="s">
        <v>1102</v>
      </c>
      <c r="F31" t="s">
        <v>12636</v>
      </c>
      <c r="G31" t="s">
        <v>72</v>
      </c>
      <c r="H31" t="s">
        <v>72</v>
      </c>
      <c r="I31" t="s">
        <v>12637</v>
      </c>
      <c r="J31" t="s">
        <v>12638</v>
      </c>
      <c r="K31" t="s">
        <v>12639</v>
      </c>
      <c r="L31" t="s">
        <v>72</v>
      </c>
      <c r="M31" t="s">
        <v>76</v>
      </c>
      <c r="N31" t="s">
        <v>312</v>
      </c>
      <c r="O31" t="s">
        <v>12640</v>
      </c>
      <c r="P31" t="s">
        <v>12641</v>
      </c>
      <c r="Q31" t="s">
        <v>12642</v>
      </c>
      <c r="R31" t="s">
        <v>12643</v>
      </c>
      <c r="S31" t="s">
        <v>72</v>
      </c>
      <c r="T31" t="s">
        <v>12644</v>
      </c>
      <c r="U31" t="s">
        <v>12645</v>
      </c>
      <c r="V31" t="s">
        <v>12646</v>
      </c>
      <c r="W31" t="s">
        <v>12647</v>
      </c>
      <c r="X31" t="s">
        <v>12648</v>
      </c>
      <c r="Y31" t="s">
        <v>12649</v>
      </c>
      <c r="Z31" t="s">
        <v>12650</v>
      </c>
      <c r="AA31" t="s">
        <v>12651</v>
      </c>
      <c r="AB31" t="s">
        <v>12652</v>
      </c>
      <c r="AC31" t="s">
        <v>12653</v>
      </c>
      <c r="AD31" t="s">
        <v>12654</v>
      </c>
      <c r="AE31" t="s">
        <v>12655</v>
      </c>
      <c r="AF31" t="s">
        <v>72</v>
      </c>
      <c r="AG31">
        <v>30</v>
      </c>
      <c r="AH31">
        <v>4</v>
      </c>
      <c r="AI31">
        <v>4</v>
      </c>
      <c r="AJ31">
        <v>1</v>
      </c>
      <c r="AK31">
        <v>2</v>
      </c>
      <c r="AL31" t="s">
        <v>1102</v>
      </c>
      <c r="AM31" t="s">
        <v>707</v>
      </c>
      <c r="AN31" t="s">
        <v>1121</v>
      </c>
      <c r="AO31" t="s">
        <v>12656</v>
      </c>
      <c r="AP31" t="s">
        <v>72</v>
      </c>
      <c r="AQ31" t="s">
        <v>12657</v>
      </c>
      <c r="AR31" t="s">
        <v>12658</v>
      </c>
      <c r="AS31" t="s">
        <v>72</v>
      </c>
      <c r="AT31" t="s">
        <v>72</v>
      </c>
      <c r="AU31">
        <v>2018</v>
      </c>
      <c r="AV31" t="s">
        <v>72</v>
      </c>
      <c r="AW31" t="s">
        <v>72</v>
      </c>
      <c r="AX31" t="s">
        <v>72</v>
      </c>
      <c r="AY31" t="s">
        <v>72</v>
      </c>
      <c r="AZ31" t="s">
        <v>72</v>
      </c>
      <c r="BA31" t="s">
        <v>72</v>
      </c>
      <c r="BB31">
        <v>3657</v>
      </c>
      <c r="BC31">
        <v>3661</v>
      </c>
      <c r="BD31" t="s">
        <v>72</v>
      </c>
      <c r="BE31" t="s">
        <v>72</v>
      </c>
      <c r="BF31" t="s">
        <v>72</v>
      </c>
      <c r="BG31" t="s">
        <v>72</v>
      </c>
      <c r="BH31" t="s">
        <v>72</v>
      </c>
      <c r="BI31">
        <v>5</v>
      </c>
      <c r="BJ31" t="s">
        <v>12659</v>
      </c>
      <c r="BK31" s="1" t="s">
        <v>17620</v>
      </c>
      <c r="BL31" t="s">
        <v>12660</v>
      </c>
      <c r="BM31" t="s">
        <v>72</v>
      </c>
      <c r="BN31" t="s">
        <v>72</v>
      </c>
      <c r="BO31" t="s">
        <v>72</v>
      </c>
      <c r="BP31" t="s">
        <v>72</v>
      </c>
      <c r="BQ31" t="s">
        <v>100</v>
      </c>
      <c r="BR31" t="s">
        <v>12661</v>
      </c>
      <c r="BS31" t="str">
        <f>HYPERLINK("https%3A%2F%2Fwww.webofscience.com%2Fwos%2Fwoscc%2Ffull-record%2FWOS:000457881303099","View Full Record in Web of Science")</f>
        <v>View Full Record in Web of Science</v>
      </c>
    </row>
    <row r="32" spans="1:71" hidden="1" x14ac:dyDescent="0.2">
      <c r="A32" t="s">
        <v>305</v>
      </c>
      <c r="B32" t="s">
        <v>4659</v>
      </c>
      <c r="C32" t="s">
        <v>72</v>
      </c>
      <c r="D32" t="s">
        <v>4660</v>
      </c>
      <c r="E32" t="s">
        <v>72</v>
      </c>
      <c r="F32" t="s">
        <v>4661</v>
      </c>
      <c r="G32" t="s">
        <v>72</v>
      </c>
      <c r="H32" t="s">
        <v>72</v>
      </c>
      <c r="I32" t="s">
        <v>4662</v>
      </c>
      <c r="J32" t="s">
        <v>4663</v>
      </c>
      <c r="K32" t="s">
        <v>648</v>
      </c>
      <c r="L32" t="s">
        <v>72</v>
      </c>
      <c r="M32" t="s">
        <v>76</v>
      </c>
      <c r="N32" t="s">
        <v>312</v>
      </c>
      <c r="O32" t="s">
        <v>4664</v>
      </c>
      <c r="P32" t="s">
        <v>4665</v>
      </c>
      <c r="Q32" t="s">
        <v>4666</v>
      </c>
      <c r="R32" t="s">
        <v>4667</v>
      </c>
      <c r="S32" t="s">
        <v>72</v>
      </c>
      <c r="T32" t="s">
        <v>4668</v>
      </c>
      <c r="U32" t="s">
        <v>72</v>
      </c>
      <c r="V32" t="s">
        <v>4669</v>
      </c>
      <c r="W32" t="s">
        <v>4670</v>
      </c>
      <c r="X32" t="s">
        <v>4671</v>
      </c>
      <c r="Y32" t="s">
        <v>4672</v>
      </c>
      <c r="Z32" t="s">
        <v>4673</v>
      </c>
      <c r="AA32" t="s">
        <v>72</v>
      </c>
      <c r="AB32" t="s">
        <v>72</v>
      </c>
      <c r="AC32" t="s">
        <v>72</v>
      </c>
      <c r="AD32" t="s">
        <v>72</v>
      </c>
      <c r="AE32" t="s">
        <v>72</v>
      </c>
      <c r="AF32" t="s">
        <v>72</v>
      </c>
      <c r="AG32">
        <v>10</v>
      </c>
      <c r="AH32">
        <v>0</v>
      </c>
      <c r="AI32">
        <v>0</v>
      </c>
      <c r="AJ32">
        <v>0</v>
      </c>
      <c r="AK32">
        <v>1</v>
      </c>
      <c r="AL32" t="s">
        <v>657</v>
      </c>
      <c r="AM32" t="s">
        <v>658</v>
      </c>
      <c r="AN32" t="s">
        <v>659</v>
      </c>
      <c r="AO32" t="s">
        <v>660</v>
      </c>
      <c r="AP32" t="s">
        <v>72</v>
      </c>
      <c r="AQ32" t="s">
        <v>4674</v>
      </c>
      <c r="AR32" t="s">
        <v>662</v>
      </c>
      <c r="AS32" t="s">
        <v>72</v>
      </c>
      <c r="AT32" t="s">
        <v>72</v>
      </c>
      <c r="AU32">
        <v>2019</v>
      </c>
      <c r="AV32">
        <v>166</v>
      </c>
      <c r="AW32" t="s">
        <v>72</v>
      </c>
      <c r="AX32" t="s">
        <v>72</v>
      </c>
      <c r="AY32" t="s">
        <v>72</v>
      </c>
      <c r="AZ32" t="s">
        <v>72</v>
      </c>
      <c r="BA32" t="s">
        <v>72</v>
      </c>
      <c r="BB32">
        <v>77</v>
      </c>
      <c r="BC32">
        <v>82</v>
      </c>
      <c r="BD32" t="s">
        <v>72</v>
      </c>
      <c r="BE32" t="s">
        <v>72</v>
      </c>
      <c r="BF32" t="s">
        <v>72</v>
      </c>
      <c r="BG32" t="s">
        <v>72</v>
      </c>
      <c r="BH32" t="s">
        <v>72</v>
      </c>
      <c r="BI32">
        <v>6</v>
      </c>
      <c r="BJ32" t="s">
        <v>4675</v>
      </c>
      <c r="BK32" s="1" t="s">
        <v>17620</v>
      </c>
      <c r="BL32" t="s">
        <v>4676</v>
      </c>
      <c r="BM32" t="s">
        <v>72</v>
      </c>
      <c r="BN32" t="s">
        <v>72</v>
      </c>
      <c r="BO32" t="s">
        <v>72</v>
      </c>
      <c r="BP32" t="s">
        <v>72</v>
      </c>
      <c r="BQ32" t="s">
        <v>100</v>
      </c>
      <c r="BR32" t="s">
        <v>4677</v>
      </c>
      <c r="BS32" t="str">
        <f>HYPERLINK("https%3A%2F%2Fwww.webofscience.com%2Fwos%2Fwoscc%2Ffull-record%2FWOS:000573715000015","View Full Record in Web of Science")</f>
        <v>View Full Record in Web of Science</v>
      </c>
    </row>
    <row r="33" spans="1:71" hidden="1" x14ac:dyDescent="0.2">
      <c r="A33" t="s">
        <v>305</v>
      </c>
      <c r="B33" t="s">
        <v>14560</v>
      </c>
      <c r="C33" t="s">
        <v>72</v>
      </c>
      <c r="D33" t="s">
        <v>14561</v>
      </c>
      <c r="E33" t="s">
        <v>72</v>
      </c>
      <c r="F33" t="s">
        <v>14562</v>
      </c>
      <c r="G33" t="s">
        <v>72</v>
      </c>
      <c r="H33" t="s">
        <v>72</v>
      </c>
      <c r="I33" t="s">
        <v>14563</v>
      </c>
      <c r="J33" t="s">
        <v>14564</v>
      </c>
      <c r="K33" t="s">
        <v>14565</v>
      </c>
      <c r="L33" t="s">
        <v>72</v>
      </c>
      <c r="M33" t="s">
        <v>76</v>
      </c>
      <c r="N33" t="s">
        <v>312</v>
      </c>
      <c r="O33" t="s">
        <v>14566</v>
      </c>
      <c r="P33" t="s">
        <v>14567</v>
      </c>
      <c r="Q33" t="s">
        <v>14568</v>
      </c>
      <c r="R33" t="s">
        <v>72</v>
      </c>
      <c r="S33" t="s">
        <v>14569</v>
      </c>
      <c r="T33" t="s">
        <v>14570</v>
      </c>
      <c r="U33" t="s">
        <v>72</v>
      </c>
      <c r="V33" t="s">
        <v>14571</v>
      </c>
      <c r="W33" t="s">
        <v>14572</v>
      </c>
      <c r="X33" t="s">
        <v>14573</v>
      </c>
      <c r="Y33" t="s">
        <v>14574</v>
      </c>
      <c r="Z33" t="s">
        <v>14575</v>
      </c>
      <c r="AA33" t="s">
        <v>14576</v>
      </c>
      <c r="AB33" t="s">
        <v>14577</v>
      </c>
      <c r="AC33" t="s">
        <v>72</v>
      </c>
      <c r="AD33" t="s">
        <v>72</v>
      </c>
      <c r="AE33" t="s">
        <v>72</v>
      </c>
      <c r="AF33" t="s">
        <v>72</v>
      </c>
      <c r="AG33">
        <v>15</v>
      </c>
      <c r="AH33">
        <v>0</v>
      </c>
      <c r="AI33">
        <v>0</v>
      </c>
      <c r="AJ33">
        <v>0</v>
      </c>
      <c r="AK33">
        <v>6</v>
      </c>
      <c r="AL33" t="s">
        <v>14578</v>
      </c>
      <c r="AM33" t="s">
        <v>14579</v>
      </c>
      <c r="AN33" t="s">
        <v>14580</v>
      </c>
      <c r="AO33" t="s">
        <v>72</v>
      </c>
      <c r="AP33" t="s">
        <v>14581</v>
      </c>
      <c r="AQ33" t="s">
        <v>72</v>
      </c>
      <c r="AR33" t="s">
        <v>14582</v>
      </c>
      <c r="AS33" t="s">
        <v>72</v>
      </c>
      <c r="AT33" t="s">
        <v>72</v>
      </c>
      <c r="AU33">
        <v>2019</v>
      </c>
      <c r="AV33">
        <v>66</v>
      </c>
      <c r="AW33" t="s">
        <v>72</v>
      </c>
      <c r="AX33" t="s">
        <v>72</v>
      </c>
      <c r="AY33" t="s">
        <v>72</v>
      </c>
      <c r="AZ33" t="s">
        <v>72</v>
      </c>
      <c r="BA33" t="s">
        <v>72</v>
      </c>
      <c r="BB33">
        <v>26</v>
      </c>
      <c r="BC33">
        <v>34</v>
      </c>
      <c r="BD33" t="s">
        <v>72</v>
      </c>
      <c r="BE33" t="s">
        <v>14583</v>
      </c>
      <c r="BF33" t="str">
        <f>HYPERLINK("http://dx.doi.org/10.15405/epsbs.2019.08.02.4","http://dx.doi.org/10.15405/epsbs.2019.08.02.4")</f>
        <v>http://dx.doi.org/10.15405/epsbs.2019.08.02.4</v>
      </c>
      <c r="BG33" t="s">
        <v>72</v>
      </c>
      <c r="BH33" t="s">
        <v>72</v>
      </c>
      <c r="BI33">
        <v>9</v>
      </c>
      <c r="BJ33" t="s">
        <v>14584</v>
      </c>
      <c r="BK33" t="s">
        <v>14585</v>
      </c>
      <c r="BL33" t="s">
        <v>14586</v>
      </c>
      <c r="BM33" t="s">
        <v>72</v>
      </c>
      <c r="BN33" t="s">
        <v>72</v>
      </c>
      <c r="BO33" t="s">
        <v>72</v>
      </c>
      <c r="BP33" t="s">
        <v>72</v>
      </c>
      <c r="BQ33" t="s">
        <v>100</v>
      </c>
      <c r="BR33" t="s">
        <v>14587</v>
      </c>
      <c r="BS33" t="str">
        <f>HYPERLINK("https%3A%2F%2Fwww.webofscience.com%2Fwos%2Fwoscc%2Ffull-record%2FWOS:000493895300004","View Full Record in Web of Science")</f>
        <v>View Full Record in Web of Science</v>
      </c>
    </row>
    <row r="34" spans="1:71" hidden="1" x14ac:dyDescent="0.2">
      <c r="A34" t="s">
        <v>70</v>
      </c>
      <c r="B34" t="s">
        <v>3369</v>
      </c>
      <c r="C34" t="s">
        <v>72</v>
      </c>
      <c r="D34" t="s">
        <v>72</v>
      </c>
      <c r="E34" t="s">
        <v>72</v>
      </c>
      <c r="F34" t="s">
        <v>3370</v>
      </c>
      <c r="G34" t="s">
        <v>72</v>
      </c>
      <c r="H34" t="s">
        <v>72</v>
      </c>
      <c r="I34" t="s">
        <v>3371</v>
      </c>
      <c r="J34" t="s">
        <v>3372</v>
      </c>
      <c r="K34" t="s">
        <v>72</v>
      </c>
      <c r="L34" t="s">
        <v>72</v>
      </c>
      <c r="M34" t="s">
        <v>76</v>
      </c>
      <c r="N34" t="s">
        <v>3373</v>
      </c>
      <c r="O34" t="s">
        <v>72</v>
      </c>
      <c r="P34" t="s">
        <v>72</v>
      </c>
      <c r="Q34" t="s">
        <v>72</v>
      </c>
      <c r="R34" t="s">
        <v>72</v>
      </c>
      <c r="S34" t="s">
        <v>72</v>
      </c>
      <c r="T34" t="s">
        <v>72</v>
      </c>
      <c r="U34" t="s">
        <v>72</v>
      </c>
      <c r="V34" t="s">
        <v>72</v>
      </c>
      <c r="W34" t="s">
        <v>3374</v>
      </c>
      <c r="X34" t="s">
        <v>3375</v>
      </c>
      <c r="Y34" t="s">
        <v>3376</v>
      </c>
      <c r="Z34" t="s">
        <v>3377</v>
      </c>
      <c r="AA34" t="s">
        <v>72</v>
      </c>
      <c r="AB34" t="s">
        <v>72</v>
      </c>
      <c r="AC34" t="s">
        <v>3378</v>
      </c>
      <c r="AD34" t="s">
        <v>3379</v>
      </c>
      <c r="AE34" t="s">
        <v>72</v>
      </c>
      <c r="AF34" t="s">
        <v>72</v>
      </c>
      <c r="AG34">
        <v>1</v>
      </c>
      <c r="AH34">
        <v>0</v>
      </c>
      <c r="AI34">
        <v>0</v>
      </c>
      <c r="AJ34">
        <v>0</v>
      </c>
      <c r="AK34">
        <v>0</v>
      </c>
      <c r="AL34" t="s">
        <v>3380</v>
      </c>
      <c r="AM34" t="s">
        <v>574</v>
      </c>
      <c r="AN34" t="s">
        <v>3381</v>
      </c>
      <c r="AO34" t="s">
        <v>3382</v>
      </c>
      <c r="AP34" t="s">
        <v>3383</v>
      </c>
      <c r="AQ34" t="s">
        <v>72</v>
      </c>
      <c r="AR34" t="s">
        <v>3372</v>
      </c>
      <c r="AS34" t="s">
        <v>3384</v>
      </c>
      <c r="AT34" t="s">
        <v>3385</v>
      </c>
      <c r="AU34">
        <v>2016</v>
      </c>
      <c r="AV34">
        <v>104</v>
      </c>
      <c r="AW34" t="s">
        <v>72</v>
      </c>
      <c r="AX34" t="s">
        <v>72</v>
      </c>
      <c r="AY34" t="s">
        <v>72</v>
      </c>
      <c r="AZ34" t="s">
        <v>72</v>
      </c>
      <c r="BA34" t="s">
        <v>72</v>
      </c>
      <c r="BB34">
        <v>208</v>
      </c>
      <c r="BC34">
        <v>208</v>
      </c>
      <c r="BD34" t="s">
        <v>72</v>
      </c>
      <c r="BE34" t="s">
        <v>3386</v>
      </c>
      <c r="BF34" t="str">
        <f>HYPERLINK("http://dx.doi.org/10.1016/j.ymeth.2016.06.011","http://dx.doi.org/10.1016/j.ymeth.2016.06.011")</f>
        <v>http://dx.doi.org/10.1016/j.ymeth.2016.06.011</v>
      </c>
      <c r="BG34" t="s">
        <v>72</v>
      </c>
      <c r="BH34" t="s">
        <v>72</v>
      </c>
      <c r="BI34">
        <v>1</v>
      </c>
      <c r="BJ34" s="8" t="s">
        <v>17617</v>
      </c>
      <c r="BK34" t="s">
        <v>3387</v>
      </c>
      <c r="BL34" t="s">
        <v>3388</v>
      </c>
      <c r="BM34">
        <v>27324076</v>
      </c>
      <c r="BN34" t="s">
        <v>280</v>
      </c>
      <c r="BO34" t="s">
        <v>72</v>
      </c>
      <c r="BP34" t="s">
        <v>72</v>
      </c>
      <c r="BQ34" t="s">
        <v>100</v>
      </c>
      <c r="BR34" t="s">
        <v>3389</v>
      </c>
      <c r="BS34" t="str">
        <f>HYPERLINK("https%3A%2F%2Fwww.webofscience.com%2Fwos%2Fwoscc%2Ffull-record%2FWOS:000380299300027","View Full Record in Web of Science")</f>
        <v>View Full Record in Web of Science</v>
      </c>
    </row>
    <row r="35" spans="1:71" hidden="1" x14ac:dyDescent="0.2">
      <c r="A35" t="s">
        <v>70</v>
      </c>
      <c r="B35" t="s">
        <v>3369</v>
      </c>
      <c r="C35" t="s">
        <v>72</v>
      </c>
      <c r="D35" t="s">
        <v>72</v>
      </c>
      <c r="E35" t="s">
        <v>72</v>
      </c>
      <c r="F35" t="s">
        <v>3370</v>
      </c>
      <c r="G35" t="s">
        <v>72</v>
      </c>
      <c r="H35" t="s">
        <v>72</v>
      </c>
      <c r="I35" t="s">
        <v>16984</v>
      </c>
      <c r="J35" t="s">
        <v>3372</v>
      </c>
      <c r="K35" t="s">
        <v>72</v>
      </c>
      <c r="L35" t="s">
        <v>72</v>
      </c>
      <c r="M35" t="s">
        <v>76</v>
      </c>
      <c r="N35" t="s">
        <v>77</v>
      </c>
      <c r="O35" t="s">
        <v>72</v>
      </c>
      <c r="P35" t="s">
        <v>72</v>
      </c>
      <c r="Q35" t="s">
        <v>72</v>
      </c>
      <c r="R35" t="s">
        <v>72</v>
      </c>
      <c r="S35" t="s">
        <v>72</v>
      </c>
      <c r="T35" t="s">
        <v>16985</v>
      </c>
      <c r="U35" t="s">
        <v>16986</v>
      </c>
      <c r="V35" t="s">
        <v>16987</v>
      </c>
      <c r="W35" t="s">
        <v>16988</v>
      </c>
      <c r="X35" t="s">
        <v>3375</v>
      </c>
      <c r="Y35" t="s">
        <v>3376</v>
      </c>
      <c r="Z35" t="s">
        <v>3377</v>
      </c>
      <c r="AA35" t="s">
        <v>72</v>
      </c>
      <c r="AB35" t="s">
        <v>72</v>
      </c>
      <c r="AC35" t="s">
        <v>16989</v>
      </c>
      <c r="AD35" t="s">
        <v>16990</v>
      </c>
      <c r="AE35" t="s">
        <v>16991</v>
      </c>
      <c r="AF35" t="s">
        <v>72</v>
      </c>
      <c r="AG35">
        <v>60</v>
      </c>
      <c r="AH35">
        <v>19</v>
      </c>
      <c r="AI35">
        <v>20</v>
      </c>
      <c r="AJ35">
        <v>0</v>
      </c>
      <c r="AK35">
        <v>17</v>
      </c>
      <c r="AL35" t="s">
        <v>3380</v>
      </c>
      <c r="AM35" t="s">
        <v>574</v>
      </c>
      <c r="AN35" t="s">
        <v>3381</v>
      </c>
      <c r="AO35" t="s">
        <v>3382</v>
      </c>
      <c r="AP35" t="s">
        <v>3383</v>
      </c>
      <c r="AQ35" t="s">
        <v>72</v>
      </c>
      <c r="AR35" t="s">
        <v>3372</v>
      </c>
      <c r="AS35" t="s">
        <v>3384</v>
      </c>
      <c r="AT35" t="s">
        <v>5500</v>
      </c>
      <c r="AU35">
        <v>2015</v>
      </c>
      <c r="AV35">
        <v>74</v>
      </c>
      <c r="AW35" t="s">
        <v>72</v>
      </c>
      <c r="AX35" t="s">
        <v>72</v>
      </c>
      <c r="AY35" t="s">
        <v>72</v>
      </c>
      <c r="AZ35" t="s">
        <v>72</v>
      </c>
      <c r="BA35" t="s">
        <v>72</v>
      </c>
      <c r="BB35">
        <v>54</v>
      </c>
      <c r="BC35">
        <v>64</v>
      </c>
      <c r="BD35" t="s">
        <v>72</v>
      </c>
      <c r="BE35" t="s">
        <v>16992</v>
      </c>
      <c r="BF35" t="str">
        <f>HYPERLINK("http://dx.doi.org/10.1016/j.ymeth.2014.10.027","http://dx.doi.org/10.1016/j.ymeth.2014.10.027")</f>
        <v>http://dx.doi.org/10.1016/j.ymeth.2014.10.027</v>
      </c>
      <c r="BG35" t="s">
        <v>72</v>
      </c>
      <c r="BH35" t="s">
        <v>72</v>
      </c>
      <c r="BI35">
        <v>11</v>
      </c>
      <c r="BJ35" s="8" t="s">
        <v>17617</v>
      </c>
      <c r="BK35" t="s">
        <v>3387</v>
      </c>
      <c r="BL35" t="s">
        <v>16993</v>
      </c>
      <c r="BM35">
        <v>25448299</v>
      </c>
      <c r="BN35" t="s">
        <v>280</v>
      </c>
      <c r="BO35" t="s">
        <v>72</v>
      </c>
      <c r="BP35" t="s">
        <v>72</v>
      </c>
      <c r="BQ35" t="s">
        <v>100</v>
      </c>
      <c r="BR35" t="s">
        <v>16994</v>
      </c>
      <c r="BS35" t="str">
        <f>HYPERLINK("https%3A%2F%2Fwww.webofscience.com%2Fwos%2Fwoscc%2Ffull-record%2FWOS:000350708200006","View Full Record in Web of Science")</f>
        <v>View Full Record in Web of Science</v>
      </c>
    </row>
    <row r="36" spans="1:71" hidden="1" x14ac:dyDescent="0.2">
      <c r="A36" t="s">
        <v>305</v>
      </c>
      <c r="B36" t="s">
        <v>1130</v>
      </c>
      <c r="C36" t="s">
        <v>72</v>
      </c>
      <c r="D36" t="s">
        <v>1131</v>
      </c>
      <c r="E36" t="s">
        <v>72</v>
      </c>
      <c r="F36" t="s">
        <v>1132</v>
      </c>
      <c r="G36" t="s">
        <v>72</v>
      </c>
      <c r="H36" t="s">
        <v>72</v>
      </c>
      <c r="I36" t="s">
        <v>1133</v>
      </c>
      <c r="J36" t="s">
        <v>1134</v>
      </c>
      <c r="K36" t="s">
        <v>72</v>
      </c>
      <c r="L36" t="s">
        <v>72</v>
      </c>
      <c r="M36" t="s">
        <v>76</v>
      </c>
      <c r="N36" t="s">
        <v>312</v>
      </c>
      <c r="O36" t="s">
        <v>1135</v>
      </c>
      <c r="P36" t="s">
        <v>1136</v>
      </c>
      <c r="Q36" t="s">
        <v>1137</v>
      </c>
      <c r="R36" t="s">
        <v>1138</v>
      </c>
      <c r="S36" t="s">
        <v>72</v>
      </c>
      <c r="T36" t="s">
        <v>1139</v>
      </c>
      <c r="U36" t="s">
        <v>72</v>
      </c>
      <c r="V36" t="s">
        <v>1140</v>
      </c>
      <c r="W36" t="s">
        <v>1141</v>
      </c>
      <c r="X36" t="s">
        <v>1142</v>
      </c>
      <c r="Y36" t="s">
        <v>1143</v>
      </c>
      <c r="Z36" t="s">
        <v>1144</v>
      </c>
      <c r="AA36" t="s">
        <v>72</v>
      </c>
      <c r="AB36" t="s">
        <v>72</v>
      </c>
      <c r="AC36" t="s">
        <v>72</v>
      </c>
      <c r="AD36" t="s">
        <v>72</v>
      </c>
      <c r="AE36" t="s">
        <v>72</v>
      </c>
      <c r="AF36" t="s">
        <v>72</v>
      </c>
      <c r="AG36">
        <v>9</v>
      </c>
      <c r="AH36">
        <v>0</v>
      </c>
      <c r="AI36">
        <v>0</v>
      </c>
      <c r="AJ36">
        <v>0</v>
      </c>
      <c r="AK36">
        <v>0</v>
      </c>
      <c r="AL36" t="s">
        <v>1145</v>
      </c>
      <c r="AM36" t="s">
        <v>1146</v>
      </c>
      <c r="AN36" t="s">
        <v>1147</v>
      </c>
      <c r="AO36" t="s">
        <v>72</v>
      </c>
      <c r="AP36" t="s">
        <v>72</v>
      </c>
      <c r="AQ36" t="s">
        <v>1148</v>
      </c>
      <c r="AR36" t="s">
        <v>72</v>
      </c>
      <c r="AS36" t="s">
        <v>72</v>
      </c>
      <c r="AT36" t="s">
        <v>72</v>
      </c>
      <c r="AU36">
        <v>2006</v>
      </c>
      <c r="AV36" t="s">
        <v>72</v>
      </c>
      <c r="AW36" t="s">
        <v>72</v>
      </c>
      <c r="AX36" t="s">
        <v>72</v>
      </c>
      <c r="AY36" t="s">
        <v>72</v>
      </c>
      <c r="AZ36" t="s">
        <v>72</v>
      </c>
      <c r="BA36" t="s">
        <v>72</v>
      </c>
      <c r="BB36">
        <v>296</v>
      </c>
      <c r="BC36" t="s">
        <v>173</v>
      </c>
      <c r="BD36" t="s">
        <v>72</v>
      </c>
      <c r="BE36" t="s">
        <v>72</v>
      </c>
      <c r="BF36" t="s">
        <v>72</v>
      </c>
      <c r="BG36" t="s">
        <v>72</v>
      </c>
      <c r="BH36" t="s">
        <v>72</v>
      </c>
      <c r="BI36">
        <v>2</v>
      </c>
      <c r="BJ36" s="8" t="s">
        <v>17617</v>
      </c>
      <c r="BK36" t="s">
        <v>1149</v>
      </c>
      <c r="BL36" t="s">
        <v>1150</v>
      </c>
      <c r="BM36" t="s">
        <v>72</v>
      </c>
      <c r="BN36" t="s">
        <v>72</v>
      </c>
      <c r="BO36" t="s">
        <v>72</v>
      </c>
      <c r="BP36" t="s">
        <v>72</v>
      </c>
      <c r="BQ36" t="s">
        <v>100</v>
      </c>
      <c r="BR36" t="s">
        <v>1151</v>
      </c>
      <c r="BS36" t="str">
        <f>HYPERLINK("https%3A%2F%2Fwww.webofscience.com%2Fwos%2Fwoscc%2Ffull-record%2FWOS:000243859500067","View Full Record in Web of Science")</f>
        <v>View Full Record in Web of Science</v>
      </c>
    </row>
    <row r="37" spans="1:71" hidden="1" x14ac:dyDescent="0.2">
      <c r="A37" t="s">
        <v>70</v>
      </c>
      <c r="B37" t="s">
        <v>3307</v>
      </c>
      <c r="C37" t="s">
        <v>72</v>
      </c>
      <c r="D37" t="s">
        <v>72</v>
      </c>
      <c r="E37" t="s">
        <v>72</v>
      </c>
      <c r="F37" t="s">
        <v>3308</v>
      </c>
      <c r="G37" t="s">
        <v>72</v>
      </c>
      <c r="H37" t="s">
        <v>72</v>
      </c>
      <c r="I37" t="s">
        <v>3309</v>
      </c>
      <c r="J37" t="s">
        <v>3310</v>
      </c>
      <c r="K37" t="s">
        <v>72</v>
      </c>
      <c r="L37" t="s">
        <v>72</v>
      </c>
      <c r="M37" t="s">
        <v>76</v>
      </c>
      <c r="N37" t="s">
        <v>77</v>
      </c>
      <c r="O37" t="s">
        <v>72</v>
      </c>
      <c r="P37" t="s">
        <v>72</v>
      </c>
      <c r="Q37" t="s">
        <v>72</v>
      </c>
      <c r="R37" t="s">
        <v>72</v>
      </c>
      <c r="S37" t="s">
        <v>72</v>
      </c>
      <c r="T37" t="s">
        <v>3311</v>
      </c>
      <c r="U37" t="s">
        <v>3312</v>
      </c>
      <c r="V37" t="s">
        <v>3313</v>
      </c>
      <c r="W37" t="s">
        <v>3314</v>
      </c>
      <c r="X37" t="s">
        <v>3315</v>
      </c>
      <c r="Y37" t="s">
        <v>3316</v>
      </c>
      <c r="Z37" t="s">
        <v>3317</v>
      </c>
      <c r="AA37" t="s">
        <v>3318</v>
      </c>
      <c r="AB37" t="s">
        <v>3319</v>
      </c>
      <c r="AC37" t="s">
        <v>3320</v>
      </c>
      <c r="AD37" t="s">
        <v>3321</v>
      </c>
      <c r="AE37" t="s">
        <v>3322</v>
      </c>
      <c r="AF37" t="s">
        <v>72</v>
      </c>
      <c r="AG37">
        <v>58</v>
      </c>
      <c r="AH37">
        <v>31</v>
      </c>
      <c r="AI37">
        <v>32</v>
      </c>
      <c r="AJ37">
        <v>0</v>
      </c>
      <c r="AK37">
        <v>13</v>
      </c>
      <c r="AL37" t="s">
        <v>1260</v>
      </c>
      <c r="AM37" t="s">
        <v>964</v>
      </c>
      <c r="AN37" t="s">
        <v>965</v>
      </c>
      <c r="AO37" t="s">
        <v>3323</v>
      </c>
      <c r="AP37" t="s">
        <v>3324</v>
      </c>
      <c r="AQ37" t="s">
        <v>72</v>
      </c>
      <c r="AR37" t="s">
        <v>3325</v>
      </c>
      <c r="AS37" t="s">
        <v>3326</v>
      </c>
      <c r="AT37" t="s">
        <v>299</v>
      </c>
      <c r="AU37">
        <v>2018</v>
      </c>
      <c r="AV37">
        <v>32</v>
      </c>
      <c r="AW37">
        <v>3</v>
      </c>
      <c r="AX37" t="s">
        <v>72</v>
      </c>
      <c r="AY37" t="s">
        <v>72</v>
      </c>
      <c r="AZ37" t="s">
        <v>72</v>
      </c>
      <c r="BA37" t="s">
        <v>72</v>
      </c>
      <c r="BB37">
        <v>716</v>
      </c>
      <c r="BC37">
        <v>724</v>
      </c>
      <c r="BD37" t="s">
        <v>72</v>
      </c>
      <c r="BE37" t="s">
        <v>3327</v>
      </c>
      <c r="BF37" t="str">
        <f>HYPERLINK("http://dx.doi.org/10.1111/cobi.13044","http://dx.doi.org/10.1111/cobi.13044")</f>
        <v>http://dx.doi.org/10.1111/cobi.13044</v>
      </c>
      <c r="BG37" t="s">
        <v>72</v>
      </c>
      <c r="BH37" t="s">
        <v>72</v>
      </c>
      <c r="BI37">
        <v>9</v>
      </c>
      <c r="BJ37" s="8" t="s">
        <v>17617</v>
      </c>
      <c r="BK37" t="s">
        <v>3328</v>
      </c>
      <c r="BL37" t="s">
        <v>3329</v>
      </c>
      <c r="BM37">
        <v>29086438</v>
      </c>
      <c r="BN37" t="s">
        <v>72</v>
      </c>
      <c r="BO37" t="s">
        <v>72</v>
      </c>
      <c r="BP37" t="s">
        <v>72</v>
      </c>
      <c r="BQ37" t="s">
        <v>100</v>
      </c>
      <c r="BR37" t="s">
        <v>3330</v>
      </c>
      <c r="BS37" t="str">
        <f>HYPERLINK("https%3A%2F%2Fwww.webofscience.com%2Fwos%2Fwoscc%2Ffull-record%2FWOS:000433570000021","View Full Record in Web of Science")</f>
        <v>View Full Record in Web of Science</v>
      </c>
    </row>
    <row r="38" spans="1:71" hidden="1" x14ac:dyDescent="0.2">
      <c r="A38" t="s">
        <v>70</v>
      </c>
      <c r="B38" t="s">
        <v>6914</v>
      </c>
      <c r="C38" t="s">
        <v>72</v>
      </c>
      <c r="D38" t="s">
        <v>72</v>
      </c>
      <c r="E38" t="s">
        <v>72</v>
      </c>
      <c r="F38" t="s">
        <v>6915</v>
      </c>
      <c r="G38" t="s">
        <v>72</v>
      </c>
      <c r="H38" t="s">
        <v>72</v>
      </c>
      <c r="I38" t="s">
        <v>6916</v>
      </c>
      <c r="J38" t="s">
        <v>3310</v>
      </c>
      <c r="K38" t="s">
        <v>72</v>
      </c>
      <c r="L38" t="s">
        <v>72</v>
      </c>
      <c r="M38" t="s">
        <v>76</v>
      </c>
      <c r="N38" t="s">
        <v>77</v>
      </c>
      <c r="O38" t="s">
        <v>72</v>
      </c>
      <c r="P38" t="s">
        <v>72</v>
      </c>
      <c r="Q38" t="s">
        <v>72</v>
      </c>
      <c r="R38" t="s">
        <v>72</v>
      </c>
      <c r="S38" t="s">
        <v>72</v>
      </c>
      <c r="T38" t="s">
        <v>6917</v>
      </c>
      <c r="U38" t="s">
        <v>6918</v>
      </c>
      <c r="V38" t="s">
        <v>6919</v>
      </c>
      <c r="W38" t="s">
        <v>6920</v>
      </c>
      <c r="X38" t="s">
        <v>511</v>
      </c>
      <c r="Y38" t="s">
        <v>6921</v>
      </c>
      <c r="Z38" t="s">
        <v>6922</v>
      </c>
      <c r="AA38" t="s">
        <v>6923</v>
      </c>
      <c r="AB38" t="s">
        <v>6924</v>
      </c>
      <c r="AC38" t="s">
        <v>6925</v>
      </c>
      <c r="AD38" t="s">
        <v>6926</v>
      </c>
      <c r="AE38" t="s">
        <v>6927</v>
      </c>
      <c r="AF38" t="s">
        <v>72</v>
      </c>
      <c r="AG38">
        <v>48</v>
      </c>
      <c r="AH38">
        <v>58</v>
      </c>
      <c r="AI38">
        <v>61</v>
      </c>
      <c r="AJ38">
        <v>6</v>
      </c>
      <c r="AK38">
        <v>88</v>
      </c>
      <c r="AL38" t="s">
        <v>1260</v>
      </c>
      <c r="AM38" t="s">
        <v>964</v>
      </c>
      <c r="AN38" t="s">
        <v>965</v>
      </c>
      <c r="AO38" t="s">
        <v>3323</v>
      </c>
      <c r="AP38" t="s">
        <v>3324</v>
      </c>
      <c r="AQ38" t="s">
        <v>72</v>
      </c>
      <c r="AR38" t="s">
        <v>3325</v>
      </c>
      <c r="AS38" t="s">
        <v>3326</v>
      </c>
      <c r="AT38" t="s">
        <v>929</v>
      </c>
      <c r="AU38">
        <v>2015</v>
      </c>
      <c r="AV38">
        <v>29</v>
      </c>
      <c r="AW38">
        <v>6</v>
      </c>
      <c r="AX38" t="s">
        <v>72</v>
      </c>
      <c r="AY38" t="s">
        <v>72</v>
      </c>
      <c r="AZ38" t="s">
        <v>72</v>
      </c>
      <c r="BA38" t="s">
        <v>72</v>
      </c>
      <c r="BB38">
        <v>1606</v>
      </c>
      <c r="BC38">
        <v>1614</v>
      </c>
      <c r="BD38" t="s">
        <v>72</v>
      </c>
      <c r="BE38" t="s">
        <v>6928</v>
      </c>
      <c r="BF38" t="str">
        <f>HYPERLINK("http://dx.doi.org/10.1111/cobi.12605","http://dx.doi.org/10.1111/cobi.12605")</f>
        <v>http://dx.doi.org/10.1111/cobi.12605</v>
      </c>
      <c r="BG38" t="s">
        <v>72</v>
      </c>
      <c r="BH38" t="s">
        <v>72</v>
      </c>
      <c r="BI38">
        <v>9</v>
      </c>
      <c r="BJ38" s="8" t="s">
        <v>17617</v>
      </c>
      <c r="BK38" t="s">
        <v>3328</v>
      </c>
      <c r="BL38" t="s">
        <v>6929</v>
      </c>
      <c r="BM38">
        <v>26271213</v>
      </c>
      <c r="BN38" t="s">
        <v>251</v>
      </c>
      <c r="BO38" t="s">
        <v>72</v>
      </c>
      <c r="BP38" t="s">
        <v>72</v>
      </c>
      <c r="BQ38" t="s">
        <v>100</v>
      </c>
      <c r="BR38" t="s">
        <v>6930</v>
      </c>
      <c r="BS38" t="str">
        <f>HYPERLINK("https%3A%2F%2Fwww.webofscience.com%2Fwos%2Fwoscc%2Ffull-record%2FWOS:000368334800013","View Full Record in Web of Science")</f>
        <v>View Full Record in Web of Science</v>
      </c>
    </row>
    <row r="39" spans="1:71" hidden="1" x14ac:dyDescent="0.2">
      <c r="A39" t="s">
        <v>70</v>
      </c>
      <c r="B39" t="s">
        <v>15914</v>
      </c>
      <c r="C39" t="s">
        <v>72</v>
      </c>
      <c r="D39" t="s">
        <v>72</v>
      </c>
      <c r="E39" t="s">
        <v>72</v>
      </c>
      <c r="F39" t="s">
        <v>15915</v>
      </c>
      <c r="G39" t="s">
        <v>72</v>
      </c>
      <c r="H39" t="s">
        <v>72</v>
      </c>
      <c r="I39" t="s">
        <v>15916</v>
      </c>
      <c r="J39" t="s">
        <v>15917</v>
      </c>
      <c r="K39" t="s">
        <v>72</v>
      </c>
      <c r="L39" t="s">
        <v>72</v>
      </c>
      <c r="M39" t="s">
        <v>76</v>
      </c>
      <c r="N39" t="s">
        <v>1503</v>
      </c>
      <c r="O39" t="s">
        <v>72</v>
      </c>
      <c r="P39" t="s">
        <v>72</v>
      </c>
      <c r="Q39" t="s">
        <v>72</v>
      </c>
      <c r="R39" t="s">
        <v>72</v>
      </c>
      <c r="S39" t="s">
        <v>72</v>
      </c>
      <c r="T39" t="s">
        <v>15918</v>
      </c>
      <c r="U39" t="s">
        <v>15919</v>
      </c>
      <c r="V39" t="s">
        <v>15920</v>
      </c>
      <c r="W39" t="s">
        <v>15921</v>
      </c>
      <c r="X39" t="s">
        <v>15922</v>
      </c>
      <c r="Y39" t="s">
        <v>15923</v>
      </c>
      <c r="Z39" t="s">
        <v>15924</v>
      </c>
      <c r="AA39" t="s">
        <v>3624</v>
      </c>
      <c r="AB39" t="s">
        <v>15925</v>
      </c>
      <c r="AC39" t="s">
        <v>15926</v>
      </c>
      <c r="AD39" t="s">
        <v>15927</v>
      </c>
      <c r="AE39" t="s">
        <v>15928</v>
      </c>
      <c r="AF39" t="s">
        <v>72</v>
      </c>
      <c r="AG39">
        <v>112</v>
      </c>
      <c r="AH39">
        <v>13</v>
      </c>
      <c r="AI39">
        <v>13</v>
      </c>
      <c r="AJ39">
        <v>4</v>
      </c>
      <c r="AK39">
        <v>49</v>
      </c>
      <c r="AL39" t="s">
        <v>88</v>
      </c>
      <c r="AM39" t="s">
        <v>89</v>
      </c>
      <c r="AN39" t="s">
        <v>90</v>
      </c>
      <c r="AO39" t="s">
        <v>15929</v>
      </c>
      <c r="AP39" t="s">
        <v>15930</v>
      </c>
      <c r="AQ39" t="s">
        <v>72</v>
      </c>
      <c r="AR39" t="s">
        <v>15931</v>
      </c>
      <c r="AS39" t="s">
        <v>15932</v>
      </c>
      <c r="AT39" t="s">
        <v>951</v>
      </c>
      <c r="AU39">
        <v>2017</v>
      </c>
      <c r="AV39">
        <v>19</v>
      </c>
      <c r="AW39">
        <v>11</v>
      </c>
      <c r="AX39" t="s">
        <v>72</v>
      </c>
      <c r="AY39" t="s">
        <v>72</v>
      </c>
      <c r="AZ39" t="s">
        <v>478</v>
      </c>
      <c r="BA39" t="s">
        <v>72</v>
      </c>
      <c r="BB39">
        <v>3079</v>
      </c>
      <c r="BC39">
        <v>3097</v>
      </c>
      <c r="BD39" t="s">
        <v>72</v>
      </c>
      <c r="BE39" t="s">
        <v>15933</v>
      </c>
      <c r="BF39" t="str">
        <f>HYPERLINK("http://dx.doi.org/10.1007/s10530-017-1456-7","http://dx.doi.org/10.1007/s10530-017-1456-7")</f>
        <v>http://dx.doi.org/10.1007/s10530-017-1456-7</v>
      </c>
      <c r="BG39" t="s">
        <v>72</v>
      </c>
      <c r="BH39" t="s">
        <v>72</v>
      </c>
      <c r="BI39">
        <v>19</v>
      </c>
      <c r="BJ39" s="8" t="s">
        <v>17617</v>
      </c>
      <c r="BK39" t="s">
        <v>3328</v>
      </c>
      <c r="BL39" t="s">
        <v>15934</v>
      </c>
      <c r="BM39" t="s">
        <v>72</v>
      </c>
      <c r="BN39" t="s">
        <v>280</v>
      </c>
      <c r="BO39" t="s">
        <v>72</v>
      </c>
      <c r="BP39" t="s">
        <v>72</v>
      </c>
      <c r="BQ39" t="s">
        <v>100</v>
      </c>
      <c r="BR39" t="s">
        <v>15935</v>
      </c>
      <c r="BS39" t="str">
        <f>HYPERLINK("https%3A%2F%2Fwww.webofscience.com%2Fwos%2Fwoscc%2Ffull-record%2FWOS:000413988900002","View Full Record in Web of Science")</f>
        <v>View Full Record in Web of Science</v>
      </c>
    </row>
    <row r="40" spans="1:71" hidden="1" x14ac:dyDescent="0.2">
      <c r="A40" t="s">
        <v>70</v>
      </c>
      <c r="B40" t="s">
        <v>16803</v>
      </c>
      <c r="C40" t="s">
        <v>72</v>
      </c>
      <c r="D40" t="s">
        <v>72</v>
      </c>
      <c r="E40" t="s">
        <v>72</v>
      </c>
      <c r="F40" t="s">
        <v>16804</v>
      </c>
      <c r="G40" t="s">
        <v>72</v>
      </c>
      <c r="H40" t="s">
        <v>72</v>
      </c>
      <c r="I40" t="s">
        <v>16805</v>
      </c>
      <c r="J40" t="s">
        <v>16806</v>
      </c>
      <c r="K40" t="s">
        <v>72</v>
      </c>
      <c r="L40" t="s">
        <v>72</v>
      </c>
      <c r="M40" t="s">
        <v>76</v>
      </c>
      <c r="N40" t="s">
        <v>77</v>
      </c>
      <c r="O40" t="s">
        <v>72</v>
      </c>
      <c r="P40" t="s">
        <v>72</v>
      </c>
      <c r="Q40" t="s">
        <v>72</v>
      </c>
      <c r="R40" t="s">
        <v>72</v>
      </c>
      <c r="S40" t="s">
        <v>72</v>
      </c>
      <c r="T40" t="s">
        <v>16807</v>
      </c>
      <c r="U40" t="s">
        <v>16808</v>
      </c>
      <c r="V40" t="s">
        <v>16809</v>
      </c>
      <c r="W40" t="s">
        <v>16810</v>
      </c>
      <c r="X40" t="s">
        <v>16811</v>
      </c>
      <c r="Y40" t="s">
        <v>16812</v>
      </c>
      <c r="Z40" t="s">
        <v>16813</v>
      </c>
      <c r="AA40" t="s">
        <v>16814</v>
      </c>
      <c r="AB40" t="s">
        <v>16815</v>
      </c>
      <c r="AC40" t="s">
        <v>72</v>
      </c>
      <c r="AD40" t="s">
        <v>72</v>
      </c>
      <c r="AE40" t="s">
        <v>72</v>
      </c>
      <c r="AF40" t="s">
        <v>72</v>
      </c>
      <c r="AG40">
        <v>110</v>
      </c>
      <c r="AH40">
        <v>3</v>
      </c>
      <c r="AI40">
        <v>3</v>
      </c>
      <c r="AJ40">
        <v>4</v>
      </c>
      <c r="AK40">
        <v>6</v>
      </c>
      <c r="AL40" t="s">
        <v>924</v>
      </c>
      <c r="AM40" t="s">
        <v>168</v>
      </c>
      <c r="AN40" t="s">
        <v>925</v>
      </c>
      <c r="AO40" t="s">
        <v>16816</v>
      </c>
      <c r="AP40" t="s">
        <v>16817</v>
      </c>
      <c r="AQ40" t="s">
        <v>72</v>
      </c>
      <c r="AR40" t="s">
        <v>16818</v>
      </c>
      <c r="AS40" t="s">
        <v>16819</v>
      </c>
      <c r="AT40" t="s">
        <v>299</v>
      </c>
      <c r="AU40">
        <v>2021</v>
      </c>
      <c r="AV40">
        <v>125</v>
      </c>
      <c r="AW40" t="s">
        <v>72</v>
      </c>
      <c r="AX40" t="s">
        <v>72</v>
      </c>
      <c r="AY40" t="s">
        <v>72</v>
      </c>
      <c r="AZ40" t="s">
        <v>72</v>
      </c>
      <c r="BA40" t="s">
        <v>72</v>
      </c>
      <c r="BB40" t="s">
        <v>72</v>
      </c>
      <c r="BC40" t="s">
        <v>72</v>
      </c>
      <c r="BD40">
        <v>107527</v>
      </c>
      <c r="BE40" t="s">
        <v>16820</v>
      </c>
      <c r="BF40" t="str">
        <f>HYPERLINK("http://dx.doi.org/10.1016/j.ecolind.2021.107527","http://dx.doi.org/10.1016/j.ecolind.2021.107527")</f>
        <v>http://dx.doi.org/10.1016/j.ecolind.2021.107527</v>
      </c>
      <c r="BG40" t="s">
        <v>72</v>
      </c>
      <c r="BH40" t="s">
        <v>397</v>
      </c>
      <c r="BI40">
        <v>13</v>
      </c>
      <c r="BJ40" s="8" t="s">
        <v>17617</v>
      </c>
      <c r="BK40" t="s">
        <v>3328</v>
      </c>
      <c r="BL40" t="s">
        <v>16821</v>
      </c>
      <c r="BM40" t="s">
        <v>72</v>
      </c>
      <c r="BN40" t="s">
        <v>910</v>
      </c>
      <c r="BO40" t="s">
        <v>72</v>
      </c>
      <c r="BP40" t="s">
        <v>72</v>
      </c>
      <c r="BQ40" t="s">
        <v>100</v>
      </c>
      <c r="BR40" t="s">
        <v>16822</v>
      </c>
      <c r="BS40" t="str">
        <f>HYPERLINK("https%3A%2F%2Fwww.webofscience.com%2Fwos%2Fwoscc%2Ffull-record%2FWOS:000637200800003","View Full Record in Web of Science")</f>
        <v>View Full Record in Web of Science</v>
      </c>
    </row>
    <row r="41" spans="1:71" hidden="1" x14ac:dyDescent="0.2">
      <c r="A41" t="s">
        <v>70</v>
      </c>
      <c r="B41" t="s">
        <v>130</v>
      </c>
      <c r="C41" t="s">
        <v>72</v>
      </c>
      <c r="D41" t="s">
        <v>72</v>
      </c>
      <c r="E41" t="s">
        <v>72</v>
      </c>
      <c r="F41" t="s">
        <v>131</v>
      </c>
      <c r="G41" t="s">
        <v>72</v>
      </c>
      <c r="H41" t="s">
        <v>72</v>
      </c>
      <c r="I41" t="s">
        <v>132</v>
      </c>
      <c r="J41" t="s">
        <v>133</v>
      </c>
      <c r="K41" t="s">
        <v>72</v>
      </c>
      <c r="L41" t="s">
        <v>72</v>
      </c>
      <c r="M41" t="s">
        <v>76</v>
      </c>
      <c r="N41" t="s">
        <v>77</v>
      </c>
      <c r="O41" t="s">
        <v>72</v>
      </c>
      <c r="P41" t="s">
        <v>72</v>
      </c>
      <c r="Q41" t="s">
        <v>72</v>
      </c>
      <c r="R41" t="s">
        <v>72</v>
      </c>
      <c r="S41" t="s">
        <v>72</v>
      </c>
      <c r="T41" t="s">
        <v>134</v>
      </c>
      <c r="U41" t="s">
        <v>135</v>
      </c>
      <c r="V41" t="s">
        <v>136</v>
      </c>
      <c r="W41" t="s">
        <v>137</v>
      </c>
      <c r="X41" t="s">
        <v>138</v>
      </c>
      <c r="Y41" t="s">
        <v>139</v>
      </c>
      <c r="Z41" t="s">
        <v>140</v>
      </c>
      <c r="AA41" t="s">
        <v>72</v>
      </c>
      <c r="AB41" t="s">
        <v>141</v>
      </c>
      <c r="AC41" t="s">
        <v>72</v>
      </c>
      <c r="AD41" t="s">
        <v>72</v>
      </c>
      <c r="AE41" t="s">
        <v>72</v>
      </c>
      <c r="AF41" t="s">
        <v>72</v>
      </c>
      <c r="AG41">
        <v>274</v>
      </c>
      <c r="AH41">
        <v>221</v>
      </c>
      <c r="AI41">
        <v>226</v>
      </c>
      <c r="AJ41">
        <v>49</v>
      </c>
      <c r="AK41">
        <v>283</v>
      </c>
      <c r="AL41" t="s">
        <v>142</v>
      </c>
      <c r="AM41" t="s">
        <v>143</v>
      </c>
      <c r="AN41" t="s">
        <v>144</v>
      </c>
      <c r="AO41" t="s">
        <v>145</v>
      </c>
      <c r="AP41" t="s">
        <v>146</v>
      </c>
      <c r="AQ41" t="s">
        <v>72</v>
      </c>
      <c r="AR41" t="s">
        <v>147</v>
      </c>
      <c r="AS41" t="s">
        <v>148</v>
      </c>
      <c r="AT41" t="s">
        <v>149</v>
      </c>
      <c r="AU41">
        <v>2018</v>
      </c>
      <c r="AV41">
        <v>44</v>
      </c>
      <c r="AW41">
        <v>6</v>
      </c>
      <c r="AX41" t="s">
        <v>72</v>
      </c>
      <c r="AY41" t="s">
        <v>72</v>
      </c>
      <c r="AZ41" t="s">
        <v>72</v>
      </c>
      <c r="BA41" t="s">
        <v>72</v>
      </c>
      <c r="BB41">
        <v>1274</v>
      </c>
      <c r="BC41">
        <v>1306</v>
      </c>
      <c r="BD41" t="s">
        <v>72</v>
      </c>
      <c r="BE41" t="s">
        <v>150</v>
      </c>
      <c r="BF41" t="str">
        <f>HYPERLINK("http://dx.doi.org/10.1093/jcr/ucx104","http://dx.doi.org/10.1093/jcr/ucx104")</f>
        <v>http://dx.doi.org/10.1093/jcr/ucx104</v>
      </c>
      <c r="BG41" t="s">
        <v>72</v>
      </c>
      <c r="BH41" t="s">
        <v>72</v>
      </c>
      <c r="BI41">
        <v>33</v>
      </c>
      <c r="BJ41" t="s">
        <v>151</v>
      </c>
      <c r="BK41" t="s">
        <v>152</v>
      </c>
      <c r="BL41" t="s">
        <v>153</v>
      </c>
      <c r="BM41" t="s">
        <v>72</v>
      </c>
      <c r="BN41" t="s">
        <v>72</v>
      </c>
      <c r="BO41" t="s">
        <v>72</v>
      </c>
      <c r="BP41" t="s">
        <v>72</v>
      </c>
      <c r="BQ41" t="s">
        <v>100</v>
      </c>
      <c r="BR41" t="s">
        <v>154</v>
      </c>
      <c r="BS41" t="str">
        <f>HYPERLINK("https%3A%2F%2Fwww.webofscience.com%2Fwos%2Fwoscc%2Ffull-record%2FWOS:000432334000006","View Full Record in Web of Science")</f>
        <v>View Full Record in Web of Science</v>
      </c>
    </row>
    <row r="42" spans="1:71" hidden="1" x14ac:dyDescent="0.2">
      <c r="A42" t="s">
        <v>70</v>
      </c>
      <c r="B42" t="s">
        <v>934</v>
      </c>
      <c r="C42" t="s">
        <v>72</v>
      </c>
      <c r="D42" t="s">
        <v>72</v>
      </c>
      <c r="E42" t="s">
        <v>72</v>
      </c>
      <c r="F42" t="s">
        <v>935</v>
      </c>
      <c r="G42" t="s">
        <v>72</v>
      </c>
      <c r="H42" t="s">
        <v>72</v>
      </c>
      <c r="I42" t="s">
        <v>936</v>
      </c>
      <c r="J42" t="s">
        <v>937</v>
      </c>
      <c r="K42" t="s">
        <v>72</v>
      </c>
      <c r="L42" t="s">
        <v>72</v>
      </c>
      <c r="M42" t="s">
        <v>76</v>
      </c>
      <c r="N42" t="s">
        <v>77</v>
      </c>
      <c r="O42" t="s">
        <v>72</v>
      </c>
      <c r="P42" t="s">
        <v>72</v>
      </c>
      <c r="Q42" t="s">
        <v>72</v>
      </c>
      <c r="R42" t="s">
        <v>72</v>
      </c>
      <c r="S42" t="s">
        <v>72</v>
      </c>
      <c r="T42" t="s">
        <v>938</v>
      </c>
      <c r="U42" t="s">
        <v>939</v>
      </c>
      <c r="V42" t="s">
        <v>940</v>
      </c>
      <c r="W42" t="s">
        <v>941</v>
      </c>
      <c r="X42" t="s">
        <v>942</v>
      </c>
      <c r="Y42" t="s">
        <v>943</v>
      </c>
      <c r="Z42" t="s">
        <v>944</v>
      </c>
      <c r="AA42" t="s">
        <v>945</v>
      </c>
      <c r="AB42" t="s">
        <v>946</v>
      </c>
      <c r="AC42" t="s">
        <v>72</v>
      </c>
      <c r="AD42" t="s">
        <v>72</v>
      </c>
      <c r="AE42" t="s">
        <v>72</v>
      </c>
      <c r="AF42" t="s">
        <v>72</v>
      </c>
      <c r="AG42">
        <v>90</v>
      </c>
      <c r="AH42">
        <v>31</v>
      </c>
      <c r="AI42">
        <v>31</v>
      </c>
      <c r="AJ42">
        <v>16</v>
      </c>
      <c r="AK42">
        <v>68</v>
      </c>
      <c r="AL42" t="s">
        <v>190</v>
      </c>
      <c r="AM42" t="s">
        <v>191</v>
      </c>
      <c r="AN42" t="s">
        <v>192</v>
      </c>
      <c r="AO42" t="s">
        <v>947</v>
      </c>
      <c r="AP42" t="s">
        <v>948</v>
      </c>
      <c r="AQ42" t="s">
        <v>72</v>
      </c>
      <c r="AR42" t="s">
        <v>949</v>
      </c>
      <c r="AS42" t="s">
        <v>950</v>
      </c>
      <c r="AT42" t="s">
        <v>951</v>
      </c>
      <c r="AU42">
        <v>2019</v>
      </c>
      <c r="AV42">
        <v>48</v>
      </c>
      <c r="AW42" t="s">
        <v>72</v>
      </c>
      <c r="AX42" t="s">
        <v>72</v>
      </c>
      <c r="AY42" t="s">
        <v>72</v>
      </c>
      <c r="AZ42" t="s">
        <v>72</v>
      </c>
      <c r="BA42" t="s">
        <v>72</v>
      </c>
      <c r="BB42">
        <v>17</v>
      </c>
      <c r="BC42">
        <v>32</v>
      </c>
      <c r="BD42" t="s">
        <v>72</v>
      </c>
      <c r="BE42" t="s">
        <v>952</v>
      </c>
      <c r="BF42" t="str">
        <f>HYPERLINK("http://dx.doi.org/10.1016/j.intmar.2019.03.003","http://dx.doi.org/10.1016/j.intmar.2019.03.003")</f>
        <v>http://dx.doi.org/10.1016/j.intmar.2019.03.003</v>
      </c>
      <c r="BG42" t="s">
        <v>72</v>
      </c>
      <c r="BH42" t="s">
        <v>72</v>
      </c>
      <c r="BI42">
        <v>16</v>
      </c>
      <c r="BJ42" t="s">
        <v>151</v>
      </c>
      <c r="BK42" t="s">
        <v>152</v>
      </c>
      <c r="BL42" t="s">
        <v>953</v>
      </c>
      <c r="BM42" t="s">
        <v>72</v>
      </c>
      <c r="BN42" t="s">
        <v>251</v>
      </c>
      <c r="BO42" t="s">
        <v>72</v>
      </c>
      <c r="BP42" t="s">
        <v>72</v>
      </c>
      <c r="BQ42" t="s">
        <v>100</v>
      </c>
      <c r="BR42" t="s">
        <v>954</v>
      </c>
      <c r="BS42" t="str">
        <f>HYPERLINK("https%3A%2F%2Fwww.webofscience.com%2Fwos%2Fwoscc%2Ffull-record%2FWOS:000495146900002","View Full Record in Web of Science")</f>
        <v>View Full Record in Web of Science</v>
      </c>
    </row>
    <row r="43" spans="1:71" hidden="1" x14ac:dyDescent="0.2">
      <c r="A43" t="s">
        <v>70</v>
      </c>
      <c r="B43" t="s">
        <v>1152</v>
      </c>
      <c r="C43" t="s">
        <v>72</v>
      </c>
      <c r="D43" t="s">
        <v>72</v>
      </c>
      <c r="E43" t="s">
        <v>72</v>
      </c>
      <c r="F43" t="s">
        <v>1153</v>
      </c>
      <c r="G43" t="s">
        <v>72</v>
      </c>
      <c r="H43" t="s">
        <v>72</v>
      </c>
      <c r="I43" t="s">
        <v>1154</v>
      </c>
      <c r="J43" t="s">
        <v>1155</v>
      </c>
      <c r="K43" t="s">
        <v>72</v>
      </c>
      <c r="L43" t="s">
        <v>72</v>
      </c>
      <c r="M43" t="s">
        <v>76</v>
      </c>
      <c r="N43" t="s">
        <v>77</v>
      </c>
      <c r="O43" t="s">
        <v>72</v>
      </c>
      <c r="P43" t="s">
        <v>72</v>
      </c>
      <c r="Q43" t="s">
        <v>72</v>
      </c>
      <c r="R43" t="s">
        <v>72</v>
      </c>
      <c r="S43" t="s">
        <v>72</v>
      </c>
      <c r="T43" t="s">
        <v>1156</v>
      </c>
      <c r="U43" t="s">
        <v>1157</v>
      </c>
      <c r="V43" t="s">
        <v>1158</v>
      </c>
      <c r="W43" t="s">
        <v>1159</v>
      </c>
      <c r="X43" t="s">
        <v>1160</v>
      </c>
      <c r="Y43" t="s">
        <v>1161</v>
      </c>
      <c r="Z43" t="s">
        <v>1162</v>
      </c>
      <c r="AA43" t="s">
        <v>1163</v>
      </c>
      <c r="AB43" t="s">
        <v>1164</v>
      </c>
      <c r="AC43" t="s">
        <v>72</v>
      </c>
      <c r="AD43" t="s">
        <v>72</v>
      </c>
      <c r="AE43" t="s">
        <v>72</v>
      </c>
      <c r="AF43" t="s">
        <v>72</v>
      </c>
      <c r="AG43">
        <v>62</v>
      </c>
      <c r="AH43">
        <v>20</v>
      </c>
      <c r="AI43">
        <v>20</v>
      </c>
      <c r="AJ43">
        <v>6</v>
      </c>
      <c r="AK43">
        <v>34</v>
      </c>
      <c r="AL43" t="s">
        <v>1165</v>
      </c>
      <c r="AM43" t="s">
        <v>1166</v>
      </c>
      <c r="AN43" t="s">
        <v>1167</v>
      </c>
      <c r="AO43" t="s">
        <v>1168</v>
      </c>
      <c r="AP43" t="s">
        <v>1169</v>
      </c>
      <c r="AQ43" t="s">
        <v>72</v>
      </c>
      <c r="AR43" t="s">
        <v>1170</v>
      </c>
      <c r="AS43" t="s">
        <v>1171</v>
      </c>
      <c r="AT43" t="s">
        <v>1172</v>
      </c>
      <c r="AU43">
        <v>2020</v>
      </c>
      <c r="AV43">
        <v>54</v>
      </c>
      <c r="AW43">
        <v>2</v>
      </c>
      <c r="AX43" t="s">
        <v>72</v>
      </c>
      <c r="AY43" t="s">
        <v>72</v>
      </c>
      <c r="AZ43" t="s">
        <v>72</v>
      </c>
      <c r="BA43" t="s">
        <v>72</v>
      </c>
      <c r="BB43">
        <v>305</v>
      </c>
      <c r="BC43">
        <v>326</v>
      </c>
      <c r="BD43" t="s">
        <v>72</v>
      </c>
      <c r="BE43" t="s">
        <v>1173</v>
      </c>
      <c r="BF43" t="str">
        <f>HYPERLINK("http://dx.doi.org/10.1108/EJM-01-2019-0083","http://dx.doi.org/10.1108/EJM-01-2019-0083")</f>
        <v>http://dx.doi.org/10.1108/EJM-01-2019-0083</v>
      </c>
      <c r="BG43" t="s">
        <v>72</v>
      </c>
      <c r="BH43" t="s">
        <v>72</v>
      </c>
      <c r="BI43">
        <v>22</v>
      </c>
      <c r="BJ43" t="s">
        <v>151</v>
      </c>
      <c r="BK43" t="s">
        <v>152</v>
      </c>
      <c r="BL43" t="s">
        <v>1174</v>
      </c>
      <c r="BM43" t="s">
        <v>72</v>
      </c>
      <c r="BN43" t="s">
        <v>251</v>
      </c>
      <c r="BO43" t="s">
        <v>72</v>
      </c>
      <c r="BP43" t="s">
        <v>72</v>
      </c>
      <c r="BQ43" t="s">
        <v>100</v>
      </c>
      <c r="BR43" t="s">
        <v>1175</v>
      </c>
      <c r="BS43" t="str">
        <f>HYPERLINK("https%3A%2F%2Fwww.webofscience.com%2Fwos%2Fwoscc%2Ffull-record%2FWOS:000511445400001","View Full Record in Web of Science")</f>
        <v>View Full Record in Web of Science</v>
      </c>
    </row>
    <row r="44" spans="1:71" hidden="1" x14ac:dyDescent="0.2">
      <c r="A44" t="s">
        <v>70</v>
      </c>
      <c r="B44" t="s">
        <v>1331</v>
      </c>
      <c r="C44" t="s">
        <v>72</v>
      </c>
      <c r="D44" t="s">
        <v>72</v>
      </c>
      <c r="E44" t="s">
        <v>72</v>
      </c>
      <c r="F44" t="s">
        <v>1332</v>
      </c>
      <c r="G44" t="s">
        <v>72</v>
      </c>
      <c r="H44" t="s">
        <v>72</v>
      </c>
      <c r="I44" t="s">
        <v>1333</v>
      </c>
      <c r="J44" t="s">
        <v>1334</v>
      </c>
      <c r="K44" t="s">
        <v>72</v>
      </c>
      <c r="L44" t="s">
        <v>72</v>
      </c>
      <c r="M44" t="s">
        <v>76</v>
      </c>
      <c r="N44" t="s">
        <v>77</v>
      </c>
      <c r="O44" t="s">
        <v>72</v>
      </c>
      <c r="P44" t="s">
        <v>72</v>
      </c>
      <c r="Q44" t="s">
        <v>72</v>
      </c>
      <c r="R44" t="s">
        <v>72</v>
      </c>
      <c r="S44" t="s">
        <v>72</v>
      </c>
      <c r="T44" t="s">
        <v>1335</v>
      </c>
      <c r="U44" t="s">
        <v>1336</v>
      </c>
      <c r="V44" t="s">
        <v>1337</v>
      </c>
      <c r="W44" t="s">
        <v>1338</v>
      </c>
      <c r="X44" t="s">
        <v>1339</v>
      </c>
      <c r="Y44" t="s">
        <v>1340</v>
      </c>
      <c r="Z44" t="s">
        <v>72</v>
      </c>
      <c r="AA44" t="s">
        <v>72</v>
      </c>
      <c r="AB44" t="s">
        <v>72</v>
      </c>
      <c r="AC44" t="s">
        <v>72</v>
      </c>
      <c r="AD44" t="s">
        <v>72</v>
      </c>
      <c r="AE44" t="s">
        <v>72</v>
      </c>
      <c r="AF44" t="s">
        <v>72</v>
      </c>
      <c r="AG44">
        <v>33</v>
      </c>
      <c r="AH44">
        <v>2</v>
      </c>
      <c r="AI44">
        <v>2</v>
      </c>
      <c r="AJ44">
        <v>0</v>
      </c>
      <c r="AK44">
        <v>6</v>
      </c>
      <c r="AL44" t="s">
        <v>1341</v>
      </c>
      <c r="AM44" t="s">
        <v>1342</v>
      </c>
      <c r="AN44" t="s">
        <v>1343</v>
      </c>
      <c r="AO44" t="s">
        <v>1344</v>
      </c>
      <c r="AP44" t="s">
        <v>1345</v>
      </c>
      <c r="AQ44" t="s">
        <v>72</v>
      </c>
      <c r="AR44" t="s">
        <v>1346</v>
      </c>
      <c r="AS44" t="s">
        <v>1347</v>
      </c>
      <c r="AT44" t="s">
        <v>1348</v>
      </c>
      <c r="AU44">
        <v>2019</v>
      </c>
      <c r="AV44">
        <v>15</v>
      </c>
      <c r="AW44">
        <v>1</v>
      </c>
      <c r="AX44" t="s">
        <v>72</v>
      </c>
      <c r="AY44" t="s">
        <v>72</v>
      </c>
      <c r="AZ44" t="s">
        <v>72</v>
      </c>
      <c r="BA44" t="s">
        <v>72</v>
      </c>
      <c r="BB44">
        <v>53</v>
      </c>
      <c r="BC44">
        <v>68</v>
      </c>
      <c r="BD44" t="s">
        <v>72</v>
      </c>
      <c r="BE44" t="s">
        <v>1349</v>
      </c>
      <c r="BF44" t="str">
        <f>HYPERLINK("http://dx.doi.org/10.4018/IJKM.2019010104","http://dx.doi.org/10.4018/IJKM.2019010104")</f>
        <v>http://dx.doi.org/10.4018/IJKM.2019010104</v>
      </c>
      <c r="BG44" t="s">
        <v>72</v>
      </c>
      <c r="BH44" t="s">
        <v>72</v>
      </c>
      <c r="BI44">
        <v>16</v>
      </c>
      <c r="BJ44" t="s">
        <v>1350</v>
      </c>
      <c r="BK44" t="s">
        <v>152</v>
      </c>
      <c r="BL44" t="s">
        <v>1351</v>
      </c>
      <c r="BM44" t="s">
        <v>72</v>
      </c>
      <c r="BN44" t="s">
        <v>72</v>
      </c>
      <c r="BO44" t="s">
        <v>72</v>
      </c>
      <c r="BP44" t="s">
        <v>72</v>
      </c>
      <c r="BQ44" t="s">
        <v>100</v>
      </c>
      <c r="BR44" t="s">
        <v>1352</v>
      </c>
      <c r="BS44" t="str">
        <f>HYPERLINK("https%3A%2F%2Fwww.webofscience.com%2Fwos%2Fwoscc%2Ffull-record%2FWOS:000456542600004","View Full Record in Web of Science")</f>
        <v>View Full Record in Web of Science</v>
      </c>
    </row>
    <row r="45" spans="1:71" hidden="1" x14ac:dyDescent="0.2">
      <c r="A45" t="s">
        <v>70</v>
      </c>
      <c r="B45" t="s">
        <v>1929</v>
      </c>
      <c r="C45" t="s">
        <v>72</v>
      </c>
      <c r="D45" t="s">
        <v>72</v>
      </c>
      <c r="E45" t="s">
        <v>72</v>
      </c>
      <c r="F45" t="s">
        <v>1930</v>
      </c>
      <c r="G45" t="s">
        <v>72</v>
      </c>
      <c r="H45" t="s">
        <v>72</v>
      </c>
      <c r="I45" t="s">
        <v>1931</v>
      </c>
      <c r="J45" t="s">
        <v>1932</v>
      </c>
      <c r="K45" t="s">
        <v>72</v>
      </c>
      <c r="L45" t="s">
        <v>72</v>
      </c>
      <c r="M45" t="s">
        <v>76</v>
      </c>
      <c r="N45" t="s">
        <v>1503</v>
      </c>
      <c r="O45" t="s">
        <v>72</v>
      </c>
      <c r="P45" t="s">
        <v>72</v>
      </c>
      <c r="Q45" t="s">
        <v>72</v>
      </c>
      <c r="R45" t="s">
        <v>72</v>
      </c>
      <c r="S45" t="s">
        <v>72</v>
      </c>
      <c r="T45" t="s">
        <v>1933</v>
      </c>
      <c r="U45" t="s">
        <v>1934</v>
      </c>
      <c r="V45" t="s">
        <v>1935</v>
      </c>
      <c r="W45" t="s">
        <v>1936</v>
      </c>
      <c r="X45" t="s">
        <v>1937</v>
      </c>
      <c r="Y45" t="s">
        <v>1938</v>
      </c>
      <c r="Z45" t="s">
        <v>1939</v>
      </c>
      <c r="AA45" t="s">
        <v>1940</v>
      </c>
      <c r="AB45" t="s">
        <v>1941</v>
      </c>
      <c r="AC45" t="s">
        <v>72</v>
      </c>
      <c r="AD45" t="s">
        <v>72</v>
      </c>
      <c r="AE45" t="s">
        <v>72</v>
      </c>
      <c r="AF45" t="s">
        <v>72</v>
      </c>
      <c r="AG45">
        <v>96</v>
      </c>
      <c r="AH45">
        <v>5</v>
      </c>
      <c r="AI45">
        <v>6</v>
      </c>
      <c r="AJ45">
        <v>5</v>
      </c>
      <c r="AK45">
        <v>28</v>
      </c>
      <c r="AL45" t="s">
        <v>1165</v>
      </c>
      <c r="AM45" t="s">
        <v>1166</v>
      </c>
      <c r="AN45" t="s">
        <v>1167</v>
      </c>
      <c r="AO45" t="s">
        <v>1942</v>
      </c>
      <c r="AP45" t="s">
        <v>1943</v>
      </c>
      <c r="AQ45" t="s">
        <v>72</v>
      </c>
      <c r="AR45" t="s">
        <v>1944</v>
      </c>
      <c r="AS45" t="s">
        <v>1945</v>
      </c>
      <c r="AT45" t="s">
        <v>72</v>
      </c>
      <c r="AU45">
        <v>2019</v>
      </c>
      <c r="AV45">
        <v>24</v>
      </c>
      <c r="AW45">
        <v>2</v>
      </c>
      <c r="AX45" t="s">
        <v>72</v>
      </c>
      <c r="AY45" t="s">
        <v>72</v>
      </c>
      <c r="AZ45" t="s">
        <v>478</v>
      </c>
      <c r="BA45" t="s">
        <v>72</v>
      </c>
      <c r="BB45">
        <v>212</v>
      </c>
      <c r="BC45">
        <v>231</v>
      </c>
      <c r="BD45" t="s">
        <v>72</v>
      </c>
      <c r="BE45" t="s">
        <v>1946</v>
      </c>
      <c r="BF45" t="str">
        <f>HYPERLINK("http://dx.doi.org/10.1108/CCIJ-11-2017-0112","http://dx.doi.org/10.1108/CCIJ-11-2017-0112")</f>
        <v>http://dx.doi.org/10.1108/CCIJ-11-2017-0112</v>
      </c>
      <c r="BG45" t="s">
        <v>72</v>
      </c>
      <c r="BH45" t="s">
        <v>72</v>
      </c>
      <c r="BI45">
        <v>20</v>
      </c>
      <c r="BJ45" t="s">
        <v>151</v>
      </c>
      <c r="BK45" t="s">
        <v>152</v>
      </c>
      <c r="BL45" t="s">
        <v>1947</v>
      </c>
      <c r="BM45" t="s">
        <v>72</v>
      </c>
      <c r="BN45" t="s">
        <v>72</v>
      </c>
      <c r="BO45" t="s">
        <v>72</v>
      </c>
      <c r="BP45" t="s">
        <v>72</v>
      </c>
      <c r="BQ45" t="s">
        <v>100</v>
      </c>
      <c r="BR45" t="s">
        <v>1948</v>
      </c>
      <c r="BS45" t="str">
        <f>HYPERLINK("https%3A%2F%2Fwww.webofscience.com%2Fwos%2Fwoscc%2Ffull-record%2FWOS:000470856200002","View Full Record in Web of Science")</f>
        <v>View Full Record in Web of Science</v>
      </c>
    </row>
    <row r="46" spans="1:71" hidden="1" x14ac:dyDescent="0.2">
      <c r="A46" t="s">
        <v>70</v>
      </c>
      <c r="B46" t="s">
        <v>1994</v>
      </c>
      <c r="C46" t="s">
        <v>72</v>
      </c>
      <c r="D46" t="s">
        <v>72</v>
      </c>
      <c r="E46" t="s">
        <v>72</v>
      </c>
      <c r="F46" t="s">
        <v>1995</v>
      </c>
      <c r="G46" t="s">
        <v>72</v>
      </c>
      <c r="H46" t="s">
        <v>72</v>
      </c>
      <c r="I46" t="s">
        <v>1996</v>
      </c>
      <c r="J46" t="s">
        <v>1997</v>
      </c>
      <c r="K46" t="s">
        <v>72</v>
      </c>
      <c r="L46" t="s">
        <v>72</v>
      </c>
      <c r="M46" t="s">
        <v>76</v>
      </c>
      <c r="N46" t="s">
        <v>352</v>
      </c>
      <c r="O46" t="s">
        <v>72</v>
      </c>
      <c r="P46" t="s">
        <v>72</v>
      </c>
      <c r="Q46" t="s">
        <v>72</v>
      </c>
      <c r="R46" t="s">
        <v>72</v>
      </c>
      <c r="S46" t="s">
        <v>72</v>
      </c>
      <c r="T46" t="s">
        <v>1998</v>
      </c>
      <c r="U46" t="s">
        <v>1999</v>
      </c>
      <c r="V46" t="s">
        <v>2000</v>
      </c>
      <c r="W46" t="s">
        <v>2001</v>
      </c>
      <c r="X46" t="s">
        <v>2002</v>
      </c>
      <c r="Y46" t="s">
        <v>2003</v>
      </c>
      <c r="Z46" t="s">
        <v>2004</v>
      </c>
      <c r="AA46" t="s">
        <v>72</v>
      </c>
      <c r="AB46" t="s">
        <v>72</v>
      </c>
      <c r="AC46" t="s">
        <v>72</v>
      </c>
      <c r="AD46" t="s">
        <v>72</v>
      </c>
      <c r="AE46" t="s">
        <v>72</v>
      </c>
      <c r="AF46" t="s">
        <v>72</v>
      </c>
      <c r="AG46">
        <v>73</v>
      </c>
      <c r="AH46">
        <v>0</v>
      </c>
      <c r="AI46">
        <v>0</v>
      </c>
      <c r="AJ46">
        <v>0</v>
      </c>
      <c r="AK46">
        <v>0</v>
      </c>
      <c r="AL46" t="s">
        <v>364</v>
      </c>
      <c r="AM46" t="s">
        <v>365</v>
      </c>
      <c r="AN46" t="s">
        <v>366</v>
      </c>
      <c r="AO46" t="s">
        <v>2005</v>
      </c>
      <c r="AP46" t="s">
        <v>2006</v>
      </c>
      <c r="AQ46" t="s">
        <v>72</v>
      </c>
      <c r="AR46" t="s">
        <v>2007</v>
      </c>
      <c r="AS46" t="s">
        <v>2008</v>
      </c>
      <c r="AT46" t="s">
        <v>72</v>
      </c>
      <c r="AU46" t="s">
        <v>72</v>
      </c>
      <c r="AV46" t="s">
        <v>72</v>
      </c>
      <c r="AW46" t="s">
        <v>72</v>
      </c>
      <c r="AX46" t="s">
        <v>72</v>
      </c>
      <c r="AY46" t="s">
        <v>72</v>
      </c>
      <c r="AZ46" t="s">
        <v>72</v>
      </c>
      <c r="BA46" t="s">
        <v>72</v>
      </c>
      <c r="BB46" t="s">
        <v>72</v>
      </c>
      <c r="BC46" t="s">
        <v>72</v>
      </c>
      <c r="BD46" t="s">
        <v>72</v>
      </c>
      <c r="BE46" t="s">
        <v>2009</v>
      </c>
      <c r="BF46" t="str">
        <f>HYPERLINK("http://dx.doi.org/10.1080/16522354.2022.2141531","http://dx.doi.org/10.1080/16522354.2022.2141531")</f>
        <v>http://dx.doi.org/10.1080/16522354.2022.2141531</v>
      </c>
      <c r="BG46" t="s">
        <v>72</v>
      </c>
      <c r="BH46" t="s">
        <v>2010</v>
      </c>
      <c r="BI46">
        <v>20</v>
      </c>
      <c r="BJ46" t="s">
        <v>151</v>
      </c>
      <c r="BK46" t="s">
        <v>152</v>
      </c>
      <c r="BL46" t="s">
        <v>2011</v>
      </c>
      <c r="BM46" t="s">
        <v>72</v>
      </c>
      <c r="BN46" t="s">
        <v>72</v>
      </c>
      <c r="BO46" t="s">
        <v>72</v>
      </c>
      <c r="BP46" t="s">
        <v>72</v>
      </c>
      <c r="BQ46" t="s">
        <v>100</v>
      </c>
      <c r="BR46" t="s">
        <v>2012</v>
      </c>
      <c r="BS46" t="str">
        <f>HYPERLINK("https%3A%2F%2Fwww.webofscience.com%2Fwos%2Fwoscc%2Ffull-record%2FWOS:000878074400001","View Full Record in Web of Science")</f>
        <v>View Full Record in Web of Science</v>
      </c>
    </row>
    <row r="47" spans="1:71" hidden="1" x14ac:dyDescent="0.2">
      <c r="A47" t="s">
        <v>70</v>
      </c>
      <c r="B47" t="s">
        <v>2031</v>
      </c>
      <c r="C47" t="s">
        <v>72</v>
      </c>
      <c r="D47" t="s">
        <v>72</v>
      </c>
      <c r="E47" t="s">
        <v>72</v>
      </c>
      <c r="F47" t="s">
        <v>2032</v>
      </c>
      <c r="G47" t="s">
        <v>72</v>
      </c>
      <c r="H47" t="s">
        <v>72</v>
      </c>
      <c r="I47" t="s">
        <v>2033</v>
      </c>
      <c r="J47" t="s">
        <v>133</v>
      </c>
      <c r="K47" t="s">
        <v>72</v>
      </c>
      <c r="L47" t="s">
        <v>72</v>
      </c>
      <c r="M47" t="s">
        <v>76</v>
      </c>
      <c r="N47" t="s">
        <v>77</v>
      </c>
      <c r="O47" t="s">
        <v>72</v>
      </c>
      <c r="P47" t="s">
        <v>72</v>
      </c>
      <c r="Q47" t="s">
        <v>72</v>
      </c>
      <c r="R47" t="s">
        <v>72</v>
      </c>
      <c r="S47" t="s">
        <v>72</v>
      </c>
      <c r="T47" t="s">
        <v>2034</v>
      </c>
      <c r="U47" t="s">
        <v>2035</v>
      </c>
      <c r="V47" t="s">
        <v>2036</v>
      </c>
      <c r="W47" t="s">
        <v>2037</v>
      </c>
      <c r="X47" t="s">
        <v>2038</v>
      </c>
      <c r="Y47" t="s">
        <v>2039</v>
      </c>
      <c r="Z47" t="s">
        <v>2040</v>
      </c>
      <c r="AA47" t="s">
        <v>2041</v>
      </c>
      <c r="AB47" t="s">
        <v>2042</v>
      </c>
      <c r="AC47" t="s">
        <v>2043</v>
      </c>
      <c r="AD47" t="s">
        <v>2044</v>
      </c>
      <c r="AE47" t="s">
        <v>2045</v>
      </c>
      <c r="AF47" t="s">
        <v>72</v>
      </c>
      <c r="AG47">
        <v>91</v>
      </c>
      <c r="AH47">
        <v>48</v>
      </c>
      <c r="AI47">
        <v>48</v>
      </c>
      <c r="AJ47">
        <v>26</v>
      </c>
      <c r="AK47">
        <v>227</v>
      </c>
      <c r="AL47" t="s">
        <v>142</v>
      </c>
      <c r="AM47" t="s">
        <v>143</v>
      </c>
      <c r="AN47" t="s">
        <v>144</v>
      </c>
      <c r="AO47" t="s">
        <v>145</v>
      </c>
      <c r="AP47" t="s">
        <v>146</v>
      </c>
      <c r="AQ47" t="s">
        <v>72</v>
      </c>
      <c r="AR47" t="s">
        <v>147</v>
      </c>
      <c r="AS47" t="s">
        <v>148</v>
      </c>
      <c r="AT47" t="s">
        <v>639</v>
      </c>
      <c r="AU47">
        <v>2019</v>
      </c>
      <c r="AV47">
        <v>46</v>
      </c>
      <c r="AW47">
        <v>2</v>
      </c>
      <c r="AX47" t="s">
        <v>72</v>
      </c>
      <c r="AY47" t="s">
        <v>72</v>
      </c>
      <c r="AZ47" t="s">
        <v>72</v>
      </c>
      <c r="BA47" t="s">
        <v>72</v>
      </c>
      <c r="BB47">
        <v>267</v>
      </c>
      <c r="BC47">
        <v>285</v>
      </c>
      <c r="BD47" t="s">
        <v>72</v>
      </c>
      <c r="BE47" t="s">
        <v>2046</v>
      </c>
      <c r="BF47" t="str">
        <f>HYPERLINK("http://dx.doi.org/10.1093/jcr/ucy067","http://dx.doi.org/10.1093/jcr/ucy067")</f>
        <v>http://dx.doi.org/10.1093/jcr/ucy067</v>
      </c>
      <c r="BG47" t="s">
        <v>72</v>
      </c>
      <c r="BH47" t="s">
        <v>72</v>
      </c>
      <c r="BI47">
        <v>19</v>
      </c>
      <c r="BJ47" t="s">
        <v>151</v>
      </c>
      <c r="BK47" t="s">
        <v>152</v>
      </c>
      <c r="BL47" t="s">
        <v>2047</v>
      </c>
      <c r="BM47" t="s">
        <v>72</v>
      </c>
      <c r="BN47" t="s">
        <v>559</v>
      </c>
      <c r="BO47" t="s">
        <v>72</v>
      </c>
      <c r="BP47" t="s">
        <v>72</v>
      </c>
      <c r="BQ47" t="s">
        <v>100</v>
      </c>
      <c r="BR47" t="s">
        <v>2048</v>
      </c>
      <c r="BS47" t="str">
        <f>HYPERLINK("https%3A%2F%2Fwww.webofscience.com%2Fwos%2Fwoscc%2Ffull-record%2FWOS:000482137800004","View Full Record in Web of Science")</f>
        <v>View Full Record in Web of Science</v>
      </c>
    </row>
    <row r="48" spans="1:71" hidden="1" x14ac:dyDescent="0.2">
      <c r="A48" t="s">
        <v>70</v>
      </c>
      <c r="B48" t="s">
        <v>2081</v>
      </c>
      <c r="C48" t="s">
        <v>72</v>
      </c>
      <c r="D48" t="s">
        <v>72</v>
      </c>
      <c r="E48" t="s">
        <v>72</v>
      </c>
      <c r="F48" t="s">
        <v>2082</v>
      </c>
      <c r="G48" t="s">
        <v>72</v>
      </c>
      <c r="H48" t="s">
        <v>72</v>
      </c>
      <c r="I48" t="s">
        <v>2083</v>
      </c>
      <c r="J48" t="s">
        <v>2084</v>
      </c>
      <c r="K48" t="s">
        <v>72</v>
      </c>
      <c r="L48" t="s">
        <v>72</v>
      </c>
      <c r="M48" t="s">
        <v>76</v>
      </c>
      <c r="N48" t="s">
        <v>77</v>
      </c>
      <c r="O48" t="s">
        <v>72</v>
      </c>
      <c r="P48" t="s">
        <v>72</v>
      </c>
      <c r="Q48" t="s">
        <v>72</v>
      </c>
      <c r="R48" t="s">
        <v>72</v>
      </c>
      <c r="S48" t="s">
        <v>72</v>
      </c>
      <c r="T48" t="s">
        <v>2085</v>
      </c>
      <c r="U48" t="s">
        <v>2086</v>
      </c>
      <c r="V48" t="s">
        <v>2087</v>
      </c>
      <c r="W48" t="s">
        <v>2088</v>
      </c>
      <c r="X48" t="s">
        <v>2089</v>
      </c>
      <c r="Y48" t="s">
        <v>2090</v>
      </c>
      <c r="Z48" t="s">
        <v>2091</v>
      </c>
      <c r="AA48" t="s">
        <v>72</v>
      </c>
      <c r="AB48" t="s">
        <v>72</v>
      </c>
      <c r="AC48" t="s">
        <v>72</v>
      </c>
      <c r="AD48" t="s">
        <v>72</v>
      </c>
      <c r="AE48" t="s">
        <v>72</v>
      </c>
      <c r="AF48" t="s">
        <v>72</v>
      </c>
      <c r="AG48">
        <v>128</v>
      </c>
      <c r="AH48">
        <v>1</v>
      </c>
      <c r="AI48">
        <v>1</v>
      </c>
      <c r="AJ48">
        <v>3</v>
      </c>
      <c r="AK48">
        <v>3</v>
      </c>
      <c r="AL48" t="s">
        <v>1698</v>
      </c>
      <c r="AM48" t="s">
        <v>707</v>
      </c>
      <c r="AN48" t="s">
        <v>1699</v>
      </c>
      <c r="AO48" t="s">
        <v>2092</v>
      </c>
      <c r="AP48" t="s">
        <v>2093</v>
      </c>
      <c r="AQ48" t="s">
        <v>72</v>
      </c>
      <c r="AR48" t="s">
        <v>2094</v>
      </c>
      <c r="AS48" t="s">
        <v>2095</v>
      </c>
      <c r="AT48" t="s">
        <v>639</v>
      </c>
      <c r="AU48">
        <v>2022</v>
      </c>
      <c r="AV48">
        <v>105</v>
      </c>
      <c r="AW48" t="s">
        <v>72</v>
      </c>
      <c r="AX48" t="s">
        <v>72</v>
      </c>
      <c r="AY48" t="s">
        <v>72</v>
      </c>
      <c r="AZ48" t="s">
        <v>72</v>
      </c>
      <c r="BA48" t="s">
        <v>72</v>
      </c>
      <c r="BB48">
        <v>489</v>
      </c>
      <c r="BC48">
        <v>501</v>
      </c>
      <c r="BD48" t="s">
        <v>72</v>
      </c>
      <c r="BE48" t="s">
        <v>2096</v>
      </c>
      <c r="BF48" t="str">
        <f>HYPERLINK("http://dx.doi.org/10.1016/j.indmarman.2022.07.005","http://dx.doi.org/10.1016/j.indmarman.2022.07.005")</f>
        <v>http://dx.doi.org/10.1016/j.indmarman.2022.07.005</v>
      </c>
      <c r="BG48" t="s">
        <v>72</v>
      </c>
      <c r="BH48" t="s">
        <v>72</v>
      </c>
      <c r="BI48">
        <v>13</v>
      </c>
      <c r="BJ48" t="s">
        <v>2097</v>
      </c>
      <c r="BK48" t="s">
        <v>152</v>
      </c>
      <c r="BL48" t="s">
        <v>2098</v>
      </c>
      <c r="BM48" t="s">
        <v>72</v>
      </c>
      <c r="BN48" t="s">
        <v>72</v>
      </c>
      <c r="BO48" t="s">
        <v>72</v>
      </c>
      <c r="BP48" t="s">
        <v>72</v>
      </c>
      <c r="BQ48" t="s">
        <v>100</v>
      </c>
      <c r="BR48" t="s">
        <v>2099</v>
      </c>
      <c r="BS48" t="str">
        <f>HYPERLINK("https%3A%2F%2Fwww.webofscience.com%2Fwos%2Fwoscc%2Ffull-record%2FWOS:000838703300024","View Full Record in Web of Science")</f>
        <v>View Full Record in Web of Science</v>
      </c>
    </row>
    <row r="49" spans="1:71" hidden="1" x14ac:dyDescent="0.2">
      <c r="A49" t="s">
        <v>70</v>
      </c>
      <c r="B49" t="s">
        <v>2100</v>
      </c>
      <c r="C49" t="s">
        <v>72</v>
      </c>
      <c r="D49" t="s">
        <v>72</v>
      </c>
      <c r="E49" t="s">
        <v>72</v>
      </c>
      <c r="F49" t="s">
        <v>2101</v>
      </c>
      <c r="G49" t="s">
        <v>72</v>
      </c>
      <c r="H49" t="s">
        <v>72</v>
      </c>
      <c r="I49" t="s">
        <v>2102</v>
      </c>
      <c r="J49" t="s">
        <v>2084</v>
      </c>
      <c r="K49" t="s">
        <v>72</v>
      </c>
      <c r="L49" t="s">
        <v>72</v>
      </c>
      <c r="M49" t="s">
        <v>76</v>
      </c>
      <c r="N49" t="s">
        <v>77</v>
      </c>
      <c r="O49" t="s">
        <v>72</v>
      </c>
      <c r="P49" t="s">
        <v>72</v>
      </c>
      <c r="Q49" t="s">
        <v>72</v>
      </c>
      <c r="R49" t="s">
        <v>72</v>
      </c>
      <c r="S49" t="s">
        <v>72</v>
      </c>
      <c r="T49" t="s">
        <v>2103</v>
      </c>
      <c r="U49" t="s">
        <v>2104</v>
      </c>
      <c r="V49" t="s">
        <v>2105</v>
      </c>
      <c r="W49" t="s">
        <v>2106</v>
      </c>
      <c r="X49" t="s">
        <v>2107</v>
      </c>
      <c r="Y49" t="s">
        <v>2108</v>
      </c>
      <c r="Z49" t="s">
        <v>2109</v>
      </c>
      <c r="AA49" t="s">
        <v>2110</v>
      </c>
      <c r="AB49" t="s">
        <v>2111</v>
      </c>
      <c r="AC49" t="s">
        <v>72</v>
      </c>
      <c r="AD49" t="s">
        <v>72</v>
      </c>
      <c r="AE49" t="s">
        <v>72</v>
      </c>
      <c r="AF49" t="s">
        <v>72</v>
      </c>
      <c r="AG49">
        <v>69</v>
      </c>
      <c r="AH49">
        <v>1</v>
      </c>
      <c r="AI49">
        <v>1</v>
      </c>
      <c r="AJ49">
        <v>4</v>
      </c>
      <c r="AK49">
        <v>4</v>
      </c>
      <c r="AL49" t="s">
        <v>1698</v>
      </c>
      <c r="AM49" t="s">
        <v>707</v>
      </c>
      <c r="AN49" t="s">
        <v>1699</v>
      </c>
      <c r="AO49" t="s">
        <v>2092</v>
      </c>
      <c r="AP49" t="s">
        <v>2093</v>
      </c>
      <c r="AQ49" t="s">
        <v>72</v>
      </c>
      <c r="AR49" t="s">
        <v>2094</v>
      </c>
      <c r="AS49" t="s">
        <v>2095</v>
      </c>
      <c r="AT49" t="s">
        <v>639</v>
      </c>
      <c r="AU49">
        <v>2022</v>
      </c>
      <c r="AV49">
        <v>105</v>
      </c>
      <c r="AW49" t="s">
        <v>72</v>
      </c>
      <c r="AX49" t="s">
        <v>72</v>
      </c>
      <c r="AY49" t="s">
        <v>72</v>
      </c>
      <c r="AZ49" t="s">
        <v>72</v>
      </c>
      <c r="BA49" t="s">
        <v>72</v>
      </c>
      <c r="BB49">
        <v>478</v>
      </c>
      <c r="BC49">
        <v>488</v>
      </c>
      <c r="BD49" t="s">
        <v>72</v>
      </c>
      <c r="BE49" t="s">
        <v>2112</v>
      </c>
      <c r="BF49" t="str">
        <f>HYPERLINK("http://dx.doi.org/10.1016/j.indmarman.2022.07.004","http://dx.doi.org/10.1016/j.indmarman.2022.07.004")</f>
        <v>http://dx.doi.org/10.1016/j.indmarman.2022.07.004</v>
      </c>
      <c r="BG49" t="s">
        <v>72</v>
      </c>
      <c r="BH49" t="s">
        <v>72</v>
      </c>
      <c r="BI49">
        <v>11</v>
      </c>
      <c r="BJ49" t="s">
        <v>2097</v>
      </c>
      <c r="BK49" t="s">
        <v>152</v>
      </c>
      <c r="BL49" t="s">
        <v>2098</v>
      </c>
      <c r="BM49" t="s">
        <v>72</v>
      </c>
      <c r="BN49" t="s">
        <v>72</v>
      </c>
      <c r="BO49" t="s">
        <v>72</v>
      </c>
      <c r="BP49" t="s">
        <v>72</v>
      </c>
      <c r="BQ49" t="s">
        <v>100</v>
      </c>
      <c r="BR49" t="s">
        <v>2113</v>
      </c>
      <c r="BS49" t="str">
        <f>HYPERLINK("https%3A%2F%2Fwww.webofscience.com%2Fwos%2Fwoscc%2Ffull-record%2FWOS:000838703300023","View Full Record in Web of Science")</f>
        <v>View Full Record in Web of Science</v>
      </c>
    </row>
    <row r="50" spans="1:71" hidden="1" x14ac:dyDescent="0.2">
      <c r="A50" t="s">
        <v>305</v>
      </c>
      <c r="B50" t="s">
        <v>2541</v>
      </c>
      <c r="C50" t="s">
        <v>72</v>
      </c>
      <c r="D50" t="s">
        <v>2542</v>
      </c>
      <c r="E50" t="s">
        <v>72</v>
      </c>
      <c r="F50" t="s">
        <v>2543</v>
      </c>
      <c r="G50" t="s">
        <v>72</v>
      </c>
      <c r="H50" t="s">
        <v>72</v>
      </c>
      <c r="I50" t="s">
        <v>2544</v>
      </c>
      <c r="J50" t="s">
        <v>2545</v>
      </c>
      <c r="K50" t="s">
        <v>2546</v>
      </c>
      <c r="L50" t="s">
        <v>72</v>
      </c>
      <c r="M50" t="s">
        <v>76</v>
      </c>
      <c r="N50" t="s">
        <v>312</v>
      </c>
      <c r="O50" t="s">
        <v>2547</v>
      </c>
      <c r="P50" t="s">
        <v>2548</v>
      </c>
      <c r="Q50" t="s">
        <v>2549</v>
      </c>
      <c r="R50" t="s">
        <v>2550</v>
      </c>
      <c r="S50" t="s">
        <v>72</v>
      </c>
      <c r="T50" t="s">
        <v>2551</v>
      </c>
      <c r="U50" t="s">
        <v>2552</v>
      </c>
      <c r="V50" t="s">
        <v>2553</v>
      </c>
      <c r="W50" t="s">
        <v>2554</v>
      </c>
      <c r="X50" t="s">
        <v>2555</v>
      </c>
      <c r="Y50" t="s">
        <v>2556</v>
      </c>
      <c r="Z50" t="s">
        <v>2557</v>
      </c>
      <c r="AA50" t="s">
        <v>1302</v>
      </c>
      <c r="AB50" t="s">
        <v>1303</v>
      </c>
      <c r="AC50" t="s">
        <v>72</v>
      </c>
      <c r="AD50" t="s">
        <v>72</v>
      </c>
      <c r="AE50" t="s">
        <v>72</v>
      </c>
      <c r="AF50" t="s">
        <v>72</v>
      </c>
      <c r="AG50">
        <v>50</v>
      </c>
      <c r="AH50">
        <v>0</v>
      </c>
      <c r="AI50">
        <v>0</v>
      </c>
      <c r="AJ50">
        <v>0</v>
      </c>
      <c r="AK50">
        <v>2</v>
      </c>
      <c r="AL50" t="s">
        <v>2558</v>
      </c>
      <c r="AM50" t="s">
        <v>2559</v>
      </c>
      <c r="AN50" t="s">
        <v>2560</v>
      </c>
      <c r="AO50" t="s">
        <v>2561</v>
      </c>
      <c r="AP50" t="s">
        <v>72</v>
      </c>
      <c r="AQ50" t="s">
        <v>72</v>
      </c>
      <c r="AR50" t="s">
        <v>2562</v>
      </c>
      <c r="AS50" t="s">
        <v>72</v>
      </c>
      <c r="AT50" t="s">
        <v>72</v>
      </c>
      <c r="AU50">
        <v>2021</v>
      </c>
      <c r="AV50" t="s">
        <v>72</v>
      </c>
      <c r="AW50" t="s">
        <v>72</v>
      </c>
      <c r="AX50" t="s">
        <v>72</v>
      </c>
      <c r="AY50" t="s">
        <v>72</v>
      </c>
      <c r="AZ50" t="s">
        <v>72</v>
      </c>
      <c r="BA50" t="s">
        <v>72</v>
      </c>
      <c r="BB50">
        <v>559</v>
      </c>
      <c r="BC50">
        <v>574</v>
      </c>
      <c r="BD50" t="s">
        <v>72</v>
      </c>
      <c r="BE50" t="s">
        <v>72</v>
      </c>
      <c r="BF50" t="s">
        <v>72</v>
      </c>
      <c r="BG50" t="s">
        <v>72</v>
      </c>
      <c r="BH50" t="s">
        <v>72</v>
      </c>
      <c r="BI50">
        <v>16</v>
      </c>
      <c r="BJ50" t="s">
        <v>2563</v>
      </c>
      <c r="BK50" t="s">
        <v>152</v>
      </c>
      <c r="BL50" t="s">
        <v>2564</v>
      </c>
      <c r="BM50" t="s">
        <v>72</v>
      </c>
      <c r="BN50" t="s">
        <v>72</v>
      </c>
      <c r="BO50" t="s">
        <v>72</v>
      </c>
      <c r="BP50" t="s">
        <v>72</v>
      </c>
      <c r="BQ50" t="s">
        <v>100</v>
      </c>
      <c r="BR50" t="s">
        <v>2565</v>
      </c>
      <c r="BS50" t="str">
        <f>HYPERLINK("https%3A%2F%2Fwww.webofscience.com%2Fwos%2Fwoscc%2Ffull-record%2FWOS:000728594100040","View Full Record in Web of Science")</f>
        <v>View Full Record in Web of Science</v>
      </c>
    </row>
    <row r="51" spans="1:71" hidden="1" x14ac:dyDescent="0.2">
      <c r="A51" t="s">
        <v>70</v>
      </c>
      <c r="B51" t="s">
        <v>2707</v>
      </c>
      <c r="C51" t="s">
        <v>72</v>
      </c>
      <c r="D51" t="s">
        <v>72</v>
      </c>
      <c r="E51" t="s">
        <v>72</v>
      </c>
      <c r="F51" t="s">
        <v>2708</v>
      </c>
      <c r="G51" t="s">
        <v>72</v>
      </c>
      <c r="H51" t="s">
        <v>72</v>
      </c>
      <c r="I51" t="s">
        <v>2709</v>
      </c>
      <c r="J51" t="s">
        <v>2710</v>
      </c>
      <c r="K51" t="s">
        <v>72</v>
      </c>
      <c r="L51" t="s">
        <v>72</v>
      </c>
      <c r="M51" t="s">
        <v>76</v>
      </c>
      <c r="N51" t="s">
        <v>1503</v>
      </c>
      <c r="O51" t="s">
        <v>72</v>
      </c>
      <c r="P51" t="s">
        <v>72</v>
      </c>
      <c r="Q51" t="s">
        <v>72</v>
      </c>
      <c r="R51" t="s">
        <v>72</v>
      </c>
      <c r="S51" t="s">
        <v>72</v>
      </c>
      <c r="T51" t="s">
        <v>2711</v>
      </c>
      <c r="U51" t="s">
        <v>2712</v>
      </c>
      <c r="V51" t="s">
        <v>2713</v>
      </c>
      <c r="W51" t="s">
        <v>2714</v>
      </c>
      <c r="X51" t="s">
        <v>2715</v>
      </c>
      <c r="Y51" t="s">
        <v>2716</v>
      </c>
      <c r="Z51" t="s">
        <v>2717</v>
      </c>
      <c r="AA51" t="s">
        <v>2718</v>
      </c>
      <c r="AB51" t="s">
        <v>72</v>
      </c>
      <c r="AC51" t="s">
        <v>72</v>
      </c>
      <c r="AD51" t="s">
        <v>72</v>
      </c>
      <c r="AE51" t="s">
        <v>72</v>
      </c>
      <c r="AF51" t="s">
        <v>72</v>
      </c>
      <c r="AG51">
        <v>81</v>
      </c>
      <c r="AH51">
        <v>59</v>
      </c>
      <c r="AI51">
        <v>60</v>
      </c>
      <c r="AJ51">
        <v>3</v>
      </c>
      <c r="AK51">
        <v>39</v>
      </c>
      <c r="AL51" t="s">
        <v>1698</v>
      </c>
      <c r="AM51" t="s">
        <v>707</v>
      </c>
      <c r="AN51" t="s">
        <v>1925</v>
      </c>
      <c r="AO51" t="s">
        <v>2719</v>
      </c>
      <c r="AP51" t="s">
        <v>72</v>
      </c>
      <c r="AQ51" t="s">
        <v>72</v>
      </c>
      <c r="AR51" t="s">
        <v>2720</v>
      </c>
      <c r="AS51" t="s">
        <v>2721</v>
      </c>
      <c r="AT51" t="s">
        <v>299</v>
      </c>
      <c r="AU51">
        <v>2018</v>
      </c>
      <c r="AV51">
        <v>40</v>
      </c>
      <c r="AW51" t="s">
        <v>72</v>
      </c>
      <c r="AX51" t="s">
        <v>72</v>
      </c>
      <c r="AY51" t="s">
        <v>72</v>
      </c>
      <c r="AZ51" t="s">
        <v>72</v>
      </c>
      <c r="BA51" t="s">
        <v>72</v>
      </c>
      <c r="BB51">
        <v>54</v>
      </c>
      <c r="BC51">
        <v>82</v>
      </c>
      <c r="BD51" t="s">
        <v>72</v>
      </c>
      <c r="BE51" t="s">
        <v>2722</v>
      </c>
      <c r="BF51" t="str">
        <f>HYPERLINK("http://dx.doi.org/10.1016/j.acclit.2017.12.001","http://dx.doi.org/10.1016/j.acclit.2017.12.001")</f>
        <v>http://dx.doi.org/10.1016/j.acclit.2017.12.001</v>
      </c>
      <c r="BG51" t="s">
        <v>72</v>
      </c>
      <c r="BH51" t="s">
        <v>72</v>
      </c>
      <c r="BI51">
        <v>29</v>
      </c>
      <c r="BJ51" t="s">
        <v>2723</v>
      </c>
      <c r="BK51" t="s">
        <v>152</v>
      </c>
      <c r="BL51" t="s">
        <v>2724</v>
      </c>
      <c r="BM51" t="s">
        <v>72</v>
      </c>
      <c r="BN51" t="s">
        <v>559</v>
      </c>
      <c r="BO51" t="s">
        <v>72</v>
      </c>
      <c r="BP51" t="s">
        <v>72</v>
      </c>
      <c r="BQ51" t="s">
        <v>100</v>
      </c>
      <c r="BR51" t="s">
        <v>2725</v>
      </c>
      <c r="BS51" t="str">
        <f>HYPERLINK("https%3A%2F%2Fwww.webofscience.com%2Fwos%2Fwoscc%2Ffull-record%2FWOS:000428976800004","View Full Record in Web of Science")</f>
        <v>View Full Record in Web of Science</v>
      </c>
    </row>
    <row r="52" spans="1:71" hidden="1" x14ac:dyDescent="0.2">
      <c r="A52" t="s">
        <v>70</v>
      </c>
      <c r="B52" t="s">
        <v>3331</v>
      </c>
      <c r="C52" t="s">
        <v>72</v>
      </c>
      <c r="D52" t="s">
        <v>72</v>
      </c>
      <c r="E52" t="s">
        <v>72</v>
      </c>
      <c r="F52" t="s">
        <v>3332</v>
      </c>
      <c r="G52" t="s">
        <v>72</v>
      </c>
      <c r="H52" t="s">
        <v>72</v>
      </c>
      <c r="I52" t="s">
        <v>3333</v>
      </c>
      <c r="J52" t="s">
        <v>3334</v>
      </c>
      <c r="K52" t="s">
        <v>72</v>
      </c>
      <c r="L52" t="s">
        <v>72</v>
      </c>
      <c r="M52" t="s">
        <v>76</v>
      </c>
      <c r="N52" t="s">
        <v>77</v>
      </c>
      <c r="O52" t="s">
        <v>72</v>
      </c>
      <c r="P52" t="s">
        <v>72</v>
      </c>
      <c r="Q52" t="s">
        <v>72</v>
      </c>
      <c r="R52" t="s">
        <v>72</v>
      </c>
      <c r="S52" t="s">
        <v>72</v>
      </c>
      <c r="T52" t="s">
        <v>3335</v>
      </c>
      <c r="U52" t="s">
        <v>72</v>
      </c>
      <c r="V52" t="s">
        <v>3336</v>
      </c>
      <c r="W52" t="s">
        <v>3337</v>
      </c>
      <c r="X52" t="s">
        <v>3338</v>
      </c>
      <c r="Y52" t="s">
        <v>3339</v>
      </c>
      <c r="Z52" t="s">
        <v>3340</v>
      </c>
      <c r="AA52" t="s">
        <v>72</v>
      </c>
      <c r="AB52" t="s">
        <v>72</v>
      </c>
      <c r="AC52" t="s">
        <v>72</v>
      </c>
      <c r="AD52" t="s">
        <v>72</v>
      </c>
      <c r="AE52" t="s">
        <v>72</v>
      </c>
      <c r="AF52" t="s">
        <v>72</v>
      </c>
      <c r="AG52">
        <v>41</v>
      </c>
      <c r="AH52">
        <v>0</v>
      </c>
      <c r="AI52">
        <v>0</v>
      </c>
      <c r="AJ52">
        <v>1</v>
      </c>
      <c r="AK52">
        <v>2</v>
      </c>
      <c r="AL52" t="s">
        <v>3341</v>
      </c>
      <c r="AM52" t="s">
        <v>3342</v>
      </c>
      <c r="AN52" t="s">
        <v>3343</v>
      </c>
      <c r="AO52" t="s">
        <v>3344</v>
      </c>
      <c r="AP52" t="s">
        <v>3345</v>
      </c>
      <c r="AQ52" t="s">
        <v>72</v>
      </c>
      <c r="AR52" t="s">
        <v>3346</v>
      </c>
      <c r="AS52" t="s">
        <v>3347</v>
      </c>
      <c r="AT52" t="s">
        <v>3348</v>
      </c>
      <c r="AU52">
        <v>2021</v>
      </c>
      <c r="AV52">
        <v>22</v>
      </c>
      <c r="AW52">
        <v>1</v>
      </c>
      <c r="AX52" t="s">
        <v>72</v>
      </c>
      <c r="AY52" t="s">
        <v>72</v>
      </c>
      <c r="AZ52" t="s">
        <v>72</v>
      </c>
      <c r="BA52" t="s">
        <v>72</v>
      </c>
      <c r="BB52">
        <v>177</v>
      </c>
      <c r="BC52">
        <v>213</v>
      </c>
      <c r="BD52" t="s">
        <v>72</v>
      </c>
      <c r="BE52" t="s">
        <v>3349</v>
      </c>
      <c r="BF52" t="str">
        <f>HYPERLINK("http://dx.doi.org/10.13058/raep.2021.v22n1.1859","http://dx.doi.org/10.13058/raep.2021.v22n1.1859")</f>
        <v>http://dx.doi.org/10.13058/raep.2021.v22n1.1859</v>
      </c>
      <c r="BG52" t="s">
        <v>72</v>
      </c>
      <c r="BH52" t="s">
        <v>72</v>
      </c>
      <c r="BI52">
        <v>37</v>
      </c>
      <c r="BJ52" t="s">
        <v>1350</v>
      </c>
      <c r="BK52" t="s">
        <v>152</v>
      </c>
      <c r="BL52" t="s">
        <v>3350</v>
      </c>
      <c r="BM52" t="s">
        <v>72</v>
      </c>
      <c r="BN52" t="s">
        <v>222</v>
      </c>
      <c r="BO52" t="s">
        <v>72</v>
      </c>
      <c r="BP52" t="s">
        <v>72</v>
      </c>
      <c r="BQ52" t="s">
        <v>100</v>
      </c>
      <c r="BR52" t="s">
        <v>3351</v>
      </c>
      <c r="BS52" t="str">
        <f>HYPERLINK("https%3A%2F%2Fwww.webofscience.com%2Fwos%2Fwoscc%2Ffull-record%2FWOS:000652354900007","View Full Record in Web of Science")</f>
        <v>View Full Record in Web of Science</v>
      </c>
    </row>
    <row r="53" spans="1:71" hidden="1" x14ac:dyDescent="0.2">
      <c r="A53" t="s">
        <v>70</v>
      </c>
      <c r="B53" t="s">
        <v>3672</v>
      </c>
      <c r="C53" t="s">
        <v>72</v>
      </c>
      <c r="D53" t="s">
        <v>72</v>
      </c>
      <c r="E53" t="s">
        <v>72</v>
      </c>
      <c r="F53" t="s">
        <v>3673</v>
      </c>
      <c r="G53" t="s">
        <v>72</v>
      </c>
      <c r="H53" t="s">
        <v>72</v>
      </c>
      <c r="I53" t="s">
        <v>3674</v>
      </c>
      <c r="J53" t="s">
        <v>3675</v>
      </c>
      <c r="K53" t="s">
        <v>72</v>
      </c>
      <c r="L53" t="s">
        <v>72</v>
      </c>
      <c r="M53" t="s">
        <v>76</v>
      </c>
      <c r="N53" t="s">
        <v>77</v>
      </c>
      <c r="O53" t="s">
        <v>72</v>
      </c>
      <c r="P53" t="s">
        <v>72</v>
      </c>
      <c r="Q53" t="s">
        <v>72</v>
      </c>
      <c r="R53" t="s">
        <v>72</v>
      </c>
      <c r="S53" t="s">
        <v>72</v>
      </c>
      <c r="T53" t="s">
        <v>3676</v>
      </c>
      <c r="U53" t="s">
        <v>3677</v>
      </c>
      <c r="V53" t="s">
        <v>3678</v>
      </c>
      <c r="W53" t="s">
        <v>3679</v>
      </c>
      <c r="X53" t="s">
        <v>3680</v>
      </c>
      <c r="Y53" t="s">
        <v>3681</v>
      </c>
      <c r="Z53" t="s">
        <v>3682</v>
      </c>
      <c r="AA53" t="s">
        <v>3683</v>
      </c>
      <c r="AB53" t="s">
        <v>3684</v>
      </c>
      <c r="AC53" t="s">
        <v>72</v>
      </c>
      <c r="AD53" t="s">
        <v>72</v>
      </c>
      <c r="AE53" t="s">
        <v>72</v>
      </c>
      <c r="AF53" t="s">
        <v>72</v>
      </c>
      <c r="AG53">
        <v>65</v>
      </c>
      <c r="AH53">
        <v>1</v>
      </c>
      <c r="AI53">
        <v>1</v>
      </c>
      <c r="AJ53">
        <v>4</v>
      </c>
      <c r="AK53">
        <v>22</v>
      </c>
      <c r="AL53" t="s">
        <v>1165</v>
      </c>
      <c r="AM53" t="s">
        <v>1166</v>
      </c>
      <c r="AN53" t="s">
        <v>1167</v>
      </c>
      <c r="AO53" t="s">
        <v>3685</v>
      </c>
      <c r="AP53" t="s">
        <v>3686</v>
      </c>
      <c r="AQ53" t="s">
        <v>72</v>
      </c>
      <c r="AR53" t="s">
        <v>3687</v>
      </c>
      <c r="AS53" t="s">
        <v>3688</v>
      </c>
      <c r="AT53" t="s">
        <v>3689</v>
      </c>
      <c r="AU53">
        <v>2022</v>
      </c>
      <c r="AV53">
        <v>31</v>
      </c>
      <c r="AW53">
        <v>5</v>
      </c>
      <c r="AX53" t="s">
        <v>72</v>
      </c>
      <c r="AY53" t="s">
        <v>72</v>
      </c>
      <c r="AZ53" t="s">
        <v>72</v>
      </c>
      <c r="BA53" t="s">
        <v>72</v>
      </c>
      <c r="BB53">
        <v>702</v>
      </c>
      <c r="BC53">
        <v>717</v>
      </c>
      <c r="BD53" t="s">
        <v>72</v>
      </c>
      <c r="BE53" t="s">
        <v>3690</v>
      </c>
      <c r="BF53" t="str">
        <f>HYPERLINK("http://dx.doi.org/10.1108/JPBM-01-2021-3341","http://dx.doi.org/10.1108/JPBM-01-2021-3341")</f>
        <v>http://dx.doi.org/10.1108/JPBM-01-2021-3341</v>
      </c>
      <c r="BG53" t="s">
        <v>72</v>
      </c>
      <c r="BH53" t="s">
        <v>2792</v>
      </c>
      <c r="BI53">
        <v>16</v>
      </c>
      <c r="BJ53" t="s">
        <v>2097</v>
      </c>
      <c r="BK53" t="s">
        <v>152</v>
      </c>
      <c r="BL53" t="s">
        <v>3691</v>
      </c>
      <c r="BM53" t="s">
        <v>72</v>
      </c>
      <c r="BN53" t="s">
        <v>72</v>
      </c>
      <c r="BO53" t="s">
        <v>72</v>
      </c>
      <c r="BP53" t="s">
        <v>72</v>
      </c>
      <c r="BQ53" t="s">
        <v>100</v>
      </c>
      <c r="BR53" t="s">
        <v>3692</v>
      </c>
      <c r="BS53" t="str">
        <f>HYPERLINK("https%3A%2F%2Fwww.webofscience.com%2Fwos%2Fwoscc%2Ffull-record%2FWOS:000703145500001","View Full Record in Web of Science")</f>
        <v>View Full Record in Web of Science</v>
      </c>
    </row>
    <row r="54" spans="1:71" hidden="1" x14ac:dyDescent="0.2">
      <c r="A54" t="s">
        <v>70</v>
      </c>
      <c r="B54" t="s">
        <v>3969</v>
      </c>
      <c r="C54" t="s">
        <v>72</v>
      </c>
      <c r="D54" t="s">
        <v>72</v>
      </c>
      <c r="E54" t="s">
        <v>72</v>
      </c>
      <c r="F54" t="s">
        <v>3970</v>
      </c>
      <c r="G54" t="s">
        <v>72</v>
      </c>
      <c r="H54" t="s">
        <v>72</v>
      </c>
      <c r="I54" t="s">
        <v>3971</v>
      </c>
      <c r="J54" t="s">
        <v>3972</v>
      </c>
      <c r="K54" t="s">
        <v>72</v>
      </c>
      <c r="L54" t="s">
        <v>72</v>
      </c>
      <c r="M54" t="s">
        <v>76</v>
      </c>
      <c r="N54" t="s">
        <v>77</v>
      </c>
      <c r="O54" t="s">
        <v>72</v>
      </c>
      <c r="P54" t="s">
        <v>72</v>
      </c>
      <c r="Q54" t="s">
        <v>72</v>
      </c>
      <c r="R54" t="s">
        <v>72</v>
      </c>
      <c r="S54" t="s">
        <v>72</v>
      </c>
      <c r="T54" t="s">
        <v>3973</v>
      </c>
      <c r="U54" t="s">
        <v>3974</v>
      </c>
      <c r="V54" t="s">
        <v>3975</v>
      </c>
      <c r="W54" t="s">
        <v>3976</v>
      </c>
      <c r="X54" t="s">
        <v>3977</v>
      </c>
      <c r="Y54" t="s">
        <v>3978</v>
      </c>
      <c r="Z54" t="s">
        <v>3979</v>
      </c>
      <c r="AA54" t="s">
        <v>72</v>
      </c>
      <c r="AB54" t="s">
        <v>72</v>
      </c>
      <c r="AC54" t="s">
        <v>72</v>
      </c>
      <c r="AD54" t="s">
        <v>72</v>
      </c>
      <c r="AE54" t="s">
        <v>72</v>
      </c>
      <c r="AF54" t="s">
        <v>72</v>
      </c>
      <c r="AG54">
        <v>35</v>
      </c>
      <c r="AH54">
        <v>27</v>
      </c>
      <c r="AI54">
        <v>28</v>
      </c>
      <c r="AJ54">
        <v>0</v>
      </c>
      <c r="AK54">
        <v>41</v>
      </c>
      <c r="AL54" t="s">
        <v>924</v>
      </c>
      <c r="AM54" t="s">
        <v>168</v>
      </c>
      <c r="AN54" t="s">
        <v>925</v>
      </c>
      <c r="AO54" t="s">
        <v>3980</v>
      </c>
      <c r="AP54" t="s">
        <v>3981</v>
      </c>
      <c r="AQ54" t="s">
        <v>72</v>
      </c>
      <c r="AR54" t="s">
        <v>3982</v>
      </c>
      <c r="AS54" t="s">
        <v>3983</v>
      </c>
      <c r="AT54" t="s">
        <v>299</v>
      </c>
      <c r="AU54">
        <v>2013</v>
      </c>
      <c r="AV54">
        <v>14</v>
      </c>
      <c r="AW54">
        <v>2</v>
      </c>
      <c r="AX54" t="s">
        <v>72</v>
      </c>
      <c r="AY54" t="s">
        <v>72</v>
      </c>
      <c r="AZ54" t="s">
        <v>478</v>
      </c>
      <c r="BA54" t="s">
        <v>72</v>
      </c>
      <c r="BB54">
        <v>138</v>
      </c>
      <c r="BC54">
        <v>163</v>
      </c>
      <c r="BD54" t="s">
        <v>72</v>
      </c>
      <c r="BE54" t="s">
        <v>3984</v>
      </c>
      <c r="BF54" t="str">
        <f>HYPERLINK("http://dx.doi.org/10.1016/j.accinf.2011.11.002","http://dx.doi.org/10.1016/j.accinf.2011.11.002")</f>
        <v>http://dx.doi.org/10.1016/j.accinf.2011.11.002</v>
      </c>
      <c r="BG54" t="s">
        <v>72</v>
      </c>
      <c r="BH54" t="s">
        <v>72</v>
      </c>
      <c r="BI54">
        <v>26</v>
      </c>
      <c r="BJ54" t="s">
        <v>3985</v>
      </c>
      <c r="BK54" t="s">
        <v>152</v>
      </c>
      <c r="BL54" t="s">
        <v>3986</v>
      </c>
      <c r="BM54" t="s">
        <v>72</v>
      </c>
      <c r="BN54" t="s">
        <v>72</v>
      </c>
      <c r="BO54" t="s">
        <v>72</v>
      </c>
      <c r="BP54" t="s">
        <v>72</v>
      </c>
      <c r="BQ54" t="s">
        <v>100</v>
      </c>
      <c r="BR54" t="s">
        <v>3987</v>
      </c>
      <c r="BS54" t="str">
        <f>HYPERLINK("https%3A%2F%2Fwww.webofscience.com%2Fwos%2Fwoscc%2Ffull-record%2FWOS:000318322200008","View Full Record in Web of Science")</f>
        <v>View Full Record in Web of Science</v>
      </c>
    </row>
    <row r="55" spans="1:71" hidden="1" x14ac:dyDescent="0.2">
      <c r="A55" t="s">
        <v>70</v>
      </c>
      <c r="B55" t="s">
        <v>3988</v>
      </c>
      <c r="C55" t="s">
        <v>72</v>
      </c>
      <c r="D55" t="s">
        <v>72</v>
      </c>
      <c r="E55" t="s">
        <v>72</v>
      </c>
      <c r="F55" t="s">
        <v>3989</v>
      </c>
      <c r="G55" t="s">
        <v>72</v>
      </c>
      <c r="H55" t="s">
        <v>72</v>
      </c>
      <c r="I55" t="s">
        <v>3990</v>
      </c>
      <c r="J55" t="s">
        <v>3991</v>
      </c>
      <c r="K55" t="s">
        <v>72</v>
      </c>
      <c r="L55" t="s">
        <v>72</v>
      </c>
      <c r="M55" t="s">
        <v>76</v>
      </c>
      <c r="N55" t="s">
        <v>77</v>
      </c>
      <c r="O55" t="s">
        <v>72</v>
      </c>
      <c r="P55" t="s">
        <v>72</v>
      </c>
      <c r="Q55" t="s">
        <v>72</v>
      </c>
      <c r="R55" t="s">
        <v>72</v>
      </c>
      <c r="S55" t="s">
        <v>72</v>
      </c>
      <c r="T55" t="s">
        <v>3992</v>
      </c>
      <c r="U55" t="s">
        <v>3993</v>
      </c>
      <c r="V55" t="s">
        <v>3994</v>
      </c>
      <c r="W55" t="s">
        <v>3995</v>
      </c>
      <c r="X55" t="s">
        <v>3996</v>
      </c>
      <c r="Y55" t="s">
        <v>3997</v>
      </c>
      <c r="Z55" t="s">
        <v>3998</v>
      </c>
      <c r="AA55" t="s">
        <v>72</v>
      </c>
      <c r="AB55" t="s">
        <v>72</v>
      </c>
      <c r="AC55" t="s">
        <v>3999</v>
      </c>
      <c r="AD55" t="s">
        <v>3999</v>
      </c>
      <c r="AE55" t="s">
        <v>4000</v>
      </c>
      <c r="AF55" t="s">
        <v>72</v>
      </c>
      <c r="AG55">
        <v>58</v>
      </c>
      <c r="AH55">
        <v>1</v>
      </c>
      <c r="AI55">
        <v>1</v>
      </c>
      <c r="AJ55">
        <v>8</v>
      </c>
      <c r="AK55">
        <v>8</v>
      </c>
      <c r="AL55" t="s">
        <v>1698</v>
      </c>
      <c r="AM55" t="s">
        <v>707</v>
      </c>
      <c r="AN55" t="s">
        <v>1699</v>
      </c>
      <c r="AO55" t="s">
        <v>4001</v>
      </c>
      <c r="AP55" t="s">
        <v>4002</v>
      </c>
      <c r="AQ55" t="s">
        <v>72</v>
      </c>
      <c r="AR55" t="s">
        <v>4003</v>
      </c>
      <c r="AS55" t="s">
        <v>4004</v>
      </c>
      <c r="AT55" t="s">
        <v>197</v>
      </c>
      <c r="AU55">
        <v>2022</v>
      </c>
      <c r="AV55">
        <v>144</v>
      </c>
      <c r="AW55" t="s">
        <v>72</v>
      </c>
      <c r="AX55" t="s">
        <v>72</v>
      </c>
      <c r="AY55" t="s">
        <v>72</v>
      </c>
      <c r="AZ55" t="s">
        <v>72</v>
      </c>
      <c r="BA55" t="s">
        <v>72</v>
      </c>
      <c r="BB55">
        <v>136</v>
      </c>
      <c r="BC55">
        <v>145</v>
      </c>
      <c r="BD55" t="s">
        <v>72</v>
      </c>
      <c r="BE55" t="s">
        <v>4005</v>
      </c>
      <c r="BF55" t="str">
        <f>HYPERLINK("http://dx.doi.org/10.1016/j.jbusres.2022.01.089","http://dx.doi.org/10.1016/j.jbusres.2022.01.089")</f>
        <v>http://dx.doi.org/10.1016/j.jbusres.2022.01.089</v>
      </c>
      <c r="BG55" t="s">
        <v>72</v>
      </c>
      <c r="BH55" t="s">
        <v>72</v>
      </c>
      <c r="BI55">
        <v>10</v>
      </c>
      <c r="BJ55" t="s">
        <v>151</v>
      </c>
      <c r="BK55" t="s">
        <v>152</v>
      </c>
      <c r="BL55" t="s">
        <v>4006</v>
      </c>
      <c r="BM55" t="s">
        <v>72</v>
      </c>
      <c r="BN55" t="s">
        <v>280</v>
      </c>
      <c r="BO55" t="s">
        <v>72</v>
      </c>
      <c r="BP55" t="s">
        <v>72</v>
      </c>
      <c r="BQ55" t="s">
        <v>100</v>
      </c>
      <c r="BR55" t="s">
        <v>4007</v>
      </c>
      <c r="BS55" t="str">
        <f>HYPERLINK("https%3A%2F%2Fwww.webofscience.com%2Fwos%2Fwoscc%2Ffull-record%2FWOS:000794033200010","View Full Record in Web of Science")</f>
        <v>View Full Record in Web of Science</v>
      </c>
    </row>
    <row r="56" spans="1:71" hidden="1" x14ac:dyDescent="0.2">
      <c r="A56" t="s">
        <v>70</v>
      </c>
      <c r="B56" t="s">
        <v>4221</v>
      </c>
      <c r="C56" t="s">
        <v>72</v>
      </c>
      <c r="D56" t="s">
        <v>72</v>
      </c>
      <c r="E56" t="s">
        <v>72</v>
      </c>
      <c r="F56" t="s">
        <v>4222</v>
      </c>
      <c r="G56" t="s">
        <v>72</v>
      </c>
      <c r="H56" t="s">
        <v>72</v>
      </c>
      <c r="I56" t="s">
        <v>4223</v>
      </c>
      <c r="J56" t="s">
        <v>4224</v>
      </c>
      <c r="K56" t="s">
        <v>72</v>
      </c>
      <c r="L56" t="s">
        <v>72</v>
      </c>
      <c r="M56" t="s">
        <v>76</v>
      </c>
      <c r="N56" t="s">
        <v>77</v>
      </c>
      <c r="O56" t="s">
        <v>72</v>
      </c>
      <c r="P56" t="s">
        <v>72</v>
      </c>
      <c r="Q56" t="s">
        <v>72</v>
      </c>
      <c r="R56" t="s">
        <v>72</v>
      </c>
      <c r="S56" t="s">
        <v>72</v>
      </c>
      <c r="T56" t="s">
        <v>4225</v>
      </c>
      <c r="U56" t="s">
        <v>4226</v>
      </c>
      <c r="V56" t="s">
        <v>4227</v>
      </c>
      <c r="W56" t="s">
        <v>4228</v>
      </c>
      <c r="X56" t="s">
        <v>4229</v>
      </c>
      <c r="Y56" t="s">
        <v>4230</v>
      </c>
      <c r="Z56" t="s">
        <v>4231</v>
      </c>
      <c r="AA56" t="s">
        <v>4232</v>
      </c>
      <c r="AB56" t="s">
        <v>4233</v>
      </c>
      <c r="AC56" t="s">
        <v>4234</v>
      </c>
      <c r="AD56" t="s">
        <v>4234</v>
      </c>
      <c r="AE56" t="s">
        <v>4235</v>
      </c>
      <c r="AF56" t="s">
        <v>72</v>
      </c>
      <c r="AG56">
        <v>90</v>
      </c>
      <c r="AH56">
        <v>4</v>
      </c>
      <c r="AI56">
        <v>4</v>
      </c>
      <c r="AJ56">
        <v>1</v>
      </c>
      <c r="AK56">
        <v>2</v>
      </c>
      <c r="AL56" t="s">
        <v>1005</v>
      </c>
      <c r="AM56" t="s">
        <v>1006</v>
      </c>
      <c r="AN56" t="s">
        <v>1007</v>
      </c>
      <c r="AO56" t="s">
        <v>4236</v>
      </c>
      <c r="AP56" t="s">
        <v>4237</v>
      </c>
      <c r="AQ56" t="s">
        <v>72</v>
      </c>
      <c r="AR56" t="s">
        <v>4238</v>
      </c>
      <c r="AS56" t="s">
        <v>4239</v>
      </c>
      <c r="AT56" t="s">
        <v>555</v>
      </c>
      <c r="AU56">
        <v>2021</v>
      </c>
      <c r="AV56">
        <v>22</v>
      </c>
      <c r="AW56">
        <v>1</v>
      </c>
      <c r="AX56" t="s">
        <v>72</v>
      </c>
      <c r="AY56" t="s">
        <v>72</v>
      </c>
      <c r="AZ56" t="s">
        <v>72</v>
      </c>
      <c r="BA56" t="s">
        <v>72</v>
      </c>
      <c r="BB56">
        <v>73</v>
      </c>
      <c r="BC56">
        <v>95</v>
      </c>
      <c r="BD56" t="s">
        <v>72</v>
      </c>
      <c r="BE56" t="s">
        <v>4240</v>
      </c>
      <c r="BF56" t="str">
        <f>HYPERLINK("http://dx.doi.org/10.1057/s41261-020-00129-x","http://dx.doi.org/10.1057/s41261-020-00129-x")</f>
        <v>http://dx.doi.org/10.1057/s41261-020-00129-x</v>
      </c>
      <c r="BG56" t="s">
        <v>72</v>
      </c>
      <c r="BH56" t="s">
        <v>480</v>
      </c>
      <c r="BI56">
        <v>23</v>
      </c>
      <c r="BJ56" t="s">
        <v>2723</v>
      </c>
      <c r="BK56" t="s">
        <v>152</v>
      </c>
      <c r="BL56" t="s">
        <v>4241</v>
      </c>
      <c r="BM56" t="s">
        <v>72</v>
      </c>
      <c r="BN56" t="s">
        <v>346</v>
      </c>
      <c r="BO56" t="s">
        <v>72</v>
      </c>
      <c r="BP56" t="s">
        <v>72</v>
      </c>
      <c r="BQ56" t="s">
        <v>100</v>
      </c>
      <c r="BR56" t="s">
        <v>4242</v>
      </c>
      <c r="BS56" t="str">
        <f>HYPERLINK("https%3A%2F%2Fwww.webofscience.com%2Fwos%2Fwoscc%2Ffull-record%2FWOS:000553272200001","View Full Record in Web of Science")</f>
        <v>View Full Record in Web of Science</v>
      </c>
    </row>
    <row r="57" spans="1:71" hidden="1" x14ac:dyDescent="0.2">
      <c r="A57" t="s">
        <v>70</v>
      </c>
      <c r="B57" t="s">
        <v>4428</v>
      </c>
      <c r="C57" t="s">
        <v>72</v>
      </c>
      <c r="D57" t="s">
        <v>72</v>
      </c>
      <c r="E57" t="s">
        <v>72</v>
      </c>
      <c r="F57" t="s">
        <v>4429</v>
      </c>
      <c r="G57" t="s">
        <v>72</v>
      </c>
      <c r="H57" t="s">
        <v>72</v>
      </c>
      <c r="I57" t="s">
        <v>4430</v>
      </c>
      <c r="J57" t="s">
        <v>4431</v>
      </c>
      <c r="K57" t="s">
        <v>72</v>
      </c>
      <c r="L57" t="s">
        <v>72</v>
      </c>
      <c r="M57" t="s">
        <v>76</v>
      </c>
      <c r="N57" t="s">
        <v>77</v>
      </c>
      <c r="O57" t="s">
        <v>72</v>
      </c>
      <c r="P57" t="s">
        <v>72</v>
      </c>
      <c r="Q57" t="s">
        <v>72</v>
      </c>
      <c r="R57" t="s">
        <v>72</v>
      </c>
      <c r="S57" t="s">
        <v>72</v>
      </c>
      <c r="T57" t="s">
        <v>4432</v>
      </c>
      <c r="U57" t="s">
        <v>4433</v>
      </c>
      <c r="V57" t="s">
        <v>4434</v>
      </c>
      <c r="W57" t="s">
        <v>4435</v>
      </c>
      <c r="X57" t="s">
        <v>4436</v>
      </c>
      <c r="Y57" t="s">
        <v>4437</v>
      </c>
      <c r="Z57" t="s">
        <v>4438</v>
      </c>
      <c r="AA57" t="s">
        <v>72</v>
      </c>
      <c r="AB57" t="s">
        <v>4439</v>
      </c>
      <c r="AC57" t="s">
        <v>4440</v>
      </c>
      <c r="AD57" t="s">
        <v>4440</v>
      </c>
      <c r="AE57" t="s">
        <v>4441</v>
      </c>
      <c r="AF57" t="s">
        <v>72</v>
      </c>
      <c r="AG57">
        <v>90</v>
      </c>
      <c r="AH57">
        <v>4</v>
      </c>
      <c r="AI57">
        <v>4</v>
      </c>
      <c r="AJ57">
        <v>1</v>
      </c>
      <c r="AK57">
        <v>6</v>
      </c>
      <c r="AL57" t="s">
        <v>336</v>
      </c>
      <c r="AM57" t="s">
        <v>337</v>
      </c>
      <c r="AN57" t="s">
        <v>338</v>
      </c>
      <c r="AO57" t="s">
        <v>4442</v>
      </c>
      <c r="AP57" t="s">
        <v>4443</v>
      </c>
      <c r="AQ57" t="s">
        <v>72</v>
      </c>
      <c r="AR57" t="s">
        <v>4444</v>
      </c>
      <c r="AS57" t="s">
        <v>4445</v>
      </c>
      <c r="AT57" t="s">
        <v>639</v>
      </c>
      <c r="AU57">
        <v>2021</v>
      </c>
      <c r="AV57">
        <v>26</v>
      </c>
      <c r="AW57">
        <v>3</v>
      </c>
      <c r="AX57" t="s">
        <v>72</v>
      </c>
      <c r="AY57" t="s">
        <v>72</v>
      </c>
      <c r="AZ57" t="s">
        <v>72</v>
      </c>
      <c r="BA57" t="s">
        <v>72</v>
      </c>
      <c r="BB57">
        <v>484</v>
      </c>
      <c r="BC57">
        <v>519</v>
      </c>
      <c r="BD57">
        <v>1032373220964271</v>
      </c>
      <c r="BE57" t="s">
        <v>4446</v>
      </c>
      <c r="BF57" t="str">
        <f>HYPERLINK("http://dx.doi.org/10.1177/1032373220964271","http://dx.doi.org/10.1177/1032373220964271")</f>
        <v>http://dx.doi.org/10.1177/1032373220964271</v>
      </c>
      <c r="BG57" t="s">
        <v>72</v>
      </c>
      <c r="BH57" t="s">
        <v>4447</v>
      </c>
      <c r="BI57">
        <v>36</v>
      </c>
      <c r="BJ57" t="s">
        <v>2723</v>
      </c>
      <c r="BK57" t="s">
        <v>152</v>
      </c>
      <c r="BL57" t="s">
        <v>4448</v>
      </c>
      <c r="BM57" t="s">
        <v>72</v>
      </c>
      <c r="BN57" t="s">
        <v>72</v>
      </c>
      <c r="BO57" t="s">
        <v>72</v>
      </c>
      <c r="BP57" t="s">
        <v>72</v>
      </c>
      <c r="BQ57" t="s">
        <v>100</v>
      </c>
      <c r="BR57" t="s">
        <v>4449</v>
      </c>
      <c r="BS57" t="str">
        <f>HYPERLINK("https%3A%2F%2Fwww.webofscience.com%2Fwos%2Fwoscc%2Ffull-record%2FWOS:000599912800001","View Full Record in Web of Science")</f>
        <v>View Full Record in Web of Science</v>
      </c>
    </row>
    <row r="58" spans="1:71" hidden="1" x14ac:dyDescent="0.2">
      <c r="A58" t="s">
        <v>70</v>
      </c>
      <c r="B58" t="s">
        <v>4678</v>
      </c>
      <c r="C58" t="s">
        <v>72</v>
      </c>
      <c r="D58" t="s">
        <v>72</v>
      </c>
      <c r="E58" t="s">
        <v>72</v>
      </c>
      <c r="F58" t="s">
        <v>4679</v>
      </c>
      <c r="G58" t="s">
        <v>72</v>
      </c>
      <c r="H58" t="s">
        <v>72</v>
      </c>
      <c r="I58" t="s">
        <v>4680</v>
      </c>
      <c r="J58" t="s">
        <v>4681</v>
      </c>
      <c r="K58" t="s">
        <v>72</v>
      </c>
      <c r="L58" t="s">
        <v>72</v>
      </c>
      <c r="M58" t="s">
        <v>76</v>
      </c>
      <c r="N58" t="s">
        <v>77</v>
      </c>
      <c r="O58" t="s">
        <v>72</v>
      </c>
      <c r="P58" t="s">
        <v>72</v>
      </c>
      <c r="Q58" t="s">
        <v>72</v>
      </c>
      <c r="R58" t="s">
        <v>72</v>
      </c>
      <c r="S58" t="s">
        <v>72</v>
      </c>
      <c r="T58" t="s">
        <v>4682</v>
      </c>
      <c r="U58" t="s">
        <v>4683</v>
      </c>
      <c r="V58" t="s">
        <v>4684</v>
      </c>
      <c r="W58" t="s">
        <v>4685</v>
      </c>
      <c r="X58" t="s">
        <v>4686</v>
      </c>
      <c r="Y58" t="s">
        <v>4687</v>
      </c>
      <c r="Z58" t="s">
        <v>4688</v>
      </c>
      <c r="AA58" t="s">
        <v>72</v>
      </c>
      <c r="AB58" t="s">
        <v>4689</v>
      </c>
      <c r="AC58" t="s">
        <v>72</v>
      </c>
      <c r="AD58" t="s">
        <v>72</v>
      </c>
      <c r="AE58" t="s">
        <v>72</v>
      </c>
      <c r="AF58" t="s">
        <v>72</v>
      </c>
      <c r="AG58">
        <v>54</v>
      </c>
      <c r="AH58">
        <v>3</v>
      </c>
      <c r="AI58">
        <v>3</v>
      </c>
      <c r="AJ58">
        <v>1</v>
      </c>
      <c r="AK58">
        <v>18</v>
      </c>
      <c r="AL58" t="s">
        <v>1596</v>
      </c>
      <c r="AM58" t="s">
        <v>451</v>
      </c>
      <c r="AN58" t="s">
        <v>1597</v>
      </c>
      <c r="AO58" t="s">
        <v>4690</v>
      </c>
      <c r="AP58" t="s">
        <v>4691</v>
      </c>
      <c r="AQ58" t="s">
        <v>72</v>
      </c>
      <c r="AR58" t="s">
        <v>4692</v>
      </c>
      <c r="AS58" t="s">
        <v>4693</v>
      </c>
      <c r="AT58" t="s">
        <v>776</v>
      </c>
      <c r="AU58">
        <v>2021</v>
      </c>
      <c r="AV58">
        <v>61</v>
      </c>
      <c r="AW58" t="s">
        <v>72</v>
      </c>
      <c r="AX58" t="s">
        <v>72</v>
      </c>
      <c r="AY58" t="s">
        <v>72</v>
      </c>
      <c r="AZ58" t="s">
        <v>72</v>
      </c>
      <c r="BA58" t="s">
        <v>72</v>
      </c>
      <c r="BB58" t="s">
        <v>72</v>
      </c>
      <c r="BC58" t="s">
        <v>72</v>
      </c>
      <c r="BD58">
        <v>102576</v>
      </c>
      <c r="BE58" t="s">
        <v>4694</v>
      </c>
      <c r="BF58" t="str">
        <f>HYPERLINK("http://dx.doi.org/10.1016/j.jretconser.2021.102576","http://dx.doi.org/10.1016/j.jretconser.2021.102576")</f>
        <v>http://dx.doi.org/10.1016/j.jretconser.2021.102576</v>
      </c>
      <c r="BG58" t="s">
        <v>72</v>
      </c>
      <c r="BH58" t="s">
        <v>1013</v>
      </c>
      <c r="BI58">
        <v>9</v>
      </c>
      <c r="BJ58" t="s">
        <v>151</v>
      </c>
      <c r="BK58" t="s">
        <v>152</v>
      </c>
      <c r="BL58" t="s">
        <v>4695</v>
      </c>
      <c r="BM58" t="s">
        <v>72</v>
      </c>
      <c r="BN58" t="s">
        <v>72</v>
      </c>
      <c r="BO58" t="s">
        <v>72</v>
      </c>
      <c r="BP58" t="s">
        <v>72</v>
      </c>
      <c r="BQ58" t="s">
        <v>100</v>
      </c>
      <c r="BR58" t="s">
        <v>4696</v>
      </c>
      <c r="BS58" t="str">
        <f>HYPERLINK("https%3A%2F%2Fwww.webofscience.com%2Fwos%2Fwoscc%2Ffull-record%2FWOS:000663533300015","View Full Record in Web of Science")</f>
        <v>View Full Record in Web of Science</v>
      </c>
    </row>
    <row r="59" spans="1:71" hidden="1" x14ac:dyDescent="0.2">
      <c r="A59" t="s">
        <v>70</v>
      </c>
      <c r="B59" t="s">
        <v>4743</v>
      </c>
      <c r="C59" t="s">
        <v>72</v>
      </c>
      <c r="D59" t="s">
        <v>72</v>
      </c>
      <c r="E59" t="s">
        <v>72</v>
      </c>
      <c r="F59" t="s">
        <v>4744</v>
      </c>
      <c r="G59" t="s">
        <v>72</v>
      </c>
      <c r="H59" t="s">
        <v>72</v>
      </c>
      <c r="I59" t="s">
        <v>4745</v>
      </c>
      <c r="J59" t="s">
        <v>2084</v>
      </c>
      <c r="K59" t="s">
        <v>72</v>
      </c>
      <c r="L59" t="s">
        <v>72</v>
      </c>
      <c r="M59" t="s">
        <v>76</v>
      </c>
      <c r="N59" t="s">
        <v>77</v>
      </c>
      <c r="O59" t="s">
        <v>72</v>
      </c>
      <c r="P59" t="s">
        <v>72</v>
      </c>
      <c r="Q59" t="s">
        <v>72</v>
      </c>
      <c r="R59" t="s">
        <v>72</v>
      </c>
      <c r="S59" t="s">
        <v>72</v>
      </c>
      <c r="T59" t="s">
        <v>4746</v>
      </c>
      <c r="U59" t="s">
        <v>4747</v>
      </c>
      <c r="V59" t="s">
        <v>4748</v>
      </c>
      <c r="W59" t="s">
        <v>4749</v>
      </c>
      <c r="X59" t="s">
        <v>4750</v>
      </c>
      <c r="Y59" t="s">
        <v>4751</v>
      </c>
      <c r="Z59" t="s">
        <v>4752</v>
      </c>
      <c r="AA59" t="s">
        <v>72</v>
      </c>
      <c r="AB59" t="s">
        <v>72</v>
      </c>
      <c r="AC59" t="s">
        <v>72</v>
      </c>
      <c r="AD59" t="s">
        <v>72</v>
      </c>
      <c r="AE59" t="s">
        <v>72</v>
      </c>
      <c r="AF59" t="s">
        <v>72</v>
      </c>
      <c r="AG59">
        <v>64</v>
      </c>
      <c r="AH59">
        <v>0</v>
      </c>
      <c r="AI59">
        <v>0</v>
      </c>
      <c r="AJ59">
        <v>5</v>
      </c>
      <c r="AK59">
        <v>5</v>
      </c>
      <c r="AL59" t="s">
        <v>1698</v>
      </c>
      <c r="AM59" t="s">
        <v>707</v>
      </c>
      <c r="AN59" t="s">
        <v>1699</v>
      </c>
      <c r="AO59" t="s">
        <v>2092</v>
      </c>
      <c r="AP59" t="s">
        <v>2093</v>
      </c>
      <c r="AQ59" t="s">
        <v>72</v>
      </c>
      <c r="AR59" t="s">
        <v>2094</v>
      </c>
      <c r="AS59" t="s">
        <v>2095</v>
      </c>
      <c r="AT59" t="s">
        <v>395</v>
      </c>
      <c r="AU59">
        <v>2022</v>
      </c>
      <c r="AV59">
        <v>106</v>
      </c>
      <c r="AW59" t="s">
        <v>72</v>
      </c>
      <c r="AX59" t="s">
        <v>72</v>
      </c>
      <c r="AY59" t="s">
        <v>72</v>
      </c>
      <c r="AZ59" t="s">
        <v>72</v>
      </c>
      <c r="BA59" t="s">
        <v>72</v>
      </c>
      <c r="BB59">
        <v>270</v>
      </c>
      <c r="BC59">
        <v>278</v>
      </c>
      <c r="BD59" t="s">
        <v>72</v>
      </c>
      <c r="BE59" t="s">
        <v>4753</v>
      </c>
      <c r="BF59" t="str">
        <f>HYPERLINK("http://dx.doi.org/10.1016/j.indmarman.2022.08.001","http://dx.doi.org/10.1016/j.indmarman.2022.08.001")</f>
        <v>http://dx.doi.org/10.1016/j.indmarman.2022.08.001</v>
      </c>
      <c r="BG59" t="s">
        <v>72</v>
      </c>
      <c r="BH59" t="s">
        <v>72</v>
      </c>
      <c r="BI59">
        <v>9</v>
      </c>
      <c r="BJ59" t="s">
        <v>2097</v>
      </c>
      <c r="BK59" t="s">
        <v>152</v>
      </c>
      <c r="BL59" t="s">
        <v>4754</v>
      </c>
      <c r="BM59" t="s">
        <v>72</v>
      </c>
      <c r="BN59" t="s">
        <v>72</v>
      </c>
      <c r="BO59" t="s">
        <v>72</v>
      </c>
      <c r="BP59" t="s">
        <v>72</v>
      </c>
      <c r="BQ59" t="s">
        <v>100</v>
      </c>
      <c r="BR59" t="s">
        <v>4755</v>
      </c>
      <c r="BS59" t="str">
        <f>HYPERLINK("https%3A%2F%2Fwww.webofscience.com%2Fwos%2Fwoscc%2Ffull-record%2FWOS:000865437500002","View Full Record in Web of Science")</f>
        <v>View Full Record in Web of Science</v>
      </c>
    </row>
    <row r="60" spans="1:71" hidden="1" x14ac:dyDescent="0.2">
      <c r="A60" t="s">
        <v>70</v>
      </c>
      <c r="B60" t="s">
        <v>4756</v>
      </c>
      <c r="C60" t="s">
        <v>72</v>
      </c>
      <c r="D60" t="s">
        <v>72</v>
      </c>
      <c r="E60" t="s">
        <v>72</v>
      </c>
      <c r="F60" t="s">
        <v>4757</v>
      </c>
      <c r="G60" t="s">
        <v>72</v>
      </c>
      <c r="H60" t="s">
        <v>72</v>
      </c>
      <c r="I60" t="s">
        <v>4758</v>
      </c>
      <c r="J60" t="s">
        <v>4681</v>
      </c>
      <c r="K60" t="s">
        <v>72</v>
      </c>
      <c r="L60" t="s">
        <v>72</v>
      </c>
      <c r="M60" t="s">
        <v>76</v>
      </c>
      <c r="N60" t="s">
        <v>77</v>
      </c>
      <c r="O60" t="s">
        <v>72</v>
      </c>
      <c r="P60" t="s">
        <v>72</v>
      </c>
      <c r="Q60" t="s">
        <v>72</v>
      </c>
      <c r="R60" t="s">
        <v>72</v>
      </c>
      <c r="S60" t="s">
        <v>72</v>
      </c>
      <c r="T60" t="s">
        <v>4759</v>
      </c>
      <c r="U60" t="s">
        <v>4760</v>
      </c>
      <c r="V60" t="s">
        <v>4761</v>
      </c>
      <c r="W60" t="s">
        <v>4762</v>
      </c>
      <c r="X60" t="s">
        <v>4763</v>
      </c>
      <c r="Y60" t="s">
        <v>4764</v>
      </c>
      <c r="Z60" t="s">
        <v>4765</v>
      </c>
      <c r="AA60" t="s">
        <v>4766</v>
      </c>
      <c r="AB60" t="s">
        <v>4767</v>
      </c>
      <c r="AC60" t="s">
        <v>72</v>
      </c>
      <c r="AD60" t="s">
        <v>72</v>
      </c>
      <c r="AE60" t="s">
        <v>72</v>
      </c>
      <c r="AF60" t="s">
        <v>72</v>
      </c>
      <c r="AG60">
        <v>73</v>
      </c>
      <c r="AH60">
        <v>2</v>
      </c>
      <c r="AI60">
        <v>2</v>
      </c>
      <c r="AJ60">
        <v>6</v>
      </c>
      <c r="AK60">
        <v>21</v>
      </c>
      <c r="AL60" t="s">
        <v>1596</v>
      </c>
      <c r="AM60" t="s">
        <v>451</v>
      </c>
      <c r="AN60" t="s">
        <v>1597</v>
      </c>
      <c r="AO60" t="s">
        <v>4690</v>
      </c>
      <c r="AP60" t="s">
        <v>4691</v>
      </c>
      <c r="AQ60" t="s">
        <v>72</v>
      </c>
      <c r="AR60" t="s">
        <v>4692</v>
      </c>
      <c r="AS60" t="s">
        <v>4693</v>
      </c>
      <c r="AT60" t="s">
        <v>951</v>
      </c>
      <c r="AU60">
        <v>2021</v>
      </c>
      <c r="AV60">
        <v>63</v>
      </c>
      <c r="AW60" t="s">
        <v>72</v>
      </c>
      <c r="AX60" t="s">
        <v>72</v>
      </c>
      <c r="AY60" t="s">
        <v>72</v>
      </c>
      <c r="AZ60" t="s">
        <v>72</v>
      </c>
      <c r="BA60" t="s">
        <v>72</v>
      </c>
      <c r="BB60" t="s">
        <v>72</v>
      </c>
      <c r="BC60" t="s">
        <v>72</v>
      </c>
      <c r="BD60">
        <v>102703</v>
      </c>
      <c r="BE60" t="s">
        <v>4768</v>
      </c>
      <c r="BF60" t="str">
        <f>HYPERLINK("http://dx.doi.org/10.1016/j.jretconser.2021.102703","http://dx.doi.org/10.1016/j.jretconser.2021.102703")</f>
        <v>http://dx.doi.org/10.1016/j.jretconser.2021.102703</v>
      </c>
      <c r="BG60" t="s">
        <v>72</v>
      </c>
      <c r="BH60" t="s">
        <v>4769</v>
      </c>
      <c r="BI60">
        <v>7</v>
      </c>
      <c r="BJ60" t="s">
        <v>151</v>
      </c>
      <c r="BK60" t="s">
        <v>152</v>
      </c>
      <c r="BL60" t="s">
        <v>4770</v>
      </c>
      <c r="BM60" t="s">
        <v>72</v>
      </c>
      <c r="BN60" t="s">
        <v>251</v>
      </c>
      <c r="BO60" t="s">
        <v>72</v>
      </c>
      <c r="BP60" t="s">
        <v>72</v>
      </c>
      <c r="BQ60" t="s">
        <v>100</v>
      </c>
      <c r="BR60" t="s">
        <v>4771</v>
      </c>
      <c r="BS60" t="str">
        <f>HYPERLINK("https%3A%2F%2Fwww.webofscience.com%2Fwos%2Fwoscc%2Ffull-record%2FWOS:000696953300018","View Full Record in Web of Science")</f>
        <v>View Full Record in Web of Science</v>
      </c>
    </row>
    <row r="61" spans="1:71" hidden="1" x14ac:dyDescent="0.2">
      <c r="A61" t="s">
        <v>70</v>
      </c>
      <c r="B61" t="s">
        <v>4792</v>
      </c>
      <c r="C61" t="s">
        <v>72</v>
      </c>
      <c r="D61" t="s">
        <v>72</v>
      </c>
      <c r="E61" t="s">
        <v>72</v>
      </c>
      <c r="F61" t="s">
        <v>4793</v>
      </c>
      <c r="G61" t="s">
        <v>72</v>
      </c>
      <c r="H61" t="s">
        <v>72</v>
      </c>
      <c r="I61" t="s">
        <v>4794</v>
      </c>
      <c r="J61" t="s">
        <v>4795</v>
      </c>
      <c r="K61" t="s">
        <v>72</v>
      </c>
      <c r="L61" t="s">
        <v>72</v>
      </c>
      <c r="M61" t="s">
        <v>76</v>
      </c>
      <c r="N61" t="s">
        <v>77</v>
      </c>
      <c r="O61" t="s">
        <v>72</v>
      </c>
      <c r="P61" t="s">
        <v>72</v>
      </c>
      <c r="Q61" t="s">
        <v>72</v>
      </c>
      <c r="R61" t="s">
        <v>72</v>
      </c>
      <c r="S61" t="s">
        <v>72</v>
      </c>
      <c r="T61" t="s">
        <v>4796</v>
      </c>
      <c r="U61" t="s">
        <v>4797</v>
      </c>
      <c r="V61" t="s">
        <v>4798</v>
      </c>
      <c r="W61" t="s">
        <v>4799</v>
      </c>
      <c r="X61" t="s">
        <v>4800</v>
      </c>
      <c r="Y61" t="s">
        <v>4801</v>
      </c>
      <c r="Z61" t="s">
        <v>4802</v>
      </c>
      <c r="AA61" t="s">
        <v>72</v>
      </c>
      <c r="AB61" t="s">
        <v>4803</v>
      </c>
      <c r="AC61" t="s">
        <v>72</v>
      </c>
      <c r="AD61" t="s">
        <v>72</v>
      </c>
      <c r="AE61" t="s">
        <v>72</v>
      </c>
      <c r="AF61" t="s">
        <v>72</v>
      </c>
      <c r="AG61">
        <v>70</v>
      </c>
      <c r="AH61">
        <v>4</v>
      </c>
      <c r="AI61">
        <v>4</v>
      </c>
      <c r="AJ61">
        <v>1</v>
      </c>
      <c r="AK61">
        <v>7</v>
      </c>
      <c r="AL61" t="s">
        <v>364</v>
      </c>
      <c r="AM61" t="s">
        <v>365</v>
      </c>
      <c r="AN61" t="s">
        <v>366</v>
      </c>
      <c r="AO61" t="s">
        <v>4804</v>
      </c>
      <c r="AP61" t="s">
        <v>4805</v>
      </c>
      <c r="AQ61" t="s">
        <v>72</v>
      </c>
      <c r="AR61" t="s">
        <v>4806</v>
      </c>
      <c r="AS61" t="s">
        <v>4807</v>
      </c>
      <c r="AT61" t="s">
        <v>4808</v>
      </c>
      <c r="AU61">
        <v>2021</v>
      </c>
      <c r="AV61">
        <v>29</v>
      </c>
      <c r="AW61">
        <v>4</v>
      </c>
      <c r="AX61" t="s">
        <v>72</v>
      </c>
      <c r="AY61" t="s">
        <v>72</v>
      </c>
      <c r="AZ61" t="s">
        <v>72</v>
      </c>
      <c r="BA61" t="s">
        <v>72</v>
      </c>
      <c r="BB61">
        <v>301</v>
      </c>
      <c r="BC61">
        <v>315</v>
      </c>
      <c r="BD61" t="s">
        <v>72</v>
      </c>
      <c r="BE61" t="s">
        <v>4809</v>
      </c>
      <c r="BF61" t="str">
        <f>HYPERLINK("http://dx.doi.org/10.1080/0965254X.2019.1694567","http://dx.doi.org/10.1080/0965254X.2019.1694567")</f>
        <v>http://dx.doi.org/10.1080/0965254X.2019.1694567</v>
      </c>
      <c r="BG61" t="s">
        <v>72</v>
      </c>
      <c r="BH61" t="s">
        <v>3966</v>
      </c>
      <c r="BI61">
        <v>15</v>
      </c>
      <c r="BJ61" t="s">
        <v>151</v>
      </c>
      <c r="BK61" t="s">
        <v>152</v>
      </c>
      <c r="BL61" t="s">
        <v>4810</v>
      </c>
      <c r="BM61" t="s">
        <v>72</v>
      </c>
      <c r="BN61" t="s">
        <v>4811</v>
      </c>
      <c r="BO61" t="s">
        <v>72</v>
      </c>
      <c r="BP61" t="s">
        <v>72</v>
      </c>
      <c r="BQ61" t="s">
        <v>100</v>
      </c>
      <c r="BR61" t="s">
        <v>4812</v>
      </c>
      <c r="BS61" t="str">
        <f>HYPERLINK("https%3A%2F%2Fwww.webofscience.com%2Fwos%2Fwoscc%2Ffull-record%2FWOS:000498901100001","View Full Record in Web of Science")</f>
        <v>View Full Record in Web of Science</v>
      </c>
    </row>
    <row r="62" spans="1:71" hidden="1" x14ac:dyDescent="0.2">
      <c r="A62" t="s">
        <v>70</v>
      </c>
      <c r="B62" t="s">
        <v>4876</v>
      </c>
      <c r="C62" t="s">
        <v>72</v>
      </c>
      <c r="D62" t="s">
        <v>72</v>
      </c>
      <c r="E62" t="s">
        <v>72</v>
      </c>
      <c r="F62" t="s">
        <v>4877</v>
      </c>
      <c r="G62" t="s">
        <v>72</v>
      </c>
      <c r="H62" t="s">
        <v>72</v>
      </c>
      <c r="I62" t="s">
        <v>4878</v>
      </c>
      <c r="J62" t="s">
        <v>4879</v>
      </c>
      <c r="K62" t="s">
        <v>72</v>
      </c>
      <c r="L62" t="s">
        <v>72</v>
      </c>
      <c r="M62" t="s">
        <v>76</v>
      </c>
      <c r="N62" t="s">
        <v>77</v>
      </c>
      <c r="O62" t="s">
        <v>72</v>
      </c>
      <c r="P62" t="s">
        <v>72</v>
      </c>
      <c r="Q62" t="s">
        <v>72</v>
      </c>
      <c r="R62" t="s">
        <v>72</v>
      </c>
      <c r="S62" t="s">
        <v>72</v>
      </c>
      <c r="T62" t="s">
        <v>4880</v>
      </c>
      <c r="U62" t="s">
        <v>4881</v>
      </c>
      <c r="V62" t="s">
        <v>4882</v>
      </c>
      <c r="W62" t="s">
        <v>4883</v>
      </c>
      <c r="X62" t="s">
        <v>4884</v>
      </c>
      <c r="Y62" t="s">
        <v>4885</v>
      </c>
      <c r="Z62" t="s">
        <v>4886</v>
      </c>
      <c r="AA62" t="s">
        <v>72</v>
      </c>
      <c r="AB62" t="s">
        <v>4887</v>
      </c>
      <c r="AC62" t="s">
        <v>72</v>
      </c>
      <c r="AD62" t="s">
        <v>72</v>
      </c>
      <c r="AE62" t="s">
        <v>72</v>
      </c>
      <c r="AF62" t="s">
        <v>72</v>
      </c>
      <c r="AG62">
        <v>62</v>
      </c>
      <c r="AH62">
        <v>0</v>
      </c>
      <c r="AI62">
        <v>0</v>
      </c>
      <c r="AJ62">
        <v>17</v>
      </c>
      <c r="AK62">
        <v>17</v>
      </c>
      <c r="AL62" t="s">
        <v>336</v>
      </c>
      <c r="AM62" t="s">
        <v>337</v>
      </c>
      <c r="AN62" t="s">
        <v>338</v>
      </c>
      <c r="AO62" t="s">
        <v>4888</v>
      </c>
      <c r="AP62" t="s">
        <v>4889</v>
      </c>
      <c r="AQ62" t="s">
        <v>72</v>
      </c>
      <c r="AR62" t="s">
        <v>4890</v>
      </c>
      <c r="AS62" t="s">
        <v>4891</v>
      </c>
      <c r="AT62" t="s">
        <v>95</v>
      </c>
      <c r="AU62">
        <v>2022</v>
      </c>
      <c r="AV62">
        <v>64</v>
      </c>
      <c r="AW62">
        <v>5</v>
      </c>
      <c r="AX62" t="s">
        <v>72</v>
      </c>
      <c r="AY62" t="s">
        <v>72</v>
      </c>
      <c r="AZ62" t="s">
        <v>72</v>
      </c>
      <c r="BA62" t="s">
        <v>72</v>
      </c>
      <c r="BB62">
        <v>611</v>
      </c>
      <c r="BC62">
        <v>629</v>
      </c>
      <c r="BD62">
        <v>1.4707853221101564E+16</v>
      </c>
      <c r="BE62" t="s">
        <v>4892</v>
      </c>
      <c r="BF62" t="str">
        <f>HYPERLINK("http://dx.doi.org/10.1177/14707853221101565","http://dx.doi.org/10.1177/14707853221101565")</f>
        <v>http://dx.doi.org/10.1177/14707853221101565</v>
      </c>
      <c r="BG62" t="s">
        <v>72</v>
      </c>
      <c r="BH62" t="s">
        <v>1403</v>
      </c>
      <c r="BI62">
        <v>19</v>
      </c>
      <c r="BJ62" t="s">
        <v>151</v>
      </c>
      <c r="BK62" t="s">
        <v>152</v>
      </c>
      <c r="BL62" t="s">
        <v>4893</v>
      </c>
      <c r="BM62" t="s">
        <v>72</v>
      </c>
      <c r="BN62" t="s">
        <v>72</v>
      </c>
      <c r="BO62" t="s">
        <v>72</v>
      </c>
      <c r="BP62" t="s">
        <v>72</v>
      </c>
      <c r="BQ62" t="s">
        <v>100</v>
      </c>
      <c r="BR62" t="s">
        <v>4894</v>
      </c>
      <c r="BS62" t="str">
        <f>HYPERLINK("https%3A%2F%2Fwww.webofscience.com%2Fwos%2Fwoscc%2Ffull-record%2FWOS:000798240400001","View Full Record in Web of Science")</f>
        <v>View Full Record in Web of Science</v>
      </c>
    </row>
    <row r="63" spans="1:71" hidden="1" x14ac:dyDescent="0.2">
      <c r="A63" t="s">
        <v>70</v>
      </c>
      <c r="B63" t="s">
        <v>5068</v>
      </c>
      <c r="C63" t="s">
        <v>72</v>
      </c>
      <c r="D63" t="s">
        <v>72</v>
      </c>
      <c r="E63" t="s">
        <v>72</v>
      </c>
      <c r="F63" t="s">
        <v>5069</v>
      </c>
      <c r="G63" t="s">
        <v>72</v>
      </c>
      <c r="H63" t="s">
        <v>72</v>
      </c>
      <c r="I63" t="s">
        <v>5070</v>
      </c>
      <c r="J63" t="s">
        <v>5071</v>
      </c>
      <c r="K63" t="s">
        <v>72</v>
      </c>
      <c r="L63" t="s">
        <v>72</v>
      </c>
      <c r="M63" t="s">
        <v>76</v>
      </c>
      <c r="N63" t="s">
        <v>77</v>
      </c>
      <c r="O63" t="s">
        <v>72</v>
      </c>
      <c r="P63" t="s">
        <v>72</v>
      </c>
      <c r="Q63" t="s">
        <v>72</v>
      </c>
      <c r="R63" t="s">
        <v>72</v>
      </c>
      <c r="S63" t="s">
        <v>72</v>
      </c>
      <c r="T63" t="s">
        <v>5072</v>
      </c>
      <c r="U63" t="s">
        <v>5073</v>
      </c>
      <c r="V63" t="s">
        <v>5074</v>
      </c>
      <c r="W63" t="s">
        <v>5075</v>
      </c>
      <c r="X63" t="s">
        <v>5076</v>
      </c>
      <c r="Y63" t="s">
        <v>5077</v>
      </c>
      <c r="Z63" t="s">
        <v>5078</v>
      </c>
      <c r="AA63" t="s">
        <v>72</v>
      </c>
      <c r="AB63" t="s">
        <v>72</v>
      </c>
      <c r="AC63" t="s">
        <v>72</v>
      </c>
      <c r="AD63" t="s">
        <v>72</v>
      </c>
      <c r="AE63" t="s">
        <v>72</v>
      </c>
      <c r="AF63" t="s">
        <v>72</v>
      </c>
      <c r="AG63">
        <v>104</v>
      </c>
      <c r="AH63">
        <v>3</v>
      </c>
      <c r="AI63">
        <v>3</v>
      </c>
      <c r="AJ63">
        <v>50</v>
      </c>
      <c r="AK63">
        <v>121</v>
      </c>
      <c r="AL63" t="s">
        <v>190</v>
      </c>
      <c r="AM63" t="s">
        <v>191</v>
      </c>
      <c r="AN63" t="s">
        <v>192</v>
      </c>
      <c r="AO63" t="s">
        <v>5079</v>
      </c>
      <c r="AP63" t="s">
        <v>5080</v>
      </c>
      <c r="AQ63" t="s">
        <v>72</v>
      </c>
      <c r="AR63" t="s">
        <v>5081</v>
      </c>
      <c r="AS63" t="s">
        <v>5082</v>
      </c>
      <c r="AT63" t="s">
        <v>929</v>
      </c>
      <c r="AU63">
        <v>2021</v>
      </c>
      <c r="AV63">
        <v>58</v>
      </c>
      <c r="AW63">
        <v>6</v>
      </c>
      <c r="AX63" t="s">
        <v>72</v>
      </c>
      <c r="AY63" t="s">
        <v>72</v>
      </c>
      <c r="AZ63" t="s">
        <v>478</v>
      </c>
      <c r="BA63" t="s">
        <v>72</v>
      </c>
      <c r="BB63">
        <v>1178</v>
      </c>
      <c r="BC63">
        <v>1196</v>
      </c>
      <c r="BD63" t="s">
        <v>72</v>
      </c>
      <c r="BE63" t="s">
        <v>5083</v>
      </c>
      <c r="BF63" t="str">
        <f>HYPERLINK("http://dx.doi.org/10.1177/00222437211037340","http://dx.doi.org/10.1177/00222437211037340")</f>
        <v>http://dx.doi.org/10.1177/00222437211037340</v>
      </c>
      <c r="BG63" t="s">
        <v>72</v>
      </c>
      <c r="BH63" t="s">
        <v>72</v>
      </c>
      <c r="BI63">
        <v>19</v>
      </c>
      <c r="BJ63" t="s">
        <v>151</v>
      </c>
      <c r="BK63" t="s">
        <v>152</v>
      </c>
      <c r="BL63" t="s">
        <v>5084</v>
      </c>
      <c r="BM63" t="s">
        <v>72</v>
      </c>
      <c r="BN63" t="s">
        <v>72</v>
      </c>
      <c r="BO63" t="s">
        <v>72</v>
      </c>
      <c r="BP63" t="s">
        <v>72</v>
      </c>
      <c r="BQ63" t="s">
        <v>100</v>
      </c>
      <c r="BR63" t="s">
        <v>5085</v>
      </c>
      <c r="BS63" t="str">
        <f>HYPERLINK("https%3A%2F%2Fwww.webofscience.com%2Fwos%2Fwoscc%2Ffull-record%2FWOS:000718909600009","View Full Record in Web of Science")</f>
        <v>View Full Record in Web of Science</v>
      </c>
    </row>
    <row r="64" spans="1:71" hidden="1" x14ac:dyDescent="0.2">
      <c r="A64" t="s">
        <v>70</v>
      </c>
      <c r="B64" t="s">
        <v>5271</v>
      </c>
      <c r="C64" t="s">
        <v>72</v>
      </c>
      <c r="D64" t="s">
        <v>72</v>
      </c>
      <c r="E64" t="s">
        <v>72</v>
      </c>
      <c r="F64" t="s">
        <v>5272</v>
      </c>
      <c r="G64" t="s">
        <v>72</v>
      </c>
      <c r="H64" t="s">
        <v>72</v>
      </c>
      <c r="I64" t="s">
        <v>5273</v>
      </c>
      <c r="J64" t="s">
        <v>5274</v>
      </c>
      <c r="K64" t="s">
        <v>72</v>
      </c>
      <c r="L64" t="s">
        <v>72</v>
      </c>
      <c r="M64" t="s">
        <v>76</v>
      </c>
      <c r="N64" t="s">
        <v>77</v>
      </c>
      <c r="O64" t="s">
        <v>72</v>
      </c>
      <c r="P64" t="s">
        <v>72</v>
      </c>
      <c r="Q64" t="s">
        <v>72</v>
      </c>
      <c r="R64" t="s">
        <v>72</v>
      </c>
      <c r="S64" t="s">
        <v>72</v>
      </c>
      <c r="T64" t="s">
        <v>72</v>
      </c>
      <c r="U64" t="s">
        <v>5275</v>
      </c>
      <c r="V64" t="s">
        <v>5276</v>
      </c>
      <c r="W64" t="s">
        <v>5277</v>
      </c>
      <c r="X64" t="s">
        <v>5278</v>
      </c>
      <c r="Y64" t="s">
        <v>5279</v>
      </c>
      <c r="Z64" t="s">
        <v>5280</v>
      </c>
      <c r="AA64" t="s">
        <v>72</v>
      </c>
      <c r="AB64" t="s">
        <v>72</v>
      </c>
      <c r="AC64" t="s">
        <v>72</v>
      </c>
      <c r="AD64" t="s">
        <v>72</v>
      </c>
      <c r="AE64" t="s">
        <v>72</v>
      </c>
      <c r="AF64" t="s">
        <v>72</v>
      </c>
      <c r="AG64">
        <v>77</v>
      </c>
      <c r="AH64">
        <v>0</v>
      </c>
      <c r="AI64">
        <v>0</v>
      </c>
      <c r="AJ64">
        <v>1</v>
      </c>
      <c r="AK64">
        <v>7</v>
      </c>
      <c r="AL64" t="s">
        <v>1260</v>
      </c>
      <c r="AM64" t="s">
        <v>964</v>
      </c>
      <c r="AN64" t="s">
        <v>965</v>
      </c>
      <c r="AO64" t="s">
        <v>5281</v>
      </c>
      <c r="AP64" t="s">
        <v>5282</v>
      </c>
      <c r="AQ64" t="s">
        <v>72</v>
      </c>
      <c r="AR64" t="s">
        <v>5283</v>
      </c>
      <c r="AS64" t="s">
        <v>5284</v>
      </c>
      <c r="AT64" t="s">
        <v>299</v>
      </c>
      <c r="AU64">
        <v>2021</v>
      </c>
      <c r="AV64">
        <v>15</v>
      </c>
      <c r="AW64">
        <v>1</v>
      </c>
      <c r="AX64" t="s">
        <v>72</v>
      </c>
      <c r="AY64" t="s">
        <v>72</v>
      </c>
      <c r="AZ64" t="s">
        <v>72</v>
      </c>
      <c r="BA64" t="s">
        <v>72</v>
      </c>
      <c r="BB64">
        <v>6</v>
      </c>
      <c r="BC64">
        <v>27</v>
      </c>
      <c r="BD64" t="s">
        <v>72</v>
      </c>
      <c r="BE64" t="s">
        <v>5285</v>
      </c>
      <c r="BF64" t="str">
        <f>HYPERLINK("http://dx.doi.org/10.1002/jls.21737","http://dx.doi.org/10.1002/jls.21737")</f>
        <v>http://dx.doi.org/10.1002/jls.21737</v>
      </c>
      <c r="BG64" t="s">
        <v>72</v>
      </c>
      <c r="BH64" t="s">
        <v>4075</v>
      </c>
      <c r="BI64">
        <v>22</v>
      </c>
      <c r="BJ64" t="s">
        <v>1350</v>
      </c>
      <c r="BK64" t="s">
        <v>152</v>
      </c>
      <c r="BL64" t="s">
        <v>5286</v>
      </c>
      <c r="BM64" t="s">
        <v>72</v>
      </c>
      <c r="BN64" t="s">
        <v>72</v>
      </c>
      <c r="BO64" t="s">
        <v>72</v>
      </c>
      <c r="BP64" t="s">
        <v>72</v>
      </c>
      <c r="BQ64" t="s">
        <v>100</v>
      </c>
      <c r="BR64" t="s">
        <v>5287</v>
      </c>
      <c r="BS64" t="str">
        <f>HYPERLINK("https%3A%2F%2Fwww.webofscience.com%2Fwos%2Fwoscc%2Ffull-record%2FWOS:000652737000001","View Full Record in Web of Science")</f>
        <v>View Full Record in Web of Science</v>
      </c>
    </row>
    <row r="65" spans="1:71" hidden="1" x14ac:dyDescent="0.2">
      <c r="A65" t="s">
        <v>70</v>
      </c>
      <c r="B65" t="s">
        <v>5288</v>
      </c>
      <c r="C65" t="s">
        <v>72</v>
      </c>
      <c r="D65" t="s">
        <v>72</v>
      </c>
      <c r="E65" t="s">
        <v>72</v>
      </c>
      <c r="F65" t="s">
        <v>5289</v>
      </c>
      <c r="G65" t="s">
        <v>72</v>
      </c>
      <c r="H65" t="s">
        <v>72</v>
      </c>
      <c r="I65" t="s">
        <v>5290</v>
      </c>
      <c r="J65" t="s">
        <v>5291</v>
      </c>
      <c r="K65" t="s">
        <v>72</v>
      </c>
      <c r="L65" t="s">
        <v>72</v>
      </c>
      <c r="M65" t="s">
        <v>76</v>
      </c>
      <c r="N65" t="s">
        <v>77</v>
      </c>
      <c r="O65" t="s">
        <v>72</v>
      </c>
      <c r="P65" t="s">
        <v>72</v>
      </c>
      <c r="Q65" t="s">
        <v>72</v>
      </c>
      <c r="R65" t="s">
        <v>72</v>
      </c>
      <c r="S65" t="s">
        <v>72</v>
      </c>
      <c r="T65" t="s">
        <v>5292</v>
      </c>
      <c r="U65" t="s">
        <v>72</v>
      </c>
      <c r="V65" t="s">
        <v>5293</v>
      </c>
      <c r="W65" t="s">
        <v>5294</v>
      </c>
      <c r="X65" t="s">
        <v>5295</v>
      </c>
      <c r="Y65" t="s">
        <v>5296</v>
      </c>
      <c r="Z65" t="s">
        <v>5297</v>
      </c>
      <c r="AA65" t="s">
        <v>5298</v>
      </c>
      <c r="AB65" t="s">
        <v>5299</v>
      </c>
      <c r="AC65" t="s">
        <v>72</v>
      </c>
      <c r="AD65" t="s">
        <v>72</v>
      </c>
      <c r="AE65" t="s">
        <v>72</v>
      </c>
      <c r="AF65" t="s">
        <v>72</v>
      </c>
      <c r="AG65">
        <v>72</v>
      </c>
      <c r="AH65">
        <v>1</v>
      </c>
      <c r="AI65">
        <v>1</v>
      </c>
      <c r="AJ65">
        <v>4</v>
      </c>
      <c r="AK65">
        <v>22</v>
      </c>
      <c r="AL65" t="s">
        <v>924</v>
      </c>
      <c r="AM65" t="s">
        <v>168</v>
      </c>
      <c r="AN65" t="s">
        <v>925</v>
      </c>
      <c r="AO65" t="s">
        <v>5300</v>
      </c>
      <c r="AP65" t="s">
        <v>5301</v>
      </c>
      <c r="AQ65" t="s">
        <v>72</v>
      </c>
      <c r="AR65" t="s">
        <v>5302</v>
      </c>
      <c r="AS65" t="s">
        <v>5303</v>
      </c>
      <c r="AT65" t="s">
        <v>247</v>
      </c>
      <c r="AU65">
        <v>2021</v>
      </c>
      <c r="AV65">
        <v>122</v>
      </c>
      <c r="AW65" t="s">
        <v>72</v>
      </c>
      <c r="AX65" t="s">
        <v>72</v>
      </c>
      <c r="AY65" t="s">
        <v>72</v>
      </c>
      <c r="AZ65" t="s">
        <v>72</v>
      </c>
      <c r="BA65" t="s">
        <v>72</v>
      </c>
      <c r="BB65" t="s">
        <v>72</v>
      </c>
      <c r="BC65" t="s">
        <v>72</v>
      </c>
      <c r="BD65">
        <v>105767</v>
      </c>
      <c r="BE65" t="s">
        <v>5304</v>
      </c>
      <c r="BF65" t="str">
        <f>HYPERLINK("http://dx.doi.org/10.1016/j.jbankfin.2020.105767","http://dx.doi.org/10.1016/j.jbankfin.2020.105767")</f>
        <v>http://dx.doi.org/10.1016/j.jbankfin.2020.105767</v>
      </c>
      <c r="BG65" t="s">
        <v>72</v>
      </c>
      <c r="BH65" t="s">
        <v>72</v>
      </c>
      <c r="BI65">
        <v>13</v>
      </c>
      <c r="BJ65" t="s">
        <v>5305</v>
      </c>
      <c r="BK65" t="s">
        <v>152</v>
      </c>
      <c r="BL65" t="s">
        <v>5306</v>
      </c>
      <c r="BM65" t="s">
        <v>72</v>
      </c>
      <c r="BN65" t="s">
        <v>559</v>
      </c>
      <c r="BO65" t="s">
        <v>72</v>
      </c>
      <c r="BP65" t="s">
        <v>72</v>
      </c>
      <c r="BQ65" t="s">
        <v>100</v>
      </c>
      <c r="BR65" t="s">
        <v>5307</v>
      </c>
      <c r="BS65" t="str">
        <f>HYPERLINK("https%3A%2F%2Fwww.webofscience.com%2Fwos%2Fwoscc%2Ffull-record%2FWOS:000596849900014","View Full Record in Web of Science")</f>
        <v>View Full Record in Web of Science</v>
      </c>
    </row>
    <row r="66" spans="1:71" hidden="1" x14ac:dyDescent="0.2">
      <c r="A66" t="s">
        <v>70</v>
      </c>
      <c r="B66" t="s">
        <v>5713</v>
      </c>
      <c r="C66" t="s">
        <v>72</v>
      </c>
      <c r="D66" t="s">
        <v>72</v>
      </c>
      <c r="E66" t="s">
        <v>72</v>
      </c>
      <c r="F66" t="s">
        <v>5714</v>
      </c>
      <c r="G66" t="s">
        <v>72</v>
      </c>
      <c r="H66" t="s">
        <v>72</v>
      </c>
      <c r="I66" t="s">
        <v>5715</v>
      </c>
      <c r="J66" t="s">
        <v>3991</v>
      </c>
      <c r="K66" t="s">
        <v>72</v>
      </c>
      <c r="L66" t="s">
        <v>72</v>
      </c>
      <c r="M66" t="s">
        <v>76</v>
      </c>
      <c r="N66" t="s">
        <v>77</v>
      </c>
      <c r="O66" t="s">
        <v>72</v>
      </c>
      <c r="P66" t="s">
        <v>72</v>
      </c>
      <c r="Q66" t="s">
        <v>72</v>
      </c>
      <c r="R66" t="s">
        <v>72</v>
      </c>
      <c r="S66" t="s">
        <v>72</v>
      </c>
      <c r="T66" t="s">
        <v>5716</v>
      </c>
      <c r="U66" t="s">
        <v>5717</v>
      </c>
      <c r="V66" t="s">
        <v>5718</v>
      </c>
      <c r="W66" t="s">
        <v>5719</v>
      </c>
      <c r="X66" t="s">
        <v>5720</v>
      </c>
      <c r="Y66" t="s">
        <v>5721</v>
      </c>
      <c r="Z66" t="s">
        <v>5722</v>
      </c>
      <c r="AA66" t="s">
        <v>72</v>
      </c>
      <c r="AB66" t="s">
        <v>5723</v>
      </c>
      <c r="AC66" t="s">
        <v>72</v>
      </c>
      <c r="AD66" t="s">
        <v>72</v>
      </c>
      <c r="AE66" t="s">
        <v>72</v>
      </c>
      <c r="AF66" t="s">
        <v>72</v>
      </c>
      <c r="AG66">
        <v>87</v>
      </c>
      <c r="AH66">
        <v>0</v>
      </c>
      <c r="AI66">
        <v>0</v>
      </c>
      <c r="AJ66">
        <v>9</v>
      </c>
      <c r="AK66">
        <v>9</v>
      </c>
      <c r="AL66" t="s">
        <v>1698</v>
      </c>
      <c r="AM66" t="s">
        <v>707</v>
      </c>
      <c r="AN66" t="s">
        <v>1699</v>
      </c>
      <c r="AO66" t="s">
        <v>4001</v>
      </c>
      <c r="AP66" t="s">
        <v>4002</v>
      </c>
      <c r="AQ66" t="s">
        <v>72</v>
      </c>
      <c r="AR66" t="s">
        <v>4003</v>
      </c>
      <c r="AS66" t="s">
        <v>4004</v>
      </c>
      <c r="AT66" t="s">
        <v>247</v>
      </c>
      <c r="AU66">
        <v>2023</v>
      </c>
      <c r="AV66">
        <v>154</v>
      </c>
      <c r="AW66" t="s">
        <v>72</v>
      </c>
      <c r="AX66" t="s">
        <v>72</v>
      </c>
      <c r="AY66" t="s">
        <v>72</v>
      </c>
      <c r="AZ66" t="s">
        <v>72</v>
      </c>
      <c r="BA66" t="s">
        <v>72</v>
      </c>
      <c r="BB66" t="s">
        <v>72</v>
      </c>
      <c r="BC66" t="s">
        <v>72</v>
      </c>
      <c r="BD66">
        <v>113349</v>
      </c>
      <c r="BE66" t="s">
        <v>5724</v>
      </c>
      <c r="BF66" t="str">
        <f>HYPERLINK("http://dx.doi.org/10.1016/j.jbusres.2022.113349","http://dx.doi.org/10.1016/j.jbusres.2022.113349")</f>
        <v>http://dx.doi.org/10.1016/j.jbusres.2022.113349</v>
      </c>
      <c r="BG66" t="s">
        <v>72</v>
      </c>
      <c r="BH66" t="s">
        <v>72</v>
      </c>
      <c r="BI66">
        <v>12</v>
      </c>
      <c r="BJ66" t="s">
        <v>151</v>
      </c>
      <c r="BK66" t="s">
        <v>152</v>
      </c>
      <c r="BL66" t="s">
        <v>5725</v>
      </c>
      <c r="BM66">
        <v>36249711</v>
      </c>
      <c r="BN66" t="s">
        <v>346</v>
      </c>
      <c r="BO66" t="s">
        <v>72</v>
      </c>
      <c r="BP66" t="s">
        <v>72</v>
      </c>
      <c r="BQ66" t="s">
        <v>100</v>
      </c>
      <c r="BR66" t="s">
        <v>5726</v>
      </c>
      <c r="BS66" t="str">
        <f>HYPERLINK("https%3A%2F%2Fwww.webofscience.com%2Fwos%2Fwoscc%2Ffull-record%2FWOS:000868480000017","View Full Record in Web of Science")</f>
        <v>View Full Record in Web of Science</v>
      </c>
    </row>
    <row r="67" spans="1:71" hidden="1" x14ac:dyDescent="0.2">
      <c r="A67" t="s">
        <v>70</v>
      </c>
      <c r="B67" t="s">
        <v>5850</v>
      </c>
      <c r="C67" t="s">
        <v>72</v>
      </c>
      <c r="D67" t="s">
        <v>72</v>
      </c>
      <c r="E67" t="s">
        <v>72</v>
      </c>
      <c r="F67" t="s">
        <v>5851</v>
      </c>
      <c r="G67" t="s">
        <v>72</v>
      </c>
      <c r="H67" t="s">
        <v>72</v>
      </c>
      <c r="I67" t="s">
        <v>5852</v>
      </c>
      <c r="J67" t="s">
        <v>5853</v>
      </c>
      <c r="K67" t="s">
        <v>72</v>
      </c>
      <c r="L67" t="s">
        <v>72</v>
      </c>
      <c r="M67" t="s">
        <v>76</v>
      </c>
      <c r="N67" t="s">
        <v>77</v>
      </c>
      <c r="O67" t="s">
        <v>72</v>
      </c>
      <c r="P67" t="s">
        <v>72</v>
      </c>
      <c r="Q67" t="s">
        <v>72</v>
      </c>
      <c r="R67" t="s">
        <v>72</v>
      </c>
      <c r="S67" t="s">
        <v>72</v>
      </c>
      <c r="T67" t="s">
        <v>5854</v>
      </c>
      <c r="U67" t="s">
        <v>5855</v>
      </c>
      <c r="V67" t="s">
        <v>5856</v>
      </c>
      <c r="W67" t="s">
        <v>5857</v>
      </c>
      <c r="X67" t="s">
        <v>5858</v>
      </c>
      <c r="Y67" t="s">
        <v>5859</v>
      </c>
      <c r="Z67" t="s">
        <v>5860</v>
      </c>
      <c r="AA67" t="s">
        <v>5861</v>
      </c>
      <c r="AB67" t="s">
        <v>5862</v>
      </c>
      <c r="AC67" t="s">
        <v>72</v>
      </c>
      <c r="AD67" t="s">
        <v>72</v>
      </c>
      <c r="AE67" t="s">
        <v>72</v>
      </c>
      <c r="AF67" t="s">
        <v>72</v>
      </c>
      <c r="AG67">
        <v>40</v>
      </c>
      <c r="AH67">
        <v>59</v>
      </c>
      <c r="AI67">
        <v>61</v>
      </c>
      <c r="AJ67">
        <v>8</v>
      </c>
      <c r="AK67">
        <v>58</v>
      </c>
      <c r="AL67" t="s">
        <v>5863</v>
      </c>
      <c r="AM67" t="s">
        <v>5864</v>
      </c>
      <c r="AN67" t="s">
        <v>5865</v>
      </c>
      <c r="AO67" t="s">
        <v>5866</v>
      </c>
      <c r="AP67" t="s">
        <v>5867</v>
      </c>
      <c r="AQ67" t="s">
        <v>72</v>
      </c>
      <c r="AR67" t="s">
        <v>5868</v>
      </c>
      <c r="AS67" t="s">
        <v>5869</v>
      </c>
      <c r="AT67" t="s">
        <v>299</v>
      </c>
      <c r="AU67">
        <v>2016</v>
      </c>
      <c r="AV67">
        <v>8</v>
      </c>
      <c r="AW67">
        <v>2</v>
      </c>
      <c r="AX67" t="s">
        <v>72</v>
      </c>
      <c r="AY67" t="s">
        <v>72</v>
      </c>
      <c r="AZ67" t="s">
        <v>478</v>
      </c>
      <c r="BA67" t="s">
        <v>72</v>
      </c>
      <c r="BB67">
        <v>124</v>
      </c>
      <c r="BC67">
        <v>138</v>
      </c>
      <c r="BD67" t="s">
        <v>72</v>
      </c>
      <c r="BE67" t="s">
        <v>5870</v>
      </c>
      <c r="BF67" t="str">
        <f>HYPERLINK("http://dx.doi.org/10.1287/serv.2016.0126","http://dx.doi.org/10.1287/serv.2016.0126")</f>
        <v>http://dx.doi.org/10.1287/serv.2016.0126</v>
      </c>
      <c r="BG67" t="s">
        <v>72</v>
      </c>
      <c r="BH67" t="s">
        <v>72</v>
      </c>
      <c r="BI67">
        <v>15</v>
      </c>
      <c r="BJ67" t="s">
        <v>2097</v>
      </c>
      <c r="BK67" t="s">
        <v>152</v>
      </c>
      <c r="BL67" t="s">
        <v>5871</v>
      </c>
      <c r="BM67" t="s">
        <v>72</v>
      </c>
      <c r="BN67" t="s">
        <v>72</v>
      </c>
      <c r="BO67" t="s">
        <v>72</v>
      </c>
      <c r="BP67" t="s">
        <v>72</v>
      </c>
      <c r="BQ67" t="s">
        <v>100</v>
      </c>
      <c r="BR67" t="s">
        <v>5872</v>
      </c>
      <c r="BS67" t="str">
        <f>HYPERLINK("https%3A%2F%2Fwww.webofscience.com%2Fwos%2Fwoscc%2Ffull-record%2FWOS:000390565900004","View Full Record in Web of Science")</f>
        <v>View Full Record in Web of Science</v>
      </c>
    </row>
    <row r="68" spans="1:71" hidden="1" x14ac:dyDescent="0.2">
      <c r="A68" t="s">
        <v>70</v>
      </c>
      <c r="B68" t="s">
        <v>5892</v>
      </c>
      <c r="C68" t="s">
        <v>72</v>
      </c>
      <c r="D68" t="s">
        <v>72</v>
      </c>
      <c r="E68" t="s">
        <v>72</v>
      </c>
      <c r="F68" t="s">
        <v>5893</v>
      </c>
      <c r="G68" t="s">
        <v>72</v>
      </c>
      <c r="H68" t="s">
        <v>72</v>
      </c>
      <c r="I68" t="s">
        <v>5894</v>
      </c>
      <c r="J68" t="s">
        <v>5895</v>
      </c>
      <c r="K68" t="s">
        <v>72</v>
      </c>
      <c r="L68" t="s">
        <v>72</v>
      </c>
      <c r="M68" t="s">
        <v>76</v>
      </c>
      <c r="N68" t="s">
        <v>77</v>
      </c>
      <c r="O68" t="s">
        <v>72</v>
      </c>
      <c r="P68" t="s">
        <v>72</v>
      </c>
      <c r="Q68" t="s">
        <v>72</v>
      </c>
      <c r="R68" t="s">
        <v>72</v>
      </c>
      <c r="S68" t="s">
        <v>72</v>
      </c>
      <c r="T68" t="s">
        <v>72</v>
      </c>
      <c r="U68" t="s">
        <v>5896</v>
      </c>
      <c r="V68" t="s">
        <v>5897</v>
      </c>
      <c r="W68" t="s">
        <v>5898</v>
      </c>
      <c r="X68" t="s">
        <v>5899</v>
      </c>
      <c r="Y68" t="s">
        <v>5900</v>
      </c>
      <c r="Z68" t="s">
        <v>5901</v>
      </c>
      <c r="AA68" t="s">
        <v>72</v>
      </c>
      <c r="AB68" t="s">
        <v>72</v>
      </c>
      <c r="AC68" t="s">
        <v>72</v>
      </c>
      <c r="AD68" t="s">
        <v>72</v>
      </c>
      <c r="AE68" t="s">
        <v>72</v>
      </c>
      <c r="AF68" t="s">
        <v>72</v>
      </c>
      <c r="AG68">
        <v>245</v>
      </c>
      <c r="AH68">
        <v>0</v>
      </c>
      <c r="AI68">
        <v>0</v>
      </c>
      <c r="AJ68">
        <v>8</v>
      </c>
      <c r="AK68">
        <v>10</v>
      </c>
      <c r="AL68" t="s">
        <v>5902</v>
      </c>
      <c r="AM68" t="s">
        <v>5903</v>
      </c>
      <c r="AN68" t="s">
        <v>5904</v>
      </c>
      <c r="AO68" t="s">
        <v>5905</v>
      </c>
      <c r="AP68" t="s">
        <v>5906</v>
      </c>
      <c r="AQ68" t="s">
        <v>72</v>
      </c>
      <c r="AR68" t="s">
        <v>5907</v>
      </c>
      <c r="AS68" t="s">
        <v>5908</v>
      </c>
      <c r="AT68" t="s">
        <v>72</v>
      </c>
      <c r="AU68">
        <v>2022</v>
      </c>
      <c r="AV68">
        <v>16</v>
      </c>
      <c r="AW68">
        <v>3</v>
      </c>
      <c r="AX68" t="s">
        <v>72</v>
      </c>
      <c r="AY68" t="s">
        <v>72</v>
      </c>
      <c r="AZ68" t="s">
        <v>72</v>
      </c>
      <c r="BA68" t="s">
        <v>72</v>
      </c>
      <c r="BB68">
        <v>309</v>
      </c>
      <c r="BC68" t="s">
        <v>173</v>
      </c>
      <c r="BD68" t="s">
        <v>72</v>
      </c>
      <c r="BE68" t="s">
        <v>5909</v>
      </c>
      <c r="BF68" t="str">
        <f>HYPERLINK("http://dx.doi.org/10.1561/1700000069","http://dx.doi.org/10.1561/1700000069")</f>
        <v>http://dx.doi.org/10.1561/1700000069</v>
      </c>
      <c r="BG68" t="s">
        <v>72</v>
      </c>
      <c r="BH68" t="s">
        <v>72</v>
      </c>
      <c r="BI68">
        <v>114</v>
      </c>
      <c r="BJ68" t="s">
        <v>151</v>
      </c>
      <c r="BK68" t="s">
        <v>152</v>
      </c>
      <c r="BL68" t="s">
        <v>5910</v>
      </c>
      <c r="BM68" t="s">
        <v>72</v>
      </c>
      <c r="BN68" t="s">
        <v>222</v>
      </c>
      <c r="BO68" t="s">
        <v>72</v>
      </c>
      <c r="BP68" t="s">
        <v>72</v>
      </c>
      <c r="BQ68" t="s">
        <v>100</v>
      </c>
      <c r="BR68" t="s">
        <v>5911</v>
      </c>
      <c r="BS68" t="str">
        <f>HYPERLINK("https%3A%2F%2Fwww.webofscience.com%2Fwos%2Fwoscc%2Ffull-record%2FWOS:000788113500001","View Full Record in Web of Science")</f>
        <v>View Full Record in Web of Science</v>
      </c>
    </row>
    <row r="69" spans="1:71" hidden="1" x14ac:dyDescent="0.2">
      <c r="A69" t="s">
        <v>70</v>
      </c>
      <c r="B69" t="s">
        <v>6138</v>
      </c>
      <c r="C69" t="s">
        <v>72</v>
      </c>
      <c r="D69" t="s">
        <v>72</v>
      </c>
      <c r="E69" t="s">
        <v>72</v>
      </c>
      <c r="F69" t="s">
        <v>6139</v>
      </c>
      <c r="G69" t="s">
        <v>72</v>
      </c>
      <c r="H69" t="s">
        <v>72</v>
      </c>
      <c r="I69" t="s">
        <v>6140</v>
      </c>
      <c r="J69" t="s">
        <v>3991</v>
      </c>
      <c r="K69" t="s">
        <v>72</v>
      </c>
      <c r="L69" t="s">
        <v>72</v>
      </c>
      <c r="M69" t="s">
        <v>76</v>
      </c>
      <c r="N69" t="s">
        <v>77</v>
      </c>
      <c r="O69" t="s">
        <v>72</v>
      </c>
      <c r="P69" t="s">
        <v>72</v>
      </c>
      <c r="Q69" t="s">
        <v>72</v>
      </c>
      <c r="R69" t="s">
        <v>72</v>
      </c>
      <c r="S69" t="s">
        <v>72</v>
      </c>
      <c r="T69" t="s">
        <v>6141</v>
      </c>
      <c r="U69" t="s">
        <v>6142</v>
      </c>
      <c r="V69" t="s">
        <v>6143</v>
      </c>
      <c r="W69" t="s">
        <v>6144</v>
      </c>
      <c r="X69" t="s">
        <v>6145</v>
      </c>
      <c r="Y69" t="s">
        <v>6146</v>
      </c>
      <c r="Z69" t="s">
        <v>4688</v>
      </c>
      <c r="AA69" t="s">
        <v>72</v>
      </c>
      <c r="AB69" t="s">
        <v>4689</v>
      </c>
      <c r="AC69" t="s">
        <v>72</v>
      </c>
      <c r="AD69" t="s">
        <v>72</v>
      </c>
      <c r="AE69" t="s">
        <v>72</v>
      </c>
      <c r="AF69" t="s">
        <v>72</v>
      </c>
      <c r="AG69">
        <v>61</v>
      </c>
      <c r="AH69">
        <v>14</v>
      </c>
      <c r="AI69">
        <v>14</v>
      </c>
      <c r="AJ69">
        <v>5</v>
      </c>
      <c r="AK69">
        <v>137</v>
      </c>
      <c r="AL69" t="s">
        <v>1698</v>
      </c>
      <c r="AM69" t="s">
        <v>707</v>
      </c>
      <c r="AN69" t="s">
        <v>1699</v>
      </c>
      <c r="AO69" t="s">
        <v>4001</v>
      </c>
      <c r="AP69" t="s">
        <v>4002</v>
      </c>
      <c r="AQ69" t="s">
        <v>72</v>
      </c>
      <c r="AR69" t="s">
        <v>4003</v>
      </c>
      <c r="AS69" t="s">
        <v>4004</v>
      </c>
      <c r="AT69" t="s">
        <v>1602</v>
      </c>
      <c r="AU69">
        <v>2021</v>
      </c>
      <c r="AV69">
        <v>123</v>
      </c>
      <c r="AW69" t="s">
        <v>72</v>
      </c>
      <c r="AX69" t="s">
        <v>72</v>
      </c>
      <c r="AY69" t="s">
        <v>72</v>
      </c>
      <c r="AZ69" t="s">
        <v>72</v>
      </c>
      <c r="BA69" t="s">
        <v>72</v>
      </c>
      <c r="BB69">
        <v>117</v>
      </c>
      <c r="BC69">
        <v>125</v>
      </c>
      <c r="BD69" t="s">
        <v>72</v>
      </c>
      <c r="BE69" t="s">
        <v>6147</v>
      </c>
      <c r="BF69" t="str">
        <f>HYPERLINK("http://dx.doi.org/10.1016/j.jbusres.2020.09.049","http://dx.doi.org/10.1016/j.jbusres.2020.09.049")</f>
        <v>http://dx.doi.org/10.1016/j.jbusres.2020.09.049</v>
      </c>
      <c r="BG69" t="s">
        <v>72</v>
      </c>
      <c r="BH69" t="s">
        <v>72</v>
      </c>
      <c r="BI69">
        <v>9</v>
      </c>
      <c r="BJ69" t="s">
        <v>151</v>
      </c>
      <c r="BK69" t="s">
        <v>152</v>
      </c>
      <c r="BL69" t="s">
        <v>6148</v>
      </c>
      <c r="BM69">
        <v>33041395</v>
      </c>
      <c r="BN69" t="s">
        <v>4581</v>
      </c>
      <c r="BO69" t="s">
        <v>72</v>
      </c>
      <c r="BP69" t="s">
        <v>72</v>
      </c>
      <c r="BQ69" t="s">
        <v>100</v>
      </c>
      <c r="BR69" t="s">
        <v>6149</v>
      </c>
      <c r="BS69" t="str">
        <f>HYPERLINK("https%3A%2F%2Fwww.webofscience.com%2Fwos%2Fwoscc%2Ffull-record%2FWOS:000599598200012","View Full Record in Web of Science")</f>
        <v>View Full Record in Web of Science</v>
      </c>
    </row>
    <row r="70" spans="1:71" hidden="1" x14ac:dyDescent="0.2">
      <c r="A70" t="s">
        <v>70</v>
      </c>
      <c r="B70" t="s">
        <v>6685</v>
      </c>
      <c r="C70" t="s">
        <v>72</v>
      </c>
      <c r="D70" t="s">
        <v>72</v>
      </c>
      <c r="E70" t="s">
        <v>72</v>
      </c>
      <c r="F70" t="s">
        <v>6686</v>
      </c>
      <c r="G70" t="s">
        <v>72</v>
      </c>
      <c r="H70" t="s">
        <v>72</v>
      </c>
      <c r="I70" t="s">
        <v>6687</v>
      </c>
      <c r="J70" t="s">
        <v>6688</v>
      </c>
      <c r="K70" t="s">
        <v>72</v>
      </c>
      <c r="L70" t="s">
        <v>72</v>
      </c>
      <c r="M70" t="s">
        <v>76</v>
      </c>
      <c r="N70" t="s">
        <v>77</v>
      </c>
      <c r="O70" t="s">
        <v>72</v>
      </c>
      <c r="P70" t="s">
        <v>72</v>
      </c>
      <c r="Q70" t="s">
        <v>72</v>
      </c>
      <c r="R70" t="s">
        <v>72</v>
      </c>
      <c r="S70" t="s">
        <v>72</v>
      </c>
      <c r="T70" t="s">
        <v>72</v>
      </c>
      <c r="U70" t="s">
        <v>6689</v>
      </c>
      <c r="V70" t="s">
        <v>6690</v>
      </c>
      <c r="W70" t="s">
        <v>6691</v>
      </c>
      <c r="X70" t="s">
        <v>6692</v>
      </c>
      <c r="Y70" t="s">
        <v>6693</v>
      </c>
      <c r="Z70" t="s">
        <v>72</v>
      </c>
      <c r="AA70" t="s">
        <v>72</v>
      </c>
      <c r="AB70" t="s">
        <v>72</v>
      </c>
      <c r="AC70" t="s">
        <v>72</v>
      </c>
      <c r="AD70" t="s">
        <v>72</v>
      </c>
      <c r="AE70" t="s">
        <v>72</v>
      </c>
      <c r="AF70" t="s">
        <v>72</v>
      </c>
      <c r="AG70">
        <v>149</v>
      </c>
      <c r="AH70">
        <v>147</v>
      </c>
      <c r="AI70">
        <v>148</v>
      </c>
      <c r="AJ70">
        <v>27</v>
      </c>
      <c r="AK70">
        <v>102</v>
      </c>
      <c r="AL70" t="s">
        <v>6694</v>
      </c>
      <c r="AM70" t="s">
        <v>6695</v>
      </c>
      <c r="AN70" t="s">
        <v>6696</v>
      </c>
      <c r="AO70" t="s">
        <v>6697</v>
      </c>
      <c r="AP70" t="s">
        <v>6698</v>
      </c>
      <c r="AQ70" t="s">
        <v>72</v>
      </c>
      <c r="AR70" t="s">
        <v>6699</v>
      </c>
      <c r="AS70" t="s">
        <v>6700</v>
      </c>
      <c r="AT70" t="s">
        <v>95</v>
      </c>
      <c r="AU70">
        <v>2019</v>
      </c>
      <c r="AV70">
        <v>57</v>
      </c>
      <c r="AW70">
        <v>3</v>
      </c>
      <c r="AX70" t="s">
        <v>72</v>
      </c>
      <c r="AY70" t="s">
        <v>72</v>
      </c>
      <c r="AZ70" t="s">
        <v>72</v>
      </c>
      <c r="BA70" t="s">
        <v>72</v>
      </c>
      <c r="BB70">
        <v>535</v>
      </c>
      <c r="BC70">
        <v>574</v>
      </c>
      <c r="BD70" t="s">
        <v>72</v>
      </c>
      <c r="BE70" t="s">
        <v>6701</v>
      </c>
      <c r="BF70" t="str">
        <f>HYPERLINK("http://dx.doi.org/10.1257/jel.20181020","http://dx.doi.org/10.1257/jel.20181020")</f>
        <v>http://dx.doi.org/10.1257/jel.20181020</v>
      </c>
      <c r="BG70" t="s">
        <v>72</v>
      </c>
      <c r="BH70" t="s">
        <v>72</v>
      </c>
      <c r="BI70">
        <v>40</v>
      </c>
      <c r="BJ70" t="s">
        <v>6702</v>
      </c>
      <c r="BK70" t="s">
        <v>152</v>
      </c>
      <c r="BL70" t="s">
        <v>6703</v>
      </c>
      <c r="BM70" t="s">
        <v>72</v>
      </c>
      <c r="BN70" t="s">
        <v>72</v>
      </c>
      <c r="BO70" t="s">
        <v>72</v>
      </c>
      <c r="BP70" t="s">
        <v>72</v>
      </c>
      <c r="BQ70" t="s">
        <v>100</v>
      </c>
      <c r="BR70" t="s">
        <v>6704</v>
      </c>
      <c r="BS70" t="str">
        <f>HYPERLINK("https%3A%2F%2Fwww.webofscience.com%2Fwos%2Fwoscc%2Ffull-record%2FWOS:000484841000001","View Full Record in Web of Science")</f>
        <v>View Full Record in Web of Science</v>
      </c>
    </row>
    <row r="71" spans="1:71" hidden="1" x14ac:dyDescent="0.2">
      <c r="A71" t="s">
        <v>70</v>
      </c>
      <c r="B71" t="s">
        <v>6819</v>
      </c>
      <c r="C71" t="s">
        <v>72</v>
      </c>
      <c r="D71" t="s">
        <v>72</v>
      </c>
      <c r="E71" t="s">
        <v>72</v>
      </c>
      <c r="F71" t="s">
        <v>6820</v>
      </c>
      <c r="G71" t="s">
        <v>72</v>
      </c>
      <c r="H71" t="s">
        <v>72</v>
      </c>
      <c r="I71" t="s">
        <v>6821</v>
      </c>
      <c r="J71" t="s">
        <v>6822</v>
      </c>
      <c r="K71" t="s">
        <v>72</v>
      </c>
      <c r="L71" t="s">
        <v>72</v>
      </c>
      <c r="M71" t="s">
        <v>76</v>
      </c>
      <c r="N71" t="s">
        <v>77</v>
      </c>
      <c r="O71" t="s">
        <v>72</v>
      </c>
      <c r="P71" t="s">
        <v>72</v>
      </c>
      <c r="Q71" t="s">
        <v>72</v>
      </c>
      <c r="R71" t="s">
        <v>72</v>
      </c>
      <c r="S71" t="s">
        <v>72</v>
      </c>
      <c r="T71" t="s">
        <v>6823</v>
      </c>
      <c r="U71" t="s">
        <v>6824</v>
      </c>
      <c r="V71" t="s">
        <v>6825</v>
      </c>
      <c r="W71" t="s">
        <v>6826</v>
      </c>
      <c r="X71" t="s">
        <v>3680</v>
      </c>
      <c r="Y71" t="s">
        <v>6827</v>
      </c>
      <c r="Z71" t="s">
        <v>6828</v>
      </c>
      <c r="AA71" t="s">
        <v>3683</v>
      </c>
      <c r="AB71" t="s">
        <v>3684</v>
      </c>
      <c r="AC71" t="s">
        <v>72</v>
      </c>
      <c r="AD71" t="s">
        <v>72</v>
      </c>
      <c r="AE71" t="s">
        <v>72</v>
      </c>
      <c r="AF71" t="s">
        <v>72</v>
      </c>
      <c r="AG71">
        <v>75</v>
      </c>
      <c r="AH71">
        <v>1</v>
      </c>
      <c r="AI71">
        <v>1</v>
      </c>
      <c r="AJ71">
        <v>2</v>
      </c>
      <c r="AK71">
        <v>19</v>
      </c>
      <c r="AL71" t="s">
        <v>190</v>
      </c>
      <c r="AM71" t="s">
        <v>191</v>
      </c>
      <c r="AN71" t="s">
        <v>192</v>
      </c>
      <c r="AO71" t="s">
        <v>6829</v>
      </c>
      <c r="AP71" t="s">
        <v>6830</v>
      </c>
      <c r="AQ71" t="s">
        <v>72</v>
      </c>
      <c r="AR71" t="s">
        <v>6831</v>
      </c>
      <c r="AS71" t="s">
        <v>6832</v>
      </c>
      <c r="AT71" t="s">
        <v>299</v>
      </c>
      <c r="AU71">
        <v>2021</v>
      </c>
      <c r="AV71">
        <v>41</v>
      </c>
      <c r="AW71">
        <v>2</v>
      </c>
      <c r="AX71" t="s">
        <v>72</v>
      </c>
      <c r="AY71" t="s">
        <v>72</v>
      </c>
      <c r="AZ71" t="s">
        <v>72</v>
      </c>
      <c r="BA71" t="s">
        <v>72</v>
      </c>
      <c r="BB71">
        <v>267</v>
      </c>
      <c r="BC71">
        <v>283</v>
      </c>
      <c r="BD71">
        <v>276146720953531</v>
      </c>
      <c r="BE71" t="s">
        <v>6833</v>
      </c>
      <c r="BF71" t="str">
        <f>HYPERLINK("http://dx.doi.org/10.1177/0276146720953531","http://dx.doi.org/10.1177/0276146720953531")</f>
        <v>http://dx.doi.org/10.1177/0276146720953531</v>
      </c>
      <c r="BG71" t="s">
        <v>72</v>
      </c>
      <c r="BH71" t="s">
        <v>2703</v>
      </c>
      <c r="BI71">
        <v>17</v>
      </c>
      <c r="BJ71" t="s">
        <v>151</v>
      </c>
      <c r="BK71" t="s">
        <v>152</v>
      </c>
      <c r="BL71" t="s">
        <v>6834</v>
      </c>
      <c r="BM71" t="s">
        <v>72</v>
      </c>
      <c r="BN71" t="s">
        <v>72</v>
      </c>
      <c r="BO71" t="s">
        <v>72</v>
      </c>
      <c r="BP71" t="s">
        <v>72</v>
      </c>
      <c r="BQ71" t="s">
        <v>100</v>
      </c>
      <c r="BR71" t="s">
        <v>6835</v>
      </c>
      <c r="BS71" t="str">
        <f>HYPERLINK("https%3A%2F%2Fwww.webofscience.com%2Fwos%2Fwoscc%2Ffull-record%2FWOS:000565910500001","View Full Record in Web of Science")</f>
        <v>View Full Record in Web of Science</v>
      </c>
    </row>
    <row r="72" spans="1:71" hidden="1" x14ac:dyDescent="0.2">
      <c r="A72" t="s">
        <v>70</v>
      </c>
      <c r="B72" t="s">
        <v>7584</v>
      </c>
      <c r="C72" t="s">
        <v>72</v>
      </c>
      <c r="D72" t="s">
        <v>72</v>
      </c>
      <c r="E72" t="s">
        <v>72</v>
      </c>
      <c r="F72" t="s">
        <v>7585</v>
      </c>
      <c r="G72" t="s">
        <v>72</v>
      </c>
      <c r="H72" t="s">
        <v>72</v>
      </c>
      <c r="I72" t="s">
        <v>7586</v>
      </c>
      <c r="J72" t="s">
        <v>7587</v>
      </c>
      <c r="K72" t="s">
        <v>72</v>
      </c>
      <c r="L72" t="s">
        <v>72</v>
      </c>
      <c r="M72" t="s">
        <v>76</v>
      </c>
      <c r="N72" t="s">
        <v>77</v>
      </c>
      <c r="O72" t="s">
        <v>72</v>
      </c>
      <c r="P72" t="s">
        <v>72</v>
      </c>
      <c r="Q72" t="s">
        <v>72</v>
      </c>
      <c r="R72" t="s">
        <v>72</v>
      </c>
      <c r="S72" t="s">
        <v>72</v>
      </c>
      <c r="T72" t="s">
        <v>7588</v>
      </c>
      <c r="U72" t="s">
        <v>7589</v>
      </c>
      <c r="V72" t="s">
        <v>7590</v>
      </c>
      <c r="W72" t="s">
        <v>7591</v>
      </c>
      <c r="X72" t="s">
        <v>7592</v>
      </c>
      <c r="Y72" t="s">
        <v>7593</v>
      </c>
      <c r="Z72" t="s">
        <v>7594</v>
      </c>
      <c r="AA72" t="s">
        <v>72</v>
      </c>
      <c r="AB72" t="s">
        <v>7595</v>
      </c>
      <c r="AC72" t="s">
        <v>72</v>
      </c>
      <c r="AD72" t="s">
        <v>72</v>
      </c>
      <c r="AE72" t="s">
        <v>72</v>
      </c>
      <c r="AF72" t="s">
        <v>72</v>
      </c>
      <c r="AG72">
        <v>56</v>
      </c>
      <c r="AH72">
        <v>4</v>
      </c>
      <c r="AI72">
        <v>4</v>
      </c>
      <c r="AJ72">
        <v>1</v>
      </c>
      <c r="AK72">
        <v>17</v>
      </c>
      <c r="AL72" t="s">
        <v>190</v>
      </c>
      <c r="AM72" t="s">
        <v>191</v>
      </c>
      <c r="AN72" t="s">
        <v>192</v>
      </c>
      <c r="AO72" t="s">
        <v>7596</v>
      </c>
      <c r="AP72" t="s">
        <v>7597</v>
      </c>
      <c r="AQ72" t="s">
        <v>72</v>
      </c>
      <c r="AR72" t="s">
        <v>7598</v>
      </c>
      <c r="AS72" t="s">
        <v>7599</v>
      </c>
      <c r="AT72" t="s">
        <v>299</v>
      </c>
      <c r="AU72">
        <v>2018</v>
      </c>
      <c r="AV72">
        <v>60</v>
      </c>
      <c r="AW72">
        <v>3</v>
      </c>
      <c r="AX72" t="s">
        <v>72</v>
      </c>
      <c r="AY72" t="s">
        <v>72</v>
      </c>
      <c r="AZ72" t="s">
        <v>478</v>
      </c>
      <c r="BA72" t="s">
        <v>72</v>
      </c>
      <c r="BB72">
        <v>317</v>
      </c>
      <c r="BC72">
        <v>336</v>
      </c>
      <c r="BD72" t="s">
        <v>72</v>
      </c>
      <c r="BE72" t="s">
        <v>7600</v>
      </c>
      <c r="BF72" t="str">
        <f>HYPERLINK("http://dx.doi.org/10.1177/0022185618764204","http://dx.doi.org/10.1177/0022185618764204")</f>
        <v>http://dx.doi.org/10.1177/0022185618764204</v>
      </c>
      <c r="BG72" t="s">
        <v>72</v>
      </c>
      <c r="BH72" t="s">
        <v>72</v>
      </c>
      <c r="BI72">
        <v>20</v>
      </c>
      <c r="BJ72" t="s">
        <v>7601</v>
      </c>
      <c r="BK72" t="s">
        <v>152</v>
      </c>
      <c r="BL72" t="s">
        <v>7602</v>
      </c>
      <c r="BM72" t="s">
        <v>72</v>
      </c>
      <c r="BN72" t="s">
        <v>559</v>
      </c>
      <c r="BO72" t="s">
        <v>72</v>
      </c>
      <c r="BP72" t="s">
        <v>72</v>
      </c>
      <c r="BQ72" t="s">
        <v>100</v>
      </c>
      <c r="BR72" t="s">
        <v>7603</v>
      </c>
      <c r="BS72" t="str">
        <f>HYPERLINK("https%3A%2F%2Fwww.webofscience.com%2Fwos%2Fwoscc%2Ffull-record%2FWOS:000432087900003","View Full Record in Web of Science")</f>
        <v>View Full Record in Web of Science</v>
      </c>
    </row>
    <row r="73" spans="1:71" hidden="1" x14ac:dyDescent="0.2">
      <c r="A73" t="s">
        <v>70</v>
      </c>
      <c r="B73" t="s">
        <v>7817</v>
      </c>
      <c r="C73" t="s">
        <v>72</v>
      </c>
      <c r="D73" t="s">
        <v>72</v>
      </c>
      <c r="E73" t="s">
        <v>72</v>
      </c>
      <c r="F73" t="s">
        <v>7818</v>
      </c>
      <c r="G73" t="s">
        <v>72</v>
      </c>
      <c r="H73" t="s">
        <v>72</v>
      </c>
      <c r="I73" t="s">
        <v>7819</v>
      </c>
      <c r="J73" t="s">
        <v>133</v>
      </c>
      <c r="K73" t="s">
        <v>72</v>
      </c>
      <c r="L73" t="s">
        <v>72</v>
      </c>
      <c r="M73" t="s">
        <v>76</v>
      </c>
      <c r="N73" t="s">
        <v>77</v>
      </c>
      <c r="O73" t="s">
        <v>72</v>
      </c>
      <c r="P73" t="s">
        <v>72</v>
      </c>
      <c r="Q73" t="s">
        <v>72</v>
      </c>
      <c r="R73" t="s">
        <v>72</v>
      </c>
      <c r="S73" t="s">
        <v>72</v>
      </c>
      <c r="T73" t="s">
        <v>7820</v>
      </c>
      <c r="U73" t="s">
        <v>7821</v>
      </c>
      <c r="V73" t="s">
        <v>7822</v>
      </c>
      <c r="W73" t="s">
        <v>7823</v>
      </c>
      <c r="X73" t="s">
        <v>7824</v>
      </c>
      <c r="Y73" t="s">
        <v>7825</v>
      </c>
      <c r="Z73" t="s">
        <v>7826</v>
      </c>
      <c r="AA73" t="s">
        <v>72</v>
      </c>
      <c r="AB73" t="s">
        <v>72</v>
      </c>
      <c r="AC73" t="s">
        <v>72</v>
      </c>
      <c r="AD73" t="s">
        <v>72</v>
      </c>
      <c r="AE73" t="s">
        <v>72</v>
      </c>
      <c r="AF73" t="s">
        <v>72</v>
      </c>
      <c r="AG73">
        <v>107</v>
      </c>
      <c r="AH73">
        <v>0</v>
      </c>
      <c r="AI73">
        <v>0</v>
      </c>
      <c r="AJ73">
        <v>39</v>
      </c>
      <c r="AK73">
        <v>61</v>
      </c>
      <c r="AL73" t="s">
        <v>142</v>
      </c>
      <c r="AM73" t="s">
        <v>143</v>
      </c>
      <c r="AN73" t="s">
        <v>144</v>
      </c>
      <c r="AO73" t="s">
        <v>145</v>
      </c>
      <c r="AP73" t="s">
        <v>146</v>
      </c>
      <c r="AQ73" t="s">
        <v>72</v>
      </c>
      <c r="AR73" t="s">
        <v>147</v>
      </c>
      <c r="AS73" t="s">
        <v>148</v>
      </c>
      <c r="AT73" t="s">
        <v>7827</v>
      </c>
      <c r="AU73">
        <v>2022</v>
      </c>
      <c r="AV73">
        <v>49</v>
      </c>
      <c r="AW73">
        <v>3</v>
      </c>
      <c r="AX73" t="s">
        <v>72</v>
      </c>
      <c r="AY73" t="s">
        <v>72</v>
      </c>
      <c r="AZ73" t="s">
        <v>72</v>
      </c>
      <c r="BA73" t="s">
        <v>72</v>
      </c>
      <c r="BB73">
        <v>389</v>
      </c>
      <c r="BC73">
        <v>408</v>
      </c>
      <c r="BD73" t="s">
        <v>72</v>
      </c>
      <c r="BE73" t="s">
        <v>7828</v>
      </c>
      <c r="BF73" t="str">
        <f>HYPERLINK("http://dx.doi.org/10.1093/jcr/ucab076","http://dx.doi.org/10.1093/jcr/ucab076")</f>
        <v>http://dx.doi.org/10.1093/jcr/ucab076</v>
      </c>
      <c r="BG73" t="s">
        <v>72</v>
      </c>
      <c r="BH73" t="s">
        <v>1832</v>
      </c>
      <c r="BI73">
        <v>20</v>
      </c>
      <c r="BJ73" t="s">
        <v>151</v>
      </c>
      <c r="BK73" t="s">
        <v>152</v>
      </c>
      <c r="BL73" t="s">
        <v>7829</v>
      </c>
      <c r="BM73" t="s">
        <v>72</v>
      </c>
      <c r="BN73" t="s">
        <v>72</v>
      </c>
      <c r="BO73" t="s">
        <v>72</v>
      </c>
      <c r="BP73" t="s">
        <v>72</v>
      </c>
      <c r="BQ73" t="s">
        <v>100</v>
      </c>
      <c r="BR73" t="s">
        <v>7830</v>
      </c>
      <c r="BS73" t="str">
        <f>HYPERLINK("https%3A%2F%2Fwww.webofscience.com%2Fwos%2Fwoscc%2Ffull-record%2FWOS:000756729400001","View Full Record in Web of Science")</f>
        <v>View Full Record in Web of Science</v>
      </c>
    </row>
    <row r="74" spans="1:71" hidden="1" x14ac:dyDescent="0.2">
      <c r="A74" t="s">
        <v>70</v>
      </c>
      <c r="B74" t="s">
        <v>8165</v>
      </c>
      <c r="C74" t="s">
        <v>72</v>
      </c>
      <c r="D74" t="s">
        <v>72</v>
      </c>
      <c r="E74" t="s">
        <v>72</v>
      </c>
      <c r="F74" t="s">
        <v>8166</v>
      </c>
      <c r="G74" t="s">
        <v>72</v>
      </c>
      <c r="H74" t="s">
        <v>72</v>
      </c>
      <c r="I74" t="s">
        <v>8167</v>
      </c>
      <c r="J74" t="s">
        <v>8168</v>
      </c>
      <c r="K74" t="s">
        <v>72</v>
      </c>
      <c r="L74" t="s">
        <v>72</v>
      </c>
      <c r="M74" t="s">
        <v>76</v>
      </c>
      <c r="N74" t="s">
        <v>77</v>
      </c>
      <c r="O74" t="s">
        <v>72</v>
      </c>
      <c r="P74" t="s">
        <v>72</v>
      </c>
      <c r="Q74" t="s">
        <v>72</v>
      </c>
      <c r="R74" t="s">
        <v>72</v>
      </c>
      <c r="S74" t="s">
        <v>72</v>
      </c>
      <c r="T74" t="s">
        <v>8169</v>
      </c>
      <c r="U74" t="s">
        <v>8170</v>
      </c>
      <c r="V74" t="s">
        <v>8171</v>
      </c>
      <c r="W74" t="s">
        <v>8172</v>
      </c>
      <c r="X74" t="s">
        <v>8173</v>
      </c>
      <c r="Y74" t="s">
        <v>8174</v>
      </c>
      <c r="Z74" t="s">
        <v>8175</v>
      </c>
      <c r="AA74" t="s">
        <v>72</v>
      </c>
      <c r="AB74" t="s">
        <v>72</v>
      </c>
      <c r="AC74" t="s">
        <v>8176</v>
      </c>
      <c r="AD74" t="s">
        <v>8177</v>
      </c>
      <c r="AE74" t="s">
        <v>8178</v>
      </c>
      <c r="AF74" t="s">
        <v>72</v>
      </c>
      <c r="AG74">
        <v>101</v>
      </c>
      <c r="AH74">
        <v>110</v>
      </c>
      <c r="AI74">
        <v>112</v>
      </c>
      <c r="AJ74">
        <v>242</v>
      </c>
      <c r="AK74">
        <v>531</v>
      </c>
      <c r="AL74" t="s">
        <v>88</v>
      </c>
      <c r="AM74" t="s">
        <v>707</v>
      </c>
      <c r="AN74" t="s">
        <v>1987</v>
      </c>
      <c r="AO74" t="s">
        <v>8179</v>
      </c>
      <c r="AP74" t="s">
        <v>8180</v>
      </c>
      <c r="AQ74" t="s">
        <v>72</v>
      </c>
      <c r="AR74" t="s">
        <v>8181</v>
      </c>
      <c r="AS74" t="s">
        <v>8182</v>
      </c>
      <c r="AT74" t="s">
        <v>247</v>
      </c>
      <c r="AU74">
        <v>2021</v>
      </c>
      <c r="AV74">
        <v>49</v>
      </c>
      <c r="AW74">
        <v>1</v>
      </c>
      <c r="AX74" t="s">
        <v>72</v>
      </c>
      <c r="AY74" t="s">
        <v>72</v>
      </c>
      <c r="AZ74" t="s">
        <v>72</v>
      </c>
      <c r="BA74" t="s">
        <v>72</v>
      </c>
      <c r="BB74">
        <v>30</v>
      </c>
      <c r="BC74">
        <v>50</v>
      </c>
      <c r="BD74" t="s">
        <v>72</v>
      </c>
      <c r="BE74" t="s">
        <v>8183</v>
      </c>
      <c r="BF74" t="str">
        <f>HYPERLINK("http://dx.doi.org/10.1007/s11747-020-00749-9","http://dx.doi.org/10.1007/s11747-020-00749-9")</f>
        <v>http://dx.doi.org/10.1007/s11747-020-00749-9</v>
      </c>
      <c r="BG74" t="s">
        <v>72</v>
      </c>
      <c r="BH74" t="s">
        <v>8184</v>
      </c>
      <c r="BI74">
        <v>21</v>
      </c>
      <c r="BJ74" t="s">
        <v>151</v>
      </c>
      <c r="BK74" t="s">
        <v>152</v>
      </c>
      <c r="BL74" t="s">
        <v>8185</v>
      </c>
      <c r="BM74" t="s">
        <v>72</v>
      </c>
      <c r="BN74" t="s">
        <v>280</v>
      </c>
      <c r="BO74" t="s">
        <v>72</v>
      </c>
      <c r="BP74" t="s">
        <v>72</v>
      </c>
      <c r="BQ74" t="s">
        <v>100</v>
      </c>
      <c r="BR74" t="s">
        <v>8186</v>
      </c>
      <c r="BS74" t="str">
        <f>HYPERLINK("https%3A%2F%2Fwww.webofscience.com%2Fwos%2Fwoscc%2Ffull-record%2FWOS:000585729700001","View Full Record in Web of Science")</f>
        <v>View Full Record in Web of Science</v>
      </c>
    </row>
    <row r="75" spans="1:71" hidden="1" x14ac:dyDescent="0.2">
      <c r="A75" t="s">
        <v>70</v>
      </c>
      <c r="B75" t="s">
        <v>9075</v>
      </c>
      <c r="C75" t="s">
        <v>72</v>
      </c>
      <c r="D75" t="s">
        <v>72</v>
      </c>
      <c r="E75" t="s">
        <v>72</v>
      </c>
      <c r="F75" t="s">
        <v>9076</v>
      </c>
      <c r="G75" t="s">
        <v>72</v>
      </c>
      <c r="H75" t="s">
        <v>72</v>
      </c>
      <c r="I75" t="s">
        <v>9077</v>
      </c>
      <c r="J75" t="s">
        <v>133</v>
      </c>
      <c r="K75" t="s">
        <v>72</v>
      </c>
      <c r="L75" t="s">
        <v>72</v>
      </c>
      <c r="M75" t="s">
        <v>76</v>
      </c>
      <c r="N75" t="s">
        <v>77</v>
      </c>
      <c r="O75" t="s">
        <v>72</v>
      </c>
      <c r="P75" t="s">
        <v>72</v>
      </c>
      <c r="Q75" t="s">
        <v>72</v>
      </c>
      <c r="R75" t="s">
        <v>72</v>
      </c>
      <c r="S75" t="s">
        <v>72</v>
      </c>
      <c r="T75" t="s">
        <v>9078</v>
      </c>
      <c r="U75" t="s">
        <v>9079</v>
      </c>
      <c r="V75" t="s">
        <v>9080</v>
      </c>
      <c r="W75" t="s">
        <v>9081</v>
      </c>
      <c r="X75" t="s">
        <v>9082</v>
      </c>
      <c r="Y75" t="s">
        <v>9083</v>
      </c>
      <c r="Z75" t="s">
        <v>9084</v>
      </c>
      <c r="AA75" t="s">
        <v>72</v>
      </c>
      <c r="AB75" t="s">
        <v>72</v>
      </c>
      <c r="AC75" t="s">
        <v>72</v>
      </c>
      <c r="AD75" t="s">
        <v>72</v>
      </c>
      <c r="AE75" t="s">
        <v>72</v>
      </c>
      <c r="AF75" t="s">
        <v>72</v>
      </c>
      <c r="AG75">
        <v>89</v>
      </c>
      <c r="AH75">
        <v>0</v>
      </c>
      <c r="AI75">
        <v>0</v>
      </c>
      <c r="AJ75">
        <v>55</v>
      </c>
      <c r="AK75">
        <v>91</v>
      </c>
      <c r="AL75" t="s">
        <v>142</v>
      </c>
      <c r="AM75" t="s">
        <v>143</v>
      </c>
      <c r="AN75" t="s">
        <v>144</v>
      </c>
      <c r="AO75" t="s">
        <v>145</v>
      </c>
      <c r="AP75" t="s">
        <v>146</v>
      </c>
      <c r="AQ75" t="s">
        <v>72</v>
      </c>
      <c r="AR75" t="s">
        <v>147</v>
      </c>
      <c r="AS75" t="s">
        <v>148</v>
      </c>
      <c r="AT75" t="s">
        <v>9085</v>
      </c>
      <c r="AU75">
        <v>2022</v>
      </c>
      <c r="AV75">
        <v>49</v>
      </c>
      <c r="AW75">
        <v>4</v>
      </c>
      <c r="AX75" t="s">
        <v>72</v>
      </c>
      <c r="AY75" t="s">
        <v>72</v>
      </c>
      <c r="AZ75" t="s">
        <v>72</v>
      </c>
      <c r="BA75" t="s">
        <v>72</v>
      </c>
      <c r="BB75">
        <v>595</v>
      </c>
      <c r="BC75">
        <v>615</v>
      </c>
      <c r="BD75" t="s">
        <v>72</v>
      </c>
      <c r="BE75" t="s">
        <v>9086</v>
      </c>
      <c r="BF75" t="str">
        <f>HYPERLINK("http://dx.doi.org/10.1093/jcr/ucac003","http://dx.doi.org/10.1093/jcr/ucac003")</f>
        <v>http://dx.doi.org/10.1093/jcr/ucac003</v>
      </c>
      <c r="BG75" t="s">
        <v>72</v>
      </c>
      <c r="BH75" t="s">
        <v>1832</v>
      </c>
      <c r="BI75">
        <v>21</v>
      </c>
      <c r="BJ75" t="s">
        <v>151</v>
      </c>
      <c r="BK75" t="s">
        <v>152</v>
      </c>
      <c r="BL75" t="s">
        <v>9087</v>
      </c>
      <c r="BM75" t="s">
        <v>72</v>
      </c>
      <c r="BN75" t="s">
        <v>72</v>
      </c>
      <c r="BO75" t="s">
        <v>72</v>
      </c>
      <c r="BP75" t="s">
        <v>72</v>
      </c>
      <c r="BQ75" t="s">
        <v>100</v>
      </c>
      <c r="BR75" t="s">
        <v>9088</v>
      </c>
      <c r="BS75" t="str">
        <f>HYPERLINK("https%3A%2F%2Fwww.webofscience.com%2Fwos%2Fwoscc%2Ffull-record%2FWOS:000764219200001","View Full Record in Web of Science")</f>
        <v>View Full Record in Web of Science</v>
      </c>
    </row>
    <row r="76" spans="1:71" hidden="1" x14ac:dyDescent="0.2">
      <c r="A76" t="s">
        <v>70</v>
      </c>
      <c r="B76" t="s">
        <v>10185</v>
      </c>
      <c r="C76" t="s">
        <v>72</v>
      </c>
      <c r="D76" t="s">
        <v>72</v>
      </c>
      <c r="E76" t="s">
        <v>72</v>
      </c>
      <c r="F76" t="s">
        <v>10186</v>
      </c>
      <c r="G76" t="s">
        <v>72</v>
      </c>
      <c r="H76" t="s">
        <v>72</v>
      </c>
      <c r="I76" t="s">
        <v>10187</v>
      </c>
      <c r="J76" t="s">
        <v>10188</v>
      </c>
      <c r="K76" t="s">
        <v>72</v>
      </c>
      <c r="L76" t="s">
        <v>72</v>
      </c>
      <c r="M76" t="s">
        <v>76</v>
      </c>
      <c r="N76" t="s">
        <v>77</v>
      </c>
      <c r="O76" t="s">
        <v>72</v>
      </c>
      <c r="P76" t="s">
        <v>72</v>
      </c>
      <c r="Q76" t="s">
        <v>72</v>
      </c>
      <c r="R76" t="s">
        <v>72</v>
      </c>
      <c r="S76" t="s">
        <v>72</v>
      </c>
      <c r="T76" t="s">
        <v>72</v>
      </c>
      <c r="U76" t="s">
        <v>10189</v>
      </c>
      <c r="V76" t="s">
        <v>10190</v>
      </c>
      <c r="W76" t="s">
        <v>10191</v>
      </c>
      <c r="X76" t="s">
        <v>10192</v>
      </c>
      <c r="Y76" t="s">
        <v>10193</v>
      </c>
      <c r="Z76" t="s">
        <v>10194</v>
      </c>
      <c r="AA76" t="s">
        <v>72</v>
      </c>
      <c r="AB76" t="s">
        <v>72</v>
      </c>
      <c r="AC76" t="s">
        <v>72</v>
      </c>
      <c r="AD76" t="s">
        <v>72</v>
      </c>
      <c r="AE76" t="s">
        <v>72</v>
      </c>
      <c r="AF76" t="s">
        <v>72</v>
      </c>
      <c r="AG76">
        <v>35</v>
      </c>
      <c r="AH76">
        <v>10</v>
      </c>
      <c r="AI76">
        <v>10</v>
      </c>
      <c r="AJ76">
        <v>3</v>
      </c>
      <c r="AK76">
        <v>23</v>
      </c>
      <c r="AL76" t="s">
        <v>142</v>
      </c>
      <c r="AM76" t="s">
        <v>143</v>
      </c>
      <c r="AN76" t="s">
        <v>144</v>
      </c>
      <c r="AO76" t="s">
        <v>10195</v>
      </c>
      <c r="AP76" t="s">
        <v>10196</v>
      </c>
      <c r="AQ76" t="s">
        <v>72</v>
      </c>
      <c r="AR76" t="s">
        <v>10197</v>
      </c>
      <c r="AS76" t="s">
        <v>10198</v>
      </c>
      <c r="AT76" t="s">
        <v>776</v>
      </c>
      <c r="AU76">
        <v>2020</v>
      </c>
      <c r="AV76">
        <v>33</v>
      </c>
      <c r="AW76">
        <v>7</v>
      </c>
      <c r="AX76" t="s">
        <v>72</v>
      </c>
      <c r="AY76" t="s">
        <v>72</v>
      </c>
      <c r="AZ76" t="s">
        <v>72</v>
      </c>
      <c r="BA76" t="s">
        <v>72</v>
      </c>
      <c r="BB76">
        <v>2898</v>
      </c>
      <c r="BC76">
        <v>2936</v>
      </c>
      <c r="BD76" t="s">
        <v>72</v>
      </c>
      <c r="BE76" t="s">
        <v>10199</v>
      </c>
      <c r="BF76" t="str">
        <f>HYPERLINK("http://dx.doi.org/10.1093/rfs/hhz096","http://dx.doi.org/10.1093/rfs/hhz096")</f>
        <v>http://dx.doi.org/10.1093/rfs/hhz096</v>
      </c>
      <c r="BG76" t="s">
        <v>72</v>
      </c>
      <c r="BH76" t="s">
        <v>72</v>
      </c>
      <c r="BI76">
        <v>39</v>
      </c>
      <c r="BJ76" t="s">
        <v>5305</v>
      </c>
      <c r="BK76" t="s">
        <v>152</v>
      </c>
      <c r="BL76" t="s">
        <v>10200</v>
      </c>
      <c r="BM76" t="s">
        <v>72</v>
      </c>
      <c r="BN76" t="s">
        <v>72</v>
      </c>
      <c r="BO76" t="s">
        <v>72</v>
      </c>
      <c r="BP76" t="s">
        <v>72</v>
      </c>
      <c r="BQ76" t="s">
        <v>100</v>
      </c>
      <c r="BR76" t="s">
        <v>10201</v>
      </c>
      <c r="BS76" t="str">
        <f>HYPERLINK("https%3A%2F%2Fwww.webofscience.com%2Fwos%2Fwoscc%2Ffull-record%2FWOS:000562481500002","View Full Record in Web of Science")</f>
        <v>View Full Record in Web of Science</v>
      </c>
    </row>
    <row r="77" spans="1:71" hidden="1" x14ac:dyDescent="0.2">
      <c r="A77" t="s">
        <v>70</v>
      </c>
      <c r="B77" t="s">
        <v>10826</v>
      </c>
      <c r="C77" t="s">
        <v>72</v>
      </c>
      <c r="D77" t="s">
        <v>72</v>
      </c>
      <c r="E77" t="s">
        <v>72</v>
      </c>
      <c r="F77" t="s">
        <v>10827</v>
      </c>
      <c r="G77" t="s">
        <v>72</v>
      </c>
      <c r="H77" t="s">
        <v>72</v>
      </c>
      <c r="I77" t="s">
        <v>10828</v>
      </c>
      <c r="J77" t="s">
        <v>10829</v>
      </c>
      <c r="K77" t="s">
        <v>72</v>
      </c>
      <c r="L77" t="s">
        <v>72</v>
      </c>
      <c r="M77" t="s">
        <v>76</v>
      </c>
      <c r="N77" t="s">
        <v>77</v>
      </c>
      <c r="O77" t="s">
        <v>72</v>
      </c>
      <c r="P77" t="s">
        <v>72</v>
      </c>
      <c r="Q77" t="s">
        <v>72</v>
      </c>
      <c r="R77" t="s">
        <v>72</v>
      </c>
      <c r="S77" t="s">
        <v>72</v>
      </c>
      <c r="T77" t="s">
        <v>10830</v>
      </c>
      <c r="U77" t="s">
        <v>10831</v>
      </c>
      <c r="V77" t="s">
        <v>10832</v>
      </c>
      <c r="W77" t="s">
        <v>10833</v>
      </c>
      <c r="X77" t="s">
        <v>10834</v>
      </c>
      <c r="Y77" t="s">
        <v>10835</v>
      </c>
      <c r="Z77" t="s">
        <v>10836</v>
      </c>
      <c r="AA77" t="s">
        <v>10837</v>
      </c>
      <c r="AB77" t="s">
        <v>72</v>
      </c>
      <c r="AC77" t="s">
        <v>72</v>
      </c>
      <c r="AD77" t="s">
        <v>72</v>
      </c>
      <c r="AE77" t="s">
        <v>72</v>
      </c>
      <c r="AF77" t="s">
        <v>72</v>
      </c>
      <c r="AG77">
        <v>66</v>
      </c>
      <c r="AH77">
        <v>67</v>
      </c>
      <c r="AI77">
        <v>72</v>
      </c>
      <c r="AJ77">
        <v>1</v>
      </c>
      <c r="AK77">
        <v>30</v>
      </c>
      <c r="AL77" t="s">
        <v>1596</v>
      </c>
      <c r="AM77" t="s">
        <v>451</v>
      </c>
      <c r="AN77" t="s">
        <v>1597</v>
      </c>
      <c r="AO77" t="s">
        <v>10838</v>
      </c>
      <c r="AP77" t="s">
        <v>72</v>
      </c>
      <c r="AQ77" t="s">
        <v>72</v>
      </c>
      <c r="AR77" t="s">
        <v>10839</v>
      </c>
      <c r="AS77" t="s">
        <v>10840</v>
      </c>
      <c r="AT77" t="s">
        <v>929</v>
      </c>
      <c r="AU77">
        <v>2015</v>
      </c>
      <c r="AV77">
        <v>47</v>
      </c>
      <c r="AW77">
        <v>4</v>
      </c>
      <c r="AX77" t="s">
        <v>72</v>
      </c>
      <c r="AY77" t="s">
        <v>72</v>
      </c>
      <c r="AZ77" t="s">
        <v>72</v>
      </c>
      <c r="BA77" t="s">
        <v>72</v>
      </c>
      <c r="BB77">
        <v>376</v>
      </c>
      <c r="BC77">
        <v>394</v>
      </c>
      <c r="BD77" t="s">
        <v>72</v>
      </c>
      <c r="BE77" t="s">
        <v>10841</v>
      </c>
      <c r="BF77" t="str">
        <f>HYPERLINK("http://dx.doi.org/10.1016/j.bar.2014.06.001","http://dx.doi.org/10.1016/j.bar.2014.06.001")</f>
        <v>http://dx.doi.org/10.1016/j.bar.2014.06.001</v>
      </c>
      <c r="BG77" t="s">
        <v>72</v>
      </c>
      <c r="BH77" t="s">
        <v>72</v>
      </c>
      <c r="BI77">
        <v>19</v>
      </c>
      <c r="BJ77" t="s">
        <v>2723</v>
      </c>
      <c r="BK77" t="s">
        <v>152</v>
      </c>
      <c r="BL77" t="s">
        <v>10842</v>
      </c>
      <c r="BM77" t="s">
        <v>72</v>
      </c>
      <c r="BN77" t="s">
        <v>251</v>
      </c>
      <c r="BO77" t="s">
        <v>72</v>
      </c>
      <c r="BP77" t="s">
        <v>72</v>
      </c>
      <c r="BQ77" t="s">
        <v>100</v>
      </c>
      <c r="BR77" t="s">
        <v>10843</v>
      </c>
      <c r="BS77" t="str">
        <f>HYPERLINK("https%3A%2F%2Fwww.webofscience.com%2Fwos%2Fwoscc%2Ffull-record%2FWOS:000366445500003","View Full Record in Web of Science")</f>
        <v>View Full Record in Web of Science</v>
      </c>
    </row>
    <row r="78" spans="1:71" hidden="1" x14ac:dyDescent="0.2">
      <c r="A78" t="s">
        <v>70</v>
      </c>
      <c r="B78" t="s">
        <v>11395</v>
      </c>
      <c r="C78" t="s">
        <v>72</v>
      </c>
      <c r="D78" t="s">
        <v>72</v>
      </c>
      <c r="E78" t="s">
        <v>72</v>
      </c>
      <c r="F78" t="s">
        <v>11396</v>
      </c>
      <c r="G78" t="s">
        <v>72</v>
      </c>
      <c r="H78" t="s">
        <v>72</v>
      </c>
      <c r="I78" t="s">
        <v>11397</v>
      </c>
      <c r="J78" t="s">
        <v>11398</v>
      </c>
      <c r="K78" t="s">
        <v>72</v>
      </c>
      <c r="L78" t="s">
        <v>72</v>
      </c>
      <c r="M78" t="s">
        <v>76</v>
      </c>
      <c r="N78" t="s">
        <v>77</v>
      </c>
      <c r="O78" t="s">
        <v>72</v>
      </c>
      <c r="P78" t="s">
        <v>72</v>
      </c>
      <c r="Q78" t="s">
        <v>72</v>
      </c>
      <c r="R78" t="s">
        <v>72</v>
      </c>
      <c r="S78" t="s">
        <v>72</v>
      </c>
      <c r="T78" t="s">
        <v>11399</v>
      </c>
      <c r="U78" t="s">
        <v>11400</v>
      </c>
      <c r="V78" t="s">
        <v>11401</v>
      </c>
      <c r="W78" t="s">
        <v>11402</v>
      </c>
      <c r="X78" t="s">
        <v>11403</v>
      </c>
      <c r="Y78" t="s">
        <v>11404</v>
      </c>
      <c r="Z78" t="s">
        <v>72</v>
      </c>
      <c r="AA78" t="s">
        <v>72</v>
      </c>
      <c r="AB78" t="s">
        <v>72</v>
      </c>
      <c r="AC78" t="s">
        <v>72</v>
      </c>
      <c r="AD78" t="s">
        <v>72</v>
      </c>
      <c r="AE78" t="s">
        <v>72</v>
      </c>
      <c r="AF78" t="s">
        <v>72</v>
      </c>
      <c r="AG78">
        <v>40</v>
      </c>
      <c r="AH78">
        <v>1</v>
      </c>
      <c r="AI78">
        <v>1</v>
      </c>
      <c r="AJ78">
        <v>3</v>
      </c>
      <c r="AK78">
        <v>7</v>
      </c>
      <c r="AL78" t="s">
        <v>11405</v>
      </c>
      <c r="AM78" t="s">
        <v>1280</v>
      </c>
      <c r="AN78" t="s">
        <v>11406</v>
      </c>
      <c r="AO78" t="s">
        <v>11407</v>
      </c>
      <c r="AP78" t="s">
        <v>11408</v>
      </c>
      <c r="AQ78" t="s">
        <v>72</v>
      </c>
      <c r="AR78" t="s">
        <v>11409</v>
      </c>
      <c r="AS78" t="s">
        <v>11410</v>
      </c>
      <c r="AT78" t="s">
        <v>2322</v>
      </c>
      <c r="AU78">
        <v>2020</v>
      </c>
      <c r="AV78">
        <v>20</v>
      </c>
      <c r="AW78">
        <v>2</v>
      </c>
      <c r="AX78" t="s">
        <v>72</v>
      </c>
      <c r="AY78" t="s">
        <v>72</v>
      </c>
      <c r="AZ78" t="s">
        <v>72</v>
      </c>
      <c r="BA78" t="s">
        <v>72</v>
      </c>
      <c r="BB78">
        <v>127</v>
      </c>
      <c r="BC78">
        <v>178</v>
      </c>
      <c r="BD78" t="s">
        <v>72</v>
      </c>
      <c r="BE78" t="s">
        <v>11411</v>
      </c>
      <c r="BF78" t="str">
        <f>HYPERLINK("http://dx.doi.org/10.1353/eco.2020.0005","http://dx.doi.org/10.1353/eco.2020.0005")</f>
        <v>http://dx.doi.org/10.1353/eco.2020.0005</v>
      </c>
      <c r="BG78" t="s">
        <v>72</v>
      </c>
      <c r="BH78" t="s">
        <v>72</v>
      </c>
      <c r="BI78">
        <v>52</v>
      </c>
      <c r="BJ78" t="s">
        <v>6702</v>
      </c>
      <c r="BK78" t="s">
        <v>152</v>
      </c>
      <c r="BL78" t="s">
        <v>11412</v>
      </c>
      <c r="BM78" t="s">
        <v>72</v>
      </c>
      <c r="BN78" t="s">
        <v>72</v>
      </c>
      <c r="BO78" t="s">
        <v>72</v>
      </c>
      <c r="BP78" t="s">
        <v>72</v>
      </c>
      <c r="BQ78" t="s">
        <v>100</v>
      </c>
      <c r="BR78" t="s">
        <v>11413</v>
      </c>
      <c r="BS78" t="str">
        <f>HYPERLINK("https%3A%2F%2Fwww.webofscience.com%2Fwos%2Fwoscc%2Ffull-record%2FWOS:000598760600004","View Full Record in Web of Science")</f>
        <v>View Full Record in Web of Science</v>
      </c>
    </row>
    <row r="79" spans="1:71" hidden="1" x14ac:dyDescent="0.2">
      <c r="A79" t="s">
        <v>70</v>
      </c>
      <c r="B79" t="s">
        <v>11459</v>
      </c>
      <c r="C79" t="s">
        <v>72</v>
      </c>
      <c r="D79" t="s">
        <v>72</v>
      </c>
      <c r="E79" t="s">
        <v>72</v>
      </c>
      <c r="F79" t="s">
        <v>11460</v>
      </c>
      <c r="G79" t="s">
        <v>72</v>
      </c>
      <c r="H79" t="s">
        <v>72</v>
      </c>
      <c r="I79" t="s">
        <v>11461</v>
      </c>
      <c r="J79" t="s">
        <v>11462</v>
      </c>
      <c r="K79" t="s">
        <v>72</v>
      </c>
      <c r="L79" t="s">
        <v>72</v>
      </c>
      <c r="M79" t="s">
        <v>76</v>
      </c>
      <c r="N79" t="s">
        <v>77</v>
      </c>
      <c r="O79" t="s">
        <v>72</v>
      </c>
      <c r="P79" t="s">
        <v>72</v>
      </c>
      <c r="Q79" t="s">
        <v>72</v>
      </c>
      <c r="R79" t="s">
        <v>72</v>
      </c>
      <c r="S79" t="s">
        <v>72</v>
      </c>
      <c r="T79" t="s">
        <v>11463</v>
      </c>
      <c r="U79" t="s">
        <v>11464</v>
      </c>
      <c r="V79" t="s">
        <v>11465</v>
      </c>
      <c r="W79" t="s">
        <v>11466</v>
      </c>
      <c r="X79" t="s">
        <v>5424</v>
      </c>
      <c r="Y79" t="s">
        <v>11467</v>
      </c>
      <c r="Z79" t="s">
        <v>11468</v>
      </c>
      <c r="AA79" t="s">
        <v>72</v>
      </c>
      <c r="AB79" t="s">
        <v>72</v>
      </c>
      <c r="AC79" t="s">
        <v>72</v>
      </c>
      <c r="AD79" t="s">
        <v>72</v>
      </c>
      <c r="AE79" t="s">
        <v>72</v>
      </c>
      <c r="AF79" t="s">
        <v>72</v>
      </c>
      <c r="AG79">
        <v>87</v>
      </c>
      <c r="AH79">
        <v>2</v>
      </c>
      <c r="AI79">
        <v>2</v>
      </c>
      <c r="AJ79">
        <v>3</v>
      </c>
      <c r="AK79">
        <v>9</v>
      </c>
      <c r="AL79" t="s">
        <v>364</v>
      </c>
      <c r="AM79" t="s">
        <v>365</v>
      </c>
      <c r="AN79" t="s">
        <v>366</v>
      </c>
      <c r="AO79" t="s">
        <v>11469</v>
      </c>
      <c r="AP79" t="s">
        <v>11470</v>
      </c>
      <c r="AQ79" t="s">
        <v>72</v>
      </c>
      <c r="AR79" t="s">
        <v>11471</v>
      </c>
      <c r="AS79" t="s">
        <v>11472</v>
      </c>
      <c r="AT79" t="s">
        <v>1172</v>
      </c>
      <c r="AU79">
        <v>2022</v>
      </c>
      <c r="AV79">
        <v>19</v>
      </c>
      <c r="AW79">
        <v>1</v>
      </c>
      <c r="AX79" t="s">
        <v>72</v>
      </c>
      <c r="AY79" t="s">
        <v>72</v>
      </c>
      <c r="AZ79" t="s">
        <v>72</v>
      </c>
      <c r="BA79" t="s">
        <v>72</v>
      </c>
      <c r="BB79">
        <v>190</v>
      </c>
      <c r="BC79">
        <v>225</v>
      </c>
      <c r="BD79" t="s">
        <v>72</v>
      </c>
      <c r="BE79" t="s">
        <v>11473</v>
      </c>
      <c r="BF79" t="str">
        <f>HYPERLINK("http://dx.doi.org/10.1080/17449480.2021.2018473","http://dx.doi.org/10.1080/17449480.2021.2018473")</f>
        <v>http://dx.doi.org/10.1080/17449480.2021.2018473</v>
      </c>
      <c r="BG79" t="s">
        <v>72</v>
      </c>
      <c r="BH79" t="s">
        <v>1832</v>
      </c>
      <c r="BI79">
        <v>36</v>
      </c>
      <c r="BJ79" t="s">
        <v>2723</v>
      </c>
      <c r="BK79" t="s">
        <v>152</v>
      </c>
      <c r="BL79" t="s">
        <v>11474</v>
      </c>
      <c r="BM79" t="s">
        <v>72</v>
      </c>
      <c r="BN79" t="s">
        <v>280</v>
      </c>
      <c r="BO79" t="s">
        <v>72</v>
      </c>
      <c r="BP79" t="s">
        <v>72</v>
      </c>
      <c r="BQ79" t="s">
        <v>100</v>
      </c>
      <c r="BR79" t="s">
        <v>11475</v>
      </c>
      <c r="BS79" t="str">
        <f>HYPERLINK("https%3A%2F%2Fwww.webofscience.com%2Fwos%2Fwoscc%2Ffull-record%2FWOS:000739719000001","View Full Record in Web of Science")</f>
        <v>View Full Record in Web of Science</v>
      </c>
    </row>
    <row r="80" spans="1:71" hidden="1" x14ac:dyDescent="0.2">
      <c r="A80" t="s">
        <v>70</v>
      </c>
      <c r="B80" t="s">
        <v>11521</v>
      </c>
      <c r="C80" t="s">
        <v>72</v>
      </c>
      <c r="D80" t="s">
        <v>72</v>
      </c>
      <c r="E80" t="s">
        <v>72</v>
      </c>
      <c r="F80" t="s">
        <v>11522</v>
      </c>
      <c r="G80" t="s">
        <v>72</v>
      </c>
      <c r="H80" t="s">
        <v>72</v>
      </c>
      <c r="I80" t="s">
        <v>11523</v>
      </c>
      <c r="J80" t="s">
        <v>1155</v>
      </c>
      <c r="K80" t="s">
        <v>72</v>
      </c>
      <c r="L80" t="s">
        <v>72</v>
      </c>
      <c r="M80" t="s">
        <v>76</v>
      </c>
      <c r="N80" t="s">
        <v>106</v>
      </c>
      <c r="O80" t="s">
        <v>72</v>
      </c>
      <c r="P80" t="s">
        <v>72</v>
      </c>
      <c r="Q80" t="s">
        <v>72</v>
      </c>
      <c r="R80" t="s">
        <v>72</v>
      </c>
      <c r="S80" t="s">
        <v>72</v>
      </c>
      <c r="T80" t="s">
        <v>11524</v>
      </c>
      <c r="U80" t="s">
        <v>72</v>
      </c>
      <c r="V80" t="s">
        <v>11525</v>
      </c>
      <c r="W80" t="s">
        <v>11526</v>
      </c>
      <c r="X80" t="s">
        <v>11527</v>
      </c>
      <c r="Y80" t="s">
        <v>11528</v>
      </c>
      <c r="Z80" t="s">
        <v>11529</v>
      </c>
      <c r="AA80" t="s">
        <v>11530</v>
      </c>
      <c r="AB80" t="s">
        <v>72</v>
      </c>
      <c r="AC80" t="s">
        <v>72</v>
      </c>
      <c r="AD80" t="s">
        <v>72</v>
      </c>
      <c r="AE80" t="s">
        <v>72</v>
      </c>
      <c r="AF80" t="s">
        <v>72</v>
      </c>
      <c r="AG80">
        <v>17</v>
      </c>
      <c r="AH80">
        <v>5</v>
      </c>
      <c r="AI80">
        <v>5</v>
      </c>
      <c r="AJ80">
        <v>3</v>
      </c>
      <c r="AK80">
        <v>28</v>
      </c>
      <c r="AL80" t="s">
        <v>1165</v>
      </c>
      <c r="AM80" t="s">
        <v>1166</v>
      </c>
      <c r="AN80" t="s">
        <v>1167</v>
      </c>
      <c r="AO80" t="s">
        <v>1168</v>
      </c>
      <c r="AP80" t="s">
        <v>1169</v>
      </c>
      <c r="AQ80" t="s">
        <v>72</v>
      </c>
      <c r="AR80" t="s">
        <v>1170</v>
      </c>
      <c r="AS80" t="s">
        <v>1171</v>
      </c>
      <c r="AT80" t="s">
        <v>11531</v>
      </c>
      <c r="AU80">
        <v>2020</v>
      </c>
      <c r="AV80">
        <v>54</v>
      </c>
      <c r="AW80">
        <v>3</v>
      </c>
      <c r="AX80" t="s">
        <v>72</v>
      </c>
      <c r="AY80" t="s">
        <v>72</v>
      </c>
      <c r="AZ80" t="s">
        <v>478</v>
      </c>
      <c r="BA80" t="s">
        <v>72</v>
      </c>
      <c r="BB80">
        <v>473</v>
      </c>
      <c r="BC80">
        <v>477</v>
      </c>
      <c r="BD80" t="s">
        <v>72</v>
      </c>
      <c r="BE80" t="s">
        <v>11532</v>
      </c>
      <c r="BF80" t="str">
        <f>HYPERLINK("http://dx.doi.org/10.1108/EJM-01-2020-0007","http://dx.doi.org/10.1108/EJM-01-2020-0007")</f>
        <v>http://dx.doi.org/10.1108/EJM-01-2020-0007</v>
      </c>
      <c r="BG80" t="s">
        <v>72</v>
      </c>
      <c r="BH80" t="s">
        <v>6274</v>
      </c>
      <c r="BI80">
        <v>5</v>
      </c>
      <c r="BJ80" t="s">
        <v>151</v>
      </c>
      <c r="BK80" t="s">
        <v>152</v>
      </c>
      <c r="BL80" t="s">
        <v>11533</v>
      </c>
      <c r="BM80" t="s">
        <v>72</v>
      </c>
      <c r="BN80" t="s">
        <v>72</v>
      </c>
      <c r="BO80" t="s">
        <v>72</v>
      </c>
      <c r="BP80" t="s">
        <v>72</v>
      </c>
      <c r="BQ80" t="s">
        <v>100</v>
      </c>
      <c r="BR80" t="s">
        <v>11534</v>
      </c>
      <c r="BS80" t="str">
        <f>HYPERLINK("https%3A%2F%2Fwww.webofscience.com%2Fwos%2Fwoscc%2Ffull-record%2FWOS:000516586600001","View Full Record in Web of Science")</f>
        <v>View Full Record in Web of Science</v>
      </c>
    </row>
    <row r="81" spans="1:71" hidden="1" x14ac:dyDescent="0.2">
      <c r="A81" t="s">
        <v>70</v>
      </c>
      <c r="B81" t="s">
        <v>11581</v>
      </c>
      <c r="C81" t="s">
        <v>72</v>
      </c>
      <c r="D81" t="s">
        <v>72</v>
      </c>
      <c r="E81" t="s">
        <v>72</v>
      </c>
      <c r="F81" t="s">
        <v>11582</v>
      </c>
      <c r="G81" t="s">
        <v>72</v>
      </c>
      <c r="H81" t="s">
        <v>72</v>
      </c>
      <c r="I81" t="s">
        <v>11583</v>
      </c>
      <c r="J81" t="s">
        <v>11584</v>
      </c>
      <c r="K81" t="s">
        <v>72</v>
      </c>
      <c r="L81" t="s">
        <v>72</v>
      </c>
      <c r="M81" t="s">
        <v>76</v>
      </c>
      <c r="N81" t="s">
        <v>77</v>
      </c>
      <c r="O81" t="s">
        <v>72</v>
      </c>
      <c r="P81" t="s">
        <v>72</v>
      </c>
      <c r="Q81" t="s">
        <v>72</v>
      </c>
      <c r="R81" t="s">
        <v>72</v>
      </c>
      <c r="S81" t="s">
        <v>72</v>
      </c>
      <c r="T81" t="s">
        <v>11585</v>
      </c>
      <c r="U81" t="s">
        <v>11586</v>
      </c>
      <c r="V81" t="s">
        <v>11587</v>
      </c>
      <c r="W81" t="s">
        <v>11588</v>
      </c>
      <c r="X81" t="s">
        <v>11589</v>
      </c>
      <c r="Y81" t="s">
        <v>11590</v>
      </c>
      <c r="Z81" t="s">
        <v>11591</v>
      </c>
      <c r="AA81" t="s">
        <v>72</v>
      </c>
      <c r="AB81" t="s">
        <v>72</v>
      </c>
      <c r="AC81" t="s">
        <v>72</v>
      </c>
      <c r="AD81" t="s">
        <v>72</v>
      </c>
      <c r="AE81" t="s">
        <v>72</v>
      </c>
      <c r="AF81" t="s">
        <v>72</v>
      </c>
      <c r="AG81">
        <v>35</v>
      </c>
      <c r="AH81">
        <v>31</v>
      </c>
      <c r="AI81">
        <v>31</v>
      </c>
      <c r="AJ81">
        <v>2</v>
      </c>
      <c r="AK81">
        <v>25</v>
      </c>
      <c r="AL81" t="s">
        <v>1165</v>
      </c>
      <c r="AM81" t="s">
        <v>1166</v>
      </c>
      <c r="AN81" t="s">
        <v>1167</v>
      </c>
      <c r="AO81" t="s">
        <v>11592</v>
      </c>
      <c r="AP81" t="s">
        <v>11593</v>
      </c>
      <c r="AQ81" t="s">
        <v>72</v>
      </c>
      <c r="AR81" t="s">
        <v>11594</v>
      </c>
      <c r="AS81" t="s">
        <v>11595</v>
      </c>
      <c r="AT81" t="s">
        <v>72</v>
      </c>
      <c r="AU81">
        <v>2011</v>
      </c>
      <c r="AV81">
        <v>21</v>
      </c>
      <c r="AW81">
        <v>6</v>
      </c>
      <c r="AX81" t="s">
        <v>72</v>
      </c>
      <c r="AY81" t="s">
        <v>72</v>
      </c>
      <c r="AZ81" t="s">
        <v>478</v>
      </c>
      <c r="BA81" t="s">
        <v>72</v>
      </c>
      <c r="BB81">
        <v>636</v>
      </c>
      <c r="BC81">
        <v>648</v>
      </c>
      <c r="BD81" t="s">
        <v>72</v>
      </c>
      <c r="BE81" t="s">
        <v>11596</v>
      </c>
      <c r="BF81" t="str">
        <f>HYPERLINK("http://dx.doi.org/10.1108/09604521111185628","http://dx.doi.org/10.1108/09604521111185628")</f>
        <v>http://dx.doi.org/10.1108/09604521111185628</v>
      </c>
      <c r="BG81" t="s">
        <v>72</v>
      </c>
      <c r="BH81" t="s">
        <v>72</v>
      </c>
      <c r="BI81">
        <v>13</v>
      </c>
      <c r="BJ81" t="s">
        <v>1350</v>
      </c>
      <c r="BK81" t="s">
        <v>152</v>
      </c>
      <c r="BL81" t="s">
        <v>11597</v>
      </c>
      <c r="BM81" t="s">
        <v>72</v>
      </c>
      <c r="BN81" t="s">
        <v>72</v>
      </c>
      <c r="BO81" t="s">
        <v>72</v>
      </c>
      <c r="BP81" t="s">
        <v>72</v>
      </c>
      <c r="BQ81" t="s">
        <v>100</v>
      </c>
      <c r="BR81" t="s">
        <v>11598</v>
      </c>
      <c r="BS81" t="str">
        <f>HYPERLINK("https%3A%2F%2Fwww.webofscience.com%2Fwos%2Fwoscc%2Ffull-record%2FWOS:000298895400005","View Full Record in Web of Science")</f>
        <v>View Full Record in Web of Science</v>
      </c>
    </row>
    <row r="82" spans="1:71" hidden="1" x14ac:dyDescent="0.2">
      <c r="A82" t="s">
        <v>70</v>
      </c>
      <c r="B82" t="s">
        <v>11713</v>
      </c>
      <c r="C82" t="s">
        <v>72</v>
      </c>
      <c r="D82" t="s">
        <v>72</v>
      </c>
      <c r="E82" t="s">
        <v>72</v>
      </c>
      <c r="F82" t="s">
        <v>11714</v>
      </c>
      <c r="G82" t="s">
        <v>72</v>
      </c>
      <c r="H82" t="s">
        <v>72</v>
      </c>
      <c r="I82" t="s">
        <v>11715</v>
      </c>
      <c r="J82" t="s">
        <v>11716</v>
      </c>
      <c r="K82" t="s">
        <v>72</v>
      </c>
      <c r="L82" t="s">
        <v>72</v>
      </c>
      <c r="M82" t="s">
        <v>76</v>
      </c>
      <c r="N82" t="s">
        <v>77</v>
      </c>
      <c r="O82" t="s">
        <v>72</v>
      </c>
      <c r="P82" t="s">
        <v>72</v>
      </c>
      <c r="Q82" t="s">
        <v>72</v>
      </c>
      <c r="R82" t="s">
        <v>72</v>
      </c>
      <c r="S82" t="s">
        <v>72</v>
      </c>
      <c r="T82" t="s">
        <v>11717</v>
      </c>
      <c r="U82" t="s">
        <v>11718</v>
      </c>
      <c r="V82" t="s">
        <v>11719</v>
      </c>
      <c r="W82" t="s">
        <v>11720</v>
      </c>
      <c r="X82" t="s">
        <v>11721</v>
      </c>
      <c r="Y82" t="s">
        <v>11722</v>
      </c>
      <c r="Z82" t="s">
        <v>72</v>
      </c>
      <c r="AA82" t="s">
        <v>11723</v>
      </c>
      <c r="AB82" t="s">
        <v>11724</v>
      </c>
      <c r="AC82" t="s">
        <v>72</v>
      </c>
      <c r="AD82" t="s">
        <v>72</v>
      </c>
      <c r="AE82" t="s">
        <v>72</v>
      </c>
      <c r="AF82" t="s">
        <v>72</v>
      </c>
      <c r="AG82">
        <v>56</v>
      </c>
      <c r="AH82">
        <v>6</v>
      </c>
      <c r="AI82">
        <v>6</v>
      </c>
      <c r="AJ82">
        <v>21</v>
      </c>
      <c r="AK82">
        <v>40</v>
      </c>
      <c r="AL82" t="s">
        <v>924</v>
      </c>
      <c r="AM82" t="s">
        <v>168</v>
      </c>
      <c r="AN82" t="s">
        <v>925</v>
      </c>
      <c r="AO82" t="s">
        <v>11725</v>
      </c>
      <c r="AP82" t="s">
        <v>11726</v>
      </c>
      <c r="AQ82" t="s">
        <v>72</v>
      </c>
      <c r="AR82" t="s">
        <v>11727</v>
      </c>
      <c r="AS82" t="s">
        <v>11728</v>
      </c>
      <c r="AT82" t="s">
        <v>555</v>
      </c>
      <c r="AU82">
        <v>2022</v>
      </c>
      <c r="AV82">
        <v>39</v>
      </c>
      <c r="AW82">
        <v>1</v>
      </c>
      <c r="AX82" t="s">
        <v>72</v>
      </c>
      <c r="AY82" t="s">
        <v>72</v>
      </c>
      <c r="AZ82" t="s">
        <v>72</v>
      </c>
      <c r="BA82" t="s">
        <v>72</v>
      </c>
      <c r="BB82">
        <v>1</v>
      </c>
      <c r="BC82">
        <v>19</v>
      </c>
      <c r="BD82" t="s">
        <v>72</v>
      </c>
      <c r="BE82" t="s">
        <v>11729</v>
      </c>
      <c r="BF82" t="str">
        <f>HYPERLINK("http://dx.doi.org/10.1016/j.ijresmar.2021.10.011","http://dx.doi.org/10.1016/j.ijresmar.2021.10.011")</f>
        <v>http://dx.doi.org/10.1016/j.ijresmar.2021.10.011</v>
      </c>
      <c r="BG82" t="s">
        <v>72</v>
      </c>
      <c r="BH82" t="s">
        <v>72</v>
      </c>
      <c r="BI82">
        <v>19</v>
      </c>
      <c r="BJ82" t="s">
        <v>151</v>
      </c>
      <c r="BK82" t="s">
        <v>152</v>
      </c>
      <c r="BL82" t="s">
        <v>11730</v>
      </c>
      <c r="BM82" t="s">
        <v>72</v>
      </c>
      <c r="BN82" t="s">
        <v>1128</v>
      </c>
      <c r="BO82" t="s">
        <v>72</v>
      </c>
      <c r="BP82" t="s">
        <v>72</v>
      </c>
      <c r="BQ82" t="s">
        <v>100</v>
      </c>
      <c r="BR82" t="s">
        <v>11731</v>
      </c>
      <c r="BS82" t="str">
        <f>HYPERLINK("https%3A%2F%2Fwww.webofscience.com%2Fwos%2Fwoscc%2Ffull-record%2FWOS:000761467400001","View Full Record in Web of Science")</f>
        <v>View Full Record in Web of Science</v>
      </c>
    </row>
    <row r="83" spans="1:71" hidden="1" x14ac:dyDescent="0.2">
      <c r="A83" t="s">
        <v>70</v>
      </c>
      <c r="B83" t="s">
        <v>11753</v>
      </c>
      <c r="C83" t="s">
        <v>72</v>
      </c>
      <c r="D83" t="s">
        <v>72</v>
      </c>
      <c r="E83" t="s">
        <v>72</v>
      </c>
      <c r="F83" t="s">
        <v>11754</v>
      </c>
      <c r="G83" t="s">
        <v>72</v>
      </c>
      <c r="H83" t="s">
        <v>72</v>
      </c>
      <c r="I83" t="s">
        <v>11755</v>
      </c>
      <c r="J83" t="s">
        <v>11756</v>
      </c>
      <c r="K83" t="s">
        <v>72</v>
      </c>
      <c r="L83" t="s">
        <v>72</v>
      </c>
      <c r="M83" t="s">
        <v>76</v>
      </c>
      <c r="N83" t="s">
        <v>77</v>
      </c>
      <c r="O83" t="s">
        <v>72</v>
      </c>
      <c r="P83" t="s">
        <v>72</v>
      </c>
      <c r="Q83" t="s">
        <v>72</v>
      </c>
      <c r="R83" t="s">
        <v>72</v>
      </c>
      <c r="S83" t="s">
        <v>72</v>
      </c>
      <c r="T83" t="s">
        <v>11757</v>
      </c>
      <c r="U83" t="s">
        <v>11758</v>
      </c>
      <c r="V83" t="s">
        <v>11759</v>
      </c>
      <c r="W83" t="s">
        <v>11760</v>
      </c>
      <c r="X83" t="s">
        <v>11761</v>
      </c>
      <c r="Y83" t="s">
        <v>11762</v>
      </c>
      <c r="Z83" t="s">
        <v>72</v>
      </c>
      <c r="AA83" t="s">
        <v>11763</v>
      </c>
      <c r="AB83" t="s">
        <v>11764</v>
      </c>
      <c r="AC83" t="s">
        <v>72</v>
      </c>
      <c r="AD83" t="s">
        <v>72</v>
      </c>
      <c r="AE83" t="s">
        <v>72</v>
      </c>
      <c r="AF83" t="s">
        <v>72</v>
      </c>
      <c r="AG83">
        <v>139</v>
      </c>
      <c r="AH83">
        <v>9</v>
      </c>
      <c r="AI83">
        <v>9</v>
      </c>
      <c r="AJ83">
        <v>10</v>
      </c>
      <c r="AK83">
        <v>52</v>
      </c>
      <c r="AL83" t="s">
        <v>1260</v>
      </c>
      <c r="AM83" t="s">
        <v>964</v>
      </c>
      <c r="AN83" t="s">
        <v>965</v>
      </c>
      <c r="AO83" t="s">
        <v>11765</v>
      </c>
      <c r="AP83" t="s">
        <v>11766</v>
      </c>
      <c r="AQ83" t="s">
        <v>72</v>
      </c>
      <c r="AR83" t="s">
        <v>11767</v>
      </c>
      <c r="AS83" t="s">
        <v>11768</v>
      </c>
      <c r="AT83" t="s">
        <v>149</v>
      </c>
      <c r="AU83">
        <v>2020</v>
      </c>
      <c r="AV83">
        <v>56</v>
      </c>
      <c r="AW83">
        <v>2</v>
      </c>
      <c r="AX83" t="s">
        <v>72</v>
      </c>
      <c r="AY83" t="s">
        <v>72</v>
      </c>
      <c r="AZ83" t="s">
        <v>72</v>
      </c>
      <c r="BA83" t="s">
        <v>72</v>
      </c>
      <c r="BB83">
        <v>19</v>
      </c>
      <c r="BC83">
        <v>35</v>
      </c>
      <c r="BD83" t="s">
        <v>72</v>
      </c>
      <c r="BE83" t="s">
        <v>11769</v>
      </c>
      <c r="BF83" t="str">
        <f>HYPERLINK("http://dx.doi.org/10.1111/jscm.12222","http://dx.doi.org/10.1111/jscm.12222")</f>
        <v>http://dx.doi.org/10.1111/jscm.12222</v>
      </c>
      <c r="BG83" t="s">
        <v>72</v>
      </c>
      <c r="BH83" t="s">
        <v>72</v>
      </c>
      <c r="BI83">
        <v>17</v>
      </c>
      <c r="BJ83" t="s">
        <v>1350</v>
      </c>
      <c r="BK83" t="s">
        <v>152</v>
      </c>
      <c r="BL83" t="s">
        <v>11770</v>
      </c>
      <c r="BM83" t="s">
        <v>72</v>
      </c>
      <c r="BN83" t="s">
        <v>483</v>
      </c>
      <c r="BO83" t="s">
        <v>72</v>
      </c>
      <c r="BP83" t="s">
        <v>72</v>
      </c>
      <c r="BQ83" t="s">
        <v>100</v>
      </c>
      <c r="BR83" t="s">
        <v>11771</v>
      </c>
      <c r="BS83" t="str">
        <f>HYPERLINK("https%3A%2F%2Fwww.webofscience.com%2Fwos%2Fwoscc%2Ffull-record%2FWOS:000529232000003","View Full Record in Web of Science")</f>
        <v>View Full Record in Web of Science</v>
      </c>
    </row>
    <row r="84" spans="1:71" hidden="1" x14ac:dyDescent="0.2">
      <c r="A84" t="s">
        <v>70</v>
      </c>
      <c r="B84" t="s">
        <v>11989</v>
      </c>
      <c r="C84" t="s">
        <v>72</v>
      </c>
      <c r="D84" t="s">
        <v>72</v>
      </c>
      <c r="E84" t="s">
        <v>72</v>
      </c>
      <c r="F84" t="s">
        <v>11990</v>
      </c>
      <c r="G84" t="s">
        <v>72</v>
      </c>
      <c r="H84" t="s">
        <v>72</v>
      </c>
      <c r="I84" t="s">
        <v>11991</v>
      </c>
      <c r="J84" t="s">
        <v>2084</v>
      </c>
      <c r="K84" t="s">
        <v>72</v>
      </c>
      <c r="L84" t="s">
        <v>72</v>
      </c>
      <c r="M84" t="s">
        <v>76</v>
      </c>
      <c r="N84" t="s">
        <v>77</v>
      </c>
      <c r="O84" t="s">
        <v>72</v>
      </c>
      <c r="P84" t="s">
        <v>72</v>
      </c>
      <c r="Q84" t="s">
        <v>72</v>
      </c>
      <c r="R84" t="s">
        <v>72</v>
      </c>
      <c r="S84" t="s">
        <v>72</v>
      </c>
      <c r="T84" t="s">
        <v>11992</v>
      </c>
      <c r="U84" t="s">
        <v>11993</v>
      </c>
      <c r="V84" t="s">
        <v>11994</v>
      </c>
      <c r="W84" t="s">
        <v>11995</v>
      </c>
      <c r="X84" t="s">
        <v>11996</v>
      </c>
      <c r="Y84" t="s">
        <v>11997</v>
      </c>
      <c r="Z84" t="s">
        <v>11998</v>
      </c>
      <c r="AA84" t="s">
        <v>72</v>
      </c>
      <c r="AB84" t="s">
        <v>72</v>
      </c>
      <c r="AC84" t="s">
        <v>72</v>
      </c>
      <c r="AD84" t="s">
        <v>72</v>
      </c>
      <c r="AE84" t="s">
        <v>72</v>
      </c>
      <c r="AF84" t="s">
        <v>72</v>
      </c>
      <c r="AG84">
        <v>78</v>
      </c>
      <c r="AH84">
        <v>45</v>
      </c>
      <c r="AI84">
        <v>45</v>
      </c>
      <c r="AJ84">
        <v>6</v>
      </c>
      <c r="AK84">
        <v>67</v>
      </c>
      <c r="AL84" t="s">
        <v>1698</v>
      </c>
      <c r="AM84" t="s">
        <v>707</v>
      </c>
      <c r="AN84" t="s">
        <v>1699</v>
      </c>
      <c r="AO84" t="s">
        <v>2092</v>
      </c>
      <c r="AP84" t="s">
        <v>2093</v>
      </c>
      <c r="AQ84" t="s">
        <v>72</v>
      </c>
      <c r="AR84" t="s">
        <v>2094</v>
      </c>
      <c r="AS84" t="s">
        <v>2095</v>
      </c>
      <c r="AT84" t="s">
        <v>149</v>
      </c>
      <c r="AU84">
        <v>2020</v>
      </c>
      <c r="AV84">
        <v>86</v>
      </c>
      <c r="AW84" t="s">
        <v>72</v>
      </c>
      <c r="AX84" t="s">
        <v>72</v>
      </c>
      <c r="AY84" t="s">
        <v>72</v>
      </c>
      <c r="AZ84" t="s">
        <v>72</v>
      </c>
      <c r="BA84" t="s">
        <v>72</v>
      </c>
      <c r="BB84" t="s">
        <v>72</v>
      </c>
      <c r="BC84" t="s">
        <v>72</v>
      </c>
      <c r="BD84" t="s">
        <v>72</v>
      </c>
      <c r="BE84" t="s">
        <v>11999</v>
      </c>
      <c r="BF84" t="str">
        <f>HYPERLINK("http://dx.doi.org/10.1016/j.indmarman.2019.02.021","http://dx.doi.org/10.1016/j.indmarman.2019.02.021")</f>
        <v>http://dx.doi.org/10.1016/j.indmarman.2019.02.021</v>
      </c>
      <c r="BG84" t="s">
        <v>72</v>
      </c>
      <c r="BH84" t="s">
        <v>72</v>
      </c>
      <c r="BI84">
        <v>10</v>
      </c>
      <c r="BJ84" t="s">
        <v>2097</v>
      </c>
      <c r="BK84" t="s">
        <v>152</v>
      </c>
      <c r="BL84" t="s">
        <v>12000</v>
      </c>
      <c r="BM84" t="s">
        <v>72</v>
      </c>
      <c r="BN84" t="s">
        <v>72</v>
      </c>
      <c r="BO84" t="s">
        <v>72</v>
      </c>
      <c r="BP84" t="s">
        <v>72</v>
      </c>
      <c r="BQ84" t="s">
        <v>100</v>
      </c>
      <c r="BR84" t="s">
        <v>12001</v>
      </c>
      <c r="BS84" t="str">
        <f>HYPERLINK("https%3A%2F%2Fwww.webofscience.com%2Fwos%2Fwoscc%2Ffull-record%2FWOS:000527937700004","View Full Record in Web of Science")</f>
        <v>View Full Record in Web of Science</v>
      </c>
    </row>
    <row r="85" spans="1:71" hidden="1" x14ac:dyDescent="0.2">
      <c r="A85" t="s">
        <v>70</v>
      </c>
      <c r="B85" t="s">
        <v>12038</v>
      </c>
      <c r="C85" t="s">
        <v>72</v>
      </c>
      <c r="D85" t="s">
        <v>72</v>
      </c>
      <c r="E85" t="s">
        <v>72</v>
      </c>
      <c r="F85" t="s">
        <v>12039</v>
      </c>
      <c r="G85" t="s">
        <v>72</v>
      </c>
      <c r="H85" t="s">
        <v>72</v>
      </c>
      <c r="I85" t="s">
        <v>12040</v>
      </c>
      <c r="J85" t="s">
        <v>12041</v>
      </c>
      <c r="K85" t="s">
        <v>72</v>
      </c>
      <c r="L85" t="s">
        <v>72</v>
      </c>
      <c r="M85" t="s">
        <v>76</v>
      </c>
      <c r="N85" t="s">
        <v>352</v>
      </c>
      <c r="O85" t="s">
        <v>72</v>
      </c>
      <c r="P85" t="s">
        <v>72</v>
      </c>
      <c r="Q85" t="s">
        <v>72</v>
      </c>
      <c r="R85" t="s">
        <v>72</v>
      </c>
      <c r="S85" t="s">
        <v>72</v>
      </c>
      <c r="T85" t="s">
        <v>12042</v>
      </c>
      <c r="U85" t="s">
        <v>12043</v>
      </c>
      <c r="V85" t="s">
        <v>12044</v>
      </c>
      <c r="W85" t="s">
        <v>12045</v>
      </c>
      <c r="X85" t="s">
        <v>12046</v>
      </c>
      <c r="Y85" t="s">
        <v>12047</v>
      </c>
      <c r="Z85" t="s">
        <v>12048</v>
      </c>
      <c r="AA85" t="s">
        <v>72</v>
      </c>
      <c r="AB85" t="s">
        <v>12049</v>
      </c>
      <c r="AC85" t="s">
        <v>12050</v>
      </c>
      <c r="AD85" t="s">
        <v>12051</v>
      </c>
      <c r="AE85" t="s">
        <v>12052</v>
      </c>
      <c r="AF85" t="s">
        <v>72</v>
      </c>
      <c r="AG85">
        <v>134</v>
      </c>
      <c r="AH85">
        <v>0</v>
      </c>
      <c r="AI85">
        <v>0</v>
      </c>
      <c r="AJ85">
        <v>34</v>
      </c>
      <c r="AK85">
        <v>77</v>
      </c>
      <c r="AL85" t="s">
        <v>5863</v>
      </c>
      <c r="AM85" t="s">
        <v>5864</v>
      </c>
      <c r="AN85" t="s">
        <v>5865</v>
      </c>
      <c r="AO85" t="s">
        <v>12053</v>
      </c>
      <c r="AP85" t="s">
        <v>72</v>
      </c>
      <c r="AQ85" t="s">
        <v>72</v>
      </c>
      <c r="AR85" t="s">
        <v>12054</v>
      </c>
      <c r="AS85" t="s">
        <v>12055</v>
      </c>
      <c r="AT85" t="s">
        <v>72</v>
      </c>
      <c r="AU85" t="s">
        <v>72</v>
      </c>
      <c r="AV85" t="s">
        <v>72</v>
      </c>
      <c r="AW85" t="s">
        <v>72</v>
      </c>
      <c r="AX85" t="s">
        <v>72</v>
      </c>
      <c r="AY85" t="s">
        <v>72</v>
      </c>
      <c r="AZ85" t="s">
        <v>72</v>
      </c>
      <c r="BA85" t="s">
        <v>72</v>
      </c>
      <c r="BB85" t="s">
        <v>72</v>
      </c>
      <c r="BC85" t="s">
        <v>72</v>
      </c>
      <c r="BD85" t="s">
        <v>72</v>
      </c>
      <c r="BE85" t="s">
        <v>12056</v>
      </c>
      <c r="BF85" t="str">
        <f>HYPERLINK("http://dx.doi.org/10.1287/orsc.2021.1530","http://dx.doi.org/10.1287/orsc.2021.1530")</f>
        <v>http://dx.doi.org/10.1287/orsc.2021.1530</v>
      </c>
      <c r="BG85" t="s">
        <v>72</v>
      </c>
      <c r="BH85" t="s">
        <v>1288</v>
      </c>
      <c r="BI85">
        <v>23</v>
      </c>
      <c r="BJ85" t="s">
        <v>1350</v>
      </c>
      <c r="BK85" t="s">
        <v>152</v>
      </c>
      <c r="BL85" t="s">
        <v>12057</v>
      </c>
      <c r="BM85" t="s">
        <v>72</v>
      </c>
      <c r="BN85" t="s">
        <v>559</v>
      </c>
      <c r="BO85" t="s">
        <v>72</v>
      </c>
      <c r="BP85" t="s">
        <v>72</v>
      </c>
      <c r="BQ85" t="s">
        <v>100</v>
      </c>
      <c r="BR85" t="s">
        <v>12058</v>
      </c>
      <c r="BS85" t="str">
        <f>HYPERLINK("https%3A%2F%2Fwww.webofscience.com%2Fwos%2Fwoscc%2Ffull-record%2FWOS:000735597600001","View Full Record in Web of Science")</f>
        <v>View Full Record in Web of Science</v>
      </c>
    </row>
    <row r="86" spans="1:71" hidden="1" x14ac:dyDescent="0.2">
      <c r="A86" t="s">
        <v>70</v>
      </c>
      <c r="B86" t="s">
        <v>12581</v>
      </c>
      <c r="C86" t="s">
        <v>72</v>
      </c>
      <c r="D86" t="s">
        <v>72</v>
      </c>
      <c r="E86" t="s">
        <v>72</v>
      </c>
      <c r="F86" t="s">
        <v>12582</v>
      </c>
      <c r="G86" t="s">
        <v>72</v>
      </c>
      <c r="H86" t="s">
        <v>72</v>
      </c>
      <c r="I86" t="s">
        <v>12583</v>
      </c>
      <c r="J86" t="s">
        <v>3972</v>
      </c>
      <c r="K86" t="s">
        <v>72</v>
      </c>
      <c r="L86" t="s">
        <v>72</v>
      </c>
      <c r="M86" t="s">
        <v>76</v>
      </c>
      <c r="N86" t="s">
        <v>77</v>
      </c>
      <c r="O86" t="s">
        <v>72</v>
      </c>
      <c r="P86" t="s">
        <v>72</v>
      </c>
      <c r="Q86" t="s">
        <v>72</v>
      </c>
      <c r="R86" t="s">
        <v>72</v>
      </c>
      <c r="S86" t="s">
        <v>72</v>
      </c>
      <c r="T86" t="s">
        <v>12584</v>
      </c>
      <c r="U86" t="s">
        <v>12585</v>
      </c>
      <c r="V86" t="s">
        <v>12586</v>
      </c>
      <c r="W86" t="s">
        <v>12587</v>
      </c>
      <c r="X86" t="s">
        <v>12588</v>
      </c>
      <c r="Y86" t="s">
        <v>12589</v>
      </c>
      <c r="Z86" t="s">
        <v>12590</v>
      </c>
      <c r="AA86" t="s">
        <v>12591</v>
      </c>
      <c r="AB86" t="s">
        <v>12592</v>
      </c>
      <c r="AC86" t="s">
        <v>12593</v>
      </c>
      <c r="AD86" t="s">
        <v>12594</v>
      </c>
      <c r="AE86" t="s">
        <v>12595</v>
      </c>
      <c r="AF86" t="s">
        <v>72</v>
      </c>
      <c r="AG86">
        <v>74</v>
      </c>
      <c r="AH86">
        <v>18</v>
      </c>
      <c r="AI86">
        <v>21</v>
      </c>
      <c r="AJ86">
        <v>1</v>
      </c>
      <c r="AK86">
        <v>39</v>
      </c>
      <c r="AL86" t="s">
        <v>924</v>
      </c>
      <c r="AM86" t="s">
        <v>168</v>
      </c>
      <c r="AN86" t="s">
        <v>925</v>
      </c>
      <c r="AO86" t="s">
        <v>3980</v>
      </c>
      <c r="AP86" t="s">
        <v>3981</v>
      </c>
      <c r="AQ86" t="s">
        <v>72</v>
      </c>
      <c r="AR86" t="s">
        <v>3982</v>
      </c>
      <c r="AS86" t="s">
        <v>3983</v>
      </c>
      <c r="AT86" t="s">
        <v>1602</v>
      </c>
      <c r="AU86">
        <v>2017</v>
      </c>
      <c r="AV86">
        <v>24</v>
      </c>
      <c r="AW86" t="s">
        <v>72</v>
      </c>
      <c r="AX86" t="s">
        <v>72</v>
      </c>
      <c r="AY86" t="s">
        <v>72</v>
      </c>
      <c r="AZ86" t="s">
        <v>72</v>
      </c>
      <c r="BA86" t="s">
        <v>72</v>
      </c>
      <c r="BB86">
        <v>15</v>
      </c>
      <c r="BC86">
        <v>31</v>
      </c>
      <c r="BD86" t="s">
        <v>72</v>
      </c>
      <c r="BE86" t="s">
        <v>12596</v>
      </c>
      <c r="BF86" t="str">
        <f>HYPERLINK("http://dx.doi.org/10.1016/j.accinf.2016.12.003","http://dx.doi.org/10.1016/j.accinf.2016.12.003")</f>
        <v>http://dx.doi.org/10.1016/j.accinf.2016.12.003</v>
      </c>
      <c r="BG86" t="s">
        <v>72</v>
      </c>
      <c r="BH86" t="s">
        <v>72</v>
      </c>
      <c r="BI86">
        <v>17</v>
      </c>
      <c r="BJ86" t="s">
        <v>3985</v>
      </c>
      <c r="BK86" t="s">
        <v>152</v>
      </c>
      <c r="BL86" t="s">
        <v>12597</v>
      </c>
      <c r="BM86" t="s">
        <v>72</v>
      </c>
      <c r="BN86" t="s">
        <v>251</v>
      </c>
      <c r="BO86" t="s">
        <v>72</v>
      </c>
      <c r="BP86" t="s">
        <v>72</v>
      </c>
      <c r="BQ86" t="s">
        <v>100</v>
      </c>
      <c r="BR86" t="s">
        <v>12598</v>
      </c>
      <c r="BS86" t="str">
        <f>HYPERLINK("https%3A%2F%2Fwww.webofscience.com%2Fwos%2Fwoscc%2Ffull-record%2FWOS:000396971800002","View Full Record in Web of Science")</f>
        <v>View Full Record in Web of Science</v>
      </c>
    </row>
    <row r="87" spans="1:71" hidden="1" x14ac:dyDescent="0.2">
      <c r="A87" t="s">
        <v>70</v>
      </c>
      <c r="B87" t="s">
        <v>12599</v>
      </c>
      <c r="C87" t="s">
        <v>72</v>
      </c>
      <c r="D87" t="s">
        <v>72</v>
      </c>
      <c r="E87" t="s">
        <v>72</v>
      </c>
      <c r="F87" t="s">
        <v>12600</v>
      </c>
      <c r="G87" t="s">
        <v>72</v>
      </c>
      <c r="H87" t="s">
        <v>72</v>
      </c>
      <c r="I87" t="s">
        <v>12601</v>
      </c>
      <c r="J87" t="s">
        <v>12602</v>
      </c>
      <c r="K87" t="s">
        <v>72</v>
      </c>
      <c r="L87" t="s">
        <v>72</v>
      </c>
      <c r="M87" t="s">
        <v>76</v>
      </c>
      <c r="N87" t="s">
        <v>77</v>
      </c>
      <c r="O87" t="s">
        <v>72</v>
      </c>
      <c r="P87" t="s">
        <v>72</v>
      </c>
      <c r="Q87" t="s">
        <v>72</v>
      </c>
      <c r="R87" t="s">
        <v>72</v>
      </c>
      <c r="S87" t="s">
        <v>72</v>
      </c>
      <c r="T87" t="s">
        <v>12603</v>
      </c>
      <c r="U87" t="s">
        <v>12604</v>
      </c>
      <c r="V87" t="s">
        <v>12605</v>
      </c>
      <c r="W87" t="s">
        <v>12606</v>
      </c>
      <c r="X87" t="s">
        <v>12607</v>
      </c>
      <c r="Y87" t="s">
        <v>12608</v>
      </c>
      <c r="Z87" t="s">
        <v>12609</v>
      </c>
      <c r="AA87" t="s">
        <v>12610</v>
      </c>
      <c r="AB87" t="s">
        <v>12611</v>
      </c>
      <c r="AC87" t="s">
        <v>72</v>
      </c>
      <c r="AD87" t="s">
        <v>72</v>
      </c>
      <c r="AE87" t="s">
        <v>72</v>
      </c>
      <c r="AF87" t="s">
        <v>72</v>
      </c>
      <c r="AG87">
        <v>78</v>
      </c>
      <c r="AH87">
        <v>29</v>
      </c>
      <c r="AI87">
        <v>30</v>
      </c>
      <c r="AJ87">
        <v>3</v>
      </c>
      <c r="AK87">
        <v>62</v>
      </c>
      <c r="AL87" t="s">
        <v>1165</v>
      </c>
      <c r="AM87" t="s">
        <v>1166</v>
      </c>
      <c r="AN87" t="s">
        <v>1167</v>
      </c>
      <c r="AO87" t="s">
        <v>12612</v>
      </c>
      <c r="AP87" t="s">
        <v>12613</v>
      </c>
      <c r="AQ87" t="s">
        <v>72</v>
      </c>
      <c r="AR87" t="s">
        <v>12614</v>
      </c>
      <c r="AS87" t="s">
        <v>12615</v>
      </c>
      <c r="AT87" t="s">
        <v>72</v>
      </c>
      <c r="AU87">
        <v>2017</v>
      </c>
      <c r="AV87">
        <v>30</v>
      </c>
      <c r="AW87">
        <v>2</v>
      </c>
      <c r="AX87" t="s">
        <v>72</v>
      </c>
      <c r="AY87" t="s">
        <v>72</v>
      </c>
      <c r="AZ87" t="s">
        <v>72</v>
      </c>
      <c r="BA87" t="s">
        <v>72</v>
      </c>
      <c r="BB87">
        <v>404</v>
      </c>
      <c r="BC87">
        <v>432</v>
      </c>
      <c r="BD87" t="s">
        <v>72</v>
      </c>
      <c r="BE87" t="s">
        <v>12616</v>
      </c>
      <c r="BF87" t="str">
        <f>HYPERLINK("http://dx.doi.org/10.1108/AAAJ-01-2015-1916","http://dx.doi.org/10.1108/AAAJ-01-2015-1916")</f>
        <v>http://dx.doi.org/10.1108/AAAJ-01-2015-1916</v>
      </c>
      <c r="BG87" t="s">
        <v>72</v>
      </c>
      <c r="BH87" t="s">
        <v>72</v>
      </c>
      <c r="BI87">
        <v>29</v>
      </c>
      <c r="BJ87" t="s">
        <v>2723</v>
      </c>
      <c r="BK87" t="s">
        <v>152</v>
      </c>
      <c r="BL87" t="s">
        <v>12617</v>
      </c>
      <c r="BM87" t="s">
        <v>72</v>
      </c>
      <c r="BN87" t="s">
        <v>559</v>
      </c>
      <c r="BO87" t="s">
        <v>72</v>
      </c>
      <c r="BP87" t="s">
        <v>72</v>
      </c>
      <c r="BQ87" t="s">
        <v>100</v>
      </c>
      <c r="BR87" t="s">
        <v>12618</v>
      </c>
      <c r="BS87" t="str">
        <f>HYPERLINK("https%3A%2F%2Fwww.webofscience.com%2Fwos%2Fwoscc%2Ffull-record%2FWOS:000398113700008","View Full Record in Web of Science")</f>
        <v>View Full Record in Web of Science</v>
      </c>
    </row>
    <row r="88" spans="1:71" hidden="1" x14ac:dyDescent="0.2">
      <c r="A88" t="s">
        <v>70</v>
      </c>
      <c r="B88" t="s">
        <v>13222</v>
      </c>
      <c r="C88" t="s">
        <v>72</v>
      </c>
      <c r="D88" t="s">
        <v>72</v>
      </c>
      <c r="E88" t="s">
        <v>72</v>
      </c>
      <c r="F88" t="s">
        <v>13223</v>
      </c>
      <c r="G88" t="s">
        <v>72</v>
      </c>
      <c r="H88" t="s">
        <v>72</v>
      </c>
      <c r="I88" t="s">
        <v>13224</v>
      </c>
      <c r="J88" t="s">
        <v>13225</v>
      </c>
      <c r="K88" t="s">
        <v>72</v>
      </c>
      <c r="L88" t="s">
        <v>72</v>
      </c>
      <c r="M88" t="s">
        <v>76</v>
      </c>
      <c r="N88" t="s">
        <v>77</v>
      </c>
      <c r="O88" t="s">
        <v>72</v>
      </c>
      <c r="P88" t="s">
        <v>72</v>
      </c>
      <c r="Q88" t="s">
        <v>72</v>
      </c>
      <c r="R88" t="s">
        <v>72</v>
      </c>
      <c r="S88" t="s">
        <v>72</v>
      </c>
      <c r="T88" t="s">
        <v>13226</v>
      </c>
      <c r="U88" t="s">
        <v>13227</v>
      </c>
      <c r="V88" t="s">
        <v>13228</v>
      </c>
      <c r="W88" t="s">
        <v>13229</v>
      </c>
      <c r="X88" t="s">
        <v>13230</v>
      </c>
      <c r="Y88" t="s">
        <v>13231</v>
      </c>
      <c r="Z88" t="s">
        <v>13232</v>
      </c>
      <c r="AA88" t="s">
        <v>13233</v>
      </c>
      <c r="AB88" t="s">
        <v>13234</v>
      </c>
      <c r="AC88" t="s">
        <v>72</v>
      </c>
      <c r="AD88" t="s">
        <v>72</v>
      </c>
      <c r="AE88" t="s">
        <v>72</v>
      </c>
      <c r="AF88" t="s">
        <v>72</v>
      </c>
      <c r="AG88">
        <v>48</v>
      </c>
      <c r="AH88">
        <v>4</v>
      </c>
      <c r="AI88">
        <v>4</v>
      </c>
      <c r="AJ88">
        <v>1</v>
      </c>
      <c r="AK88">
        <v>35</v>
      </c>
      <c r="AL88" t="s">
        <v>1165</v>
      </c>
      <c r="AM88" t="s">
        <v>1166</v>
      </c>
      <c r="AN88" t="s">
        <v>1167</v>
      </c>
      <c r="AO88" t="s">
        <v>13235</v>
      </c>
      <c r="AP88" t="s">
        <v>13236</v>
      </c>
      <c r="AQ88" t="s">
        <v>72</v>
      </c>
      <c r="AR88" t="s">
        <v>13237</v>
      </c>
      <c r="AS88" t="s">
        <v>13238</v>
      </c>
      <c r="AT88" t="s">
        <v>72</v>
      </c>
      <c r="AU88">
        <v>2014</v>
      </c>
      <c r="AV88">
        <v>52</v>
      </c>
      <c r="AW88">
        <v>10</v>
      </c>
      <c r="AX88" t="s">
        <v>72</v>
      </c>
      <c r="AY88" t="s">
        <v>72</v>
      </c>
      <c r="AZ88" t="s">
        <v>72</v>
      </c>
      <c r="BA88" t="s">
        <v>72</v>
      </c>
      <c r="BB88">
        <v>1952</v>
      </c>
      <c r="BC88">
        <v>1967</v>
      </c>
      <c r="BD88" t="s">
        <v>72</v>
      </c>
      <c r="BE88" t="s">
        <v>13239</v>
      </c>
      <c r="BF88" t="str">
        <f>HYPERLINK("http://dx.doi.org/10.1108/MD-02-2014-0055","http://dx.doi.org/10.1108/MD-02-2014-0055")</f>
        <v>http://dx.doi.org/10.1108/MD-02-2014-0055</v>
      </c>
      <c r="BG88" t="s">
        <v>72</v>
      </c>
      <c r="BH88" t="s">
        <v>72</v>
      </c>
      <c r="BI88">
        <v>16</v>
      </c>
      <c r="BJ88" t="s">
        <v>2097</v>
      </c>
      <c r="BK88" t="s">
        <v>152</v>
      </c>
      <c r="BL88" t="s">
        <v>13240</v>
      </c>
      <c r="BM88" t="s">
        <v>72</v>
      </c>
      <c r="BN88" t="s">
        <v>72</v>
      </c>
      <c r="BO88" t="s">
        <v>72</v>
      </c>
      <c r="BP88" t="s">
        <v>72</v>
      </c>
      <c r="BQ88" t="s">
        <v>100</v>
      </c>
      <c r="BR88" t="s">
        <v>13241</v>
      </c>
      <c r="BS88" t="str">
        <f>HYPERLINK("https%3A%2F%2Fwww.webofscience.com%2Fwos%2Fwoscc%2Ffull-record%2FWOS:000348347700005","View Full Record in Web of Science")</f>
        <v>View Full Record in Web of Science</v>
      </c>
    </row>
    <row r="89" spans="1:71" hidden="1" x14ac:dyDescent="0.2">
      <c r="A89" t="s">
        <v>70</v>
      </c>
      <c r="B89" t="s">
        <v>13699</v>
      </c>
      <c r="C89" t="s">
        <v>72</v>
      </c>
      <c r="D89" t="s">
        <v>72</v>
      </c>
      <c r="E89" t="s">
        <v>72</v>
      </c>
      <c r="F89" t="s">
        <v>13700</v>
      </c>
      <c r="G89" t="s">
        <v>72</v>
      </c>
      <c r="H89" t="s">
        <v>72</v>
      </c>
      <c r="I89" t="s">
        <v>13701</v>
      </c>
      <c r="J89" t="s">
        <v>13702</v>
      </c>
      <c r="K89" t="s">
        <v>72</v>
      </c>
      <c r="L89" t="s">
        <v>72</v>
      </c>
      <c r="M89" t="s">
        <v>76</v>
      </c>
      <c r="N89" t="s">
        <v>77</v>
      </c>
      <c r="O89" t="s">
        <v>72</v>
      </c>
      <c r="P89" t="s">
        <v>72</v>
      </c>
      <c r="Q89" t="s">
        <v>72</v>
      </c>
      <c r="R89" t="s">
        <v>72</v>
      </c>
      <c r="S89" t="s">
        <v>72</v>
      </c>
      <c r="T89" t="s">
        <v>13703</v>
      </c>
      <c r="U89" t="s">
        <v>13704</v>
      </c>
      <c r="V89" t="s">
        <v>13705</v>
      </c>
      <c r="W89" t="s">
        <v>13706</v>
      </c>
      <c r="X89" t="s">
        <v>13707</v>
      </c>
      <c r="Y89" t="s">
        <v>13708</v>
      </c>
      <c r="Z89" t="s">
        <v>13709</v>
      </c>
      <c r="AA89" t="s">
        <v>13710</v>
      </c>
      <c r="AB89" t="s">
        <v>13711</v>
      </c>
      <c r="AC89" t="s">
        <v>72</v>
      </c>
      <c r="AD89" t="s">
        <v>72</v>
      </c>
      <c r="AE89" t="s">
        <v>72</v>
      </c>
      <c r="AF89" t="s">
        <v>72</v>
      </c>
      <c r="AG89">
        <v>108</v>
      </c>
      <c r="AH89">
        <v>1</v>
      </c>
      <c r="AI89">
        <v>1</v>
      </c>
      <c r="AJ89">
        <v>5</v>
      </c>
      <c r="AK89">
        <v>12</v>
      </c>
      <c r="AL89" t="s">
        <v>1165</v>
      </c>
      <c r="AM89" t="s">
        <v>1166</v>
      </c>
      <c r="AN89" t="s">
        <v>1167</v>
      </c>
      <c r="AO89" t="s">
        <v>13712</v>
      </c>
      <c r="AP89" t="s">
        <v>72</v>
      </c>
      <c r="AQ89" t="s">
        <v>72</v>
      </c>
      <c r="AR89" t="s">
        <v>13713</v>
      </c>
      <c r="AS89" t="s">
        <v>13714</v>
      </c>
      <c r="AT89" t="s">
        <v>13715</v>
      </c>
      <c r="AU89">
        <v>2022</v>
      </c>
      <c r="AV89">
        <v>32</v>
      </c>
      <c r="AW89">
        <v>2</v>
      </c>
      <c r="AX89" t="s">
        <v>72</v>
      </c>
      <c r="AY89" t="s">
        <v>72</v>
      </c>
      <c r="AZ89" t="s">
        <v>478</v>
      </c>
      <c r="BA89" t="s">
        <v>72</v>
      </c>
      <c r="BB89">
        <v>323</v>
      </c>
      <c r="BC89">
        <v>351</v>
      </c>
      <c r="BD89" t="s">
        <v>72</v>
      </c>
      <c r="BE89" t="s">
        <v>13716</v>
      </c>
      <c r="BF89" t="str">
        <f>HYPERLINK("http://dx.doi.org/10.1108/JSTP-08-2021-0184","http://dx.doi.org/10.1108/JSTP-08-2021-0184")</f>
        <v>http://dx.doi.org/10.1108/JSTP-08-2021-0184</v>
      </c>
      <c r="BG89" t="s">
        <v>72</v>
      </c>
      <c r="BH89" t="s">
        <v>1212</v>
      </c>
      <c r="BI89">
        <v>29</v>
      </c>
      <c r="BJ89" t="s">
        <v>2097</v>
      </c>
      <c r="BK89" t="s">
        <v>152</v>
      </c>
      <c r="BL89" t="s">
        <v>13717</v>
      </c>
      <c r="BM89" t="s">
        <v>72</v>
      </c>
      <c r="BN89" t="s">
        <v>559</v>
      </c>
      <c r="BO89" t="s">
        <v>72</v>
      </c>
      <c r="BP89" t="s">
        <v>72</v>
      </c>
      <c r="BQ89" t="s">
        <v>100</v>
      </c>
      <c r="BR89" t="s">
        <v>13718</v>
      </c>
      <c r="BS89" t="str">
        <f>HYPERLINK("https%3A%2F%2Fwww.webofscience.com%2Fwos%2Fwoscc%2Ffull-record%2FWOS:000761563900001","View Full Record in Web of Science")</f>
        <v>View Full Record in Web of Science</v>
      </c>
    </row>
    <row r="90" spans="1:71" hidden="1" x14ac:dyDescent="0.2">
      <c r="A90" t="s">
        <v>70</v>
      </c>
      <c r="B90" t="s">
        <v>13990</v>
      </c>
      <c r="C90" t="s">
        <v>72</v>
      </c>
      <c r="D90" t="s">
        <v>72</v>
      </c>
      <c r="E90" t="s">
        <v>72</v>
      </c>
      <c r="F90" t="s">
        <v>13991</v>
      </c>
      <c r="G90" t="s">
        <v>72</v>
      </c>
      <c r="H90" t="s">
        <v>72</v>
      </c>
      <c r="I90" t="s">
        <v>13992</v>
      </c>
      <c r="J90" t="s">
        <v>13993</v>
      </c>
      <c r="K90" t="s">
        <v>72</v>
      </c>
      <c r="L90" t="s">
        <v>72</v>
      </c>
      <c r="M90" t="s">
        <v>76</v>
      </c>
      <c r="N90" t="s">
        <v>77</v>
      </c>
      <c r="O90" t="s">
        <v>72</v>
      </c>
      <c r="P90" t="s">
        <v>72</v>
      </c>
      <c r="Q90" t="s">
        <v>72</v>
      </c>
      <c r="R90" t="s">
        <v>72</v>
      </c>
      <c r="S90" t="s">
        <v>72</v>
      </c>
      <c r="T90" t="s">
        <v>13994</v>
      </c>
      <c r="U90" t="s">
        <v>13995</v>
      </c>
      <c r="V90" t="s">
        <v>13996</v>
      </c>
      <c r="W90" t="s">
        <v>13997</v>
      </c>
      <c r="X90" t="s">
        <v>13998</v>
      </c>
      <c r="Y90" t="s">
        <v>13999</v>
      </c>
      <c r="Z90" t="s">
        <v>14000</v>
      </c>
      <c r="AA90" t="s">
        <v>72</v>
      </c>
      <c r="AB90" t="s">
        <v>14001</v>
      </c>
      <c r="AC90" t="s">
        <v>72</v>
      </c>
      <c r="AD90" t="s">
        <v>72</v>
      </c>
      <c r="AE90" t="s">
        <v>72</v>
      </c>
      <c r="AF90" t="s">
        <v>72</v>
      </c>
      <c r="AG90">
        <v>78</v>
      </c>
      <c r="AH90">
        <v>2</v>
      </c>
      <c r="AI90">
        <v>2</v>
      </c>
      <c r="AJ90">
        <v>4</v>
      </c>
      <c r="AK90">
        <v>14</v>
      </c>
      <c r="AL90" t="s">
        <v>1461</v>
      </c>
      <c r="AM90" t="s">
        <v>1462</v>
      </c>
      <c r="AN90" t="s">
        <v>1463</v>
      </c>
      <c r="AO90" t="s">
        <v>14002</v>
      </c>
      <c r="AP90" t="s">
        <v>14003</v>
      </c>
      <c r="AQ90" t="s">
        <v>72</v>
      </c>
      <c r="AR90" t="s">
        <v>14004</v>
      </c>
      <c r="AS90" t="s">
        <v>14005</v>
      </c>
      <c r="AT90" t="s">
        <v>555</v>
      </c>
      <c r="AU90">
        <v>2021</v>
      </c>
      <c r="AV90">
        <v>19</v>
      </c>
      <c r="AW90">
        <v>1</v>
      </c>
      <c r="AX90" t="s">
        <v>72</v>
      </c>
      <c r="AY90" t="s">
        <v>72</v>
      </c>
      <c r="AZ90" t="s">
        <v>72</v>
      </c>
      <c r="BA90" t="s">
        <v>72</v>
      </c>
      <c r="BB90">
        <v>247</v>
      </c>
      <c r="BC90">
        <v>279</v>
      </c>
      <c r="BD90" t="s">
        <v>72</v>
      </c>
      <c r="BE90" t="s">
        <v>14006</v>
      </c>
      <c r="BF90" t="str">
        <f>HYPERLINK("http://dx.doi.org/10.1007/s10257-020-00490-4","http://dx.doi.org/10.1007/s10257-020-00490-4")</f>
        <v>http://dx.doi.org/10.1007/s10257-020-00490-4</v>
      </c>
      <c r="BG90" t="s">
        <v>72</v>
      </c>
      <c r="BH90" t="s">
        <v>3201</v>
      </c>
      <c r="BI90">
        <v>33</v>
      </c>
      <c r="BJ90" t="s">
        <v>2097</v>
      </c>
      <c r="BK90" t="s">
        <v>152</v>
      </c>
      <c r="BL90" t="s">
        <v>14007</v>
      </c>
      <c r="BM90" t="s">
        <v>72</v>
      </c>
      <c r="BN90" t="s">
        <v>72</v>
      </c>
      <c r="BO90" t="s">
        <v>72</v>
      </c>
      <c r="BP90" t="s">
        <v>72</v>
      </c>
      <c r="BQ90" t="s">
        <v>100</v>
      </c>
      <c r="BR90" t="s">
        <v>14008</v>
      </c>
      <c r="BS90" t="str">
        <f>HYPERLINK("https%3A%2F%2Fwww.webofscience.com%2Fwos%2Fwoscc%2Ffull-record%2FWOS:000604144000001","View Full Record in Web of Science")</f>
        <v>View Full Record in Web of Science</v>
      </c>
    </row>
    <row r="91" spans="1:71" hidden="1" x14ac:dyDescent="0.2">
      <c r="A91" t="s">
        <v>70</v>
      </c>
      <c r="B91" t="s">
        <v>14349</v>
      </c>
      <c r="C91" t="s">
        <v>72</v>
      </c>
      <c r="D91" t="s">
        <v>72</v>
      </c>
      <c r="E91" t="s">
        <v>72</v>
      </c>
      <c r="F91" t="s">
        <v>14350</v>
      </c>
      <c r="G91" t="s">
        <v>72</v>
      </c>
      <c r="H91" t="s">
        <v>72</v>
      </c>
      <c r="I91" t="s">
        <v>14351</v>
      </c>
      <c r="J91" t="s">
        <v>14352</v>
      </c>
      <c r="K91" t="s">
        <v>72</v>
      </c>
      <c r="L91" t="s">
        <v>72</v>
      </c>
      <c r="M91" t="s">
        <v>76</v>
      </c>
      <c r="N91" t="s">
        <v>77</v>
      </c>
      <c r="O91" t="s">
        <v>72</v>
      </c>
      <c r="P91" t="s">
        <v>72</v>
      </c>
      <c r="Q91" t="s">
        <v>72</v>
      </c>
      <c r="R91" t="s">
        <v>72</v>
      </c>
      <c r="S91" t="s">
        <v>72</v>
      </c>
      <c r="T91" t="s">
        <v>14353</v>
      </c>
      <c r="U91" t="s">
        <v>14354</v>
      </c>
      <c r="V91" t="s">
        <v>14355</v>
      </c>
      <c r="W91" t="s">
        <v>14356</v>
      </c>
      <c r="X91" t="s">
        <v>14357</v>
      </c>
      <c r="Y91" t="s">
        <v>14358</v>
      </c>
      <c r="Z91" t="s">
        <v>14359</v>
      </c>
      <c r="AA91" t="s">
        <v>72</v>
      </c>
      <c r="AB91" t="s">
        <v>72</v>
      </c>
      <c r="AC91" t="s">
        <v>72</v>
      </c>
      <c r="AD91" t="s">
        <v>72</v>
      </c>
      <c r="AE91" t="s">
        <v>72</v>
      </c>
      <c r="AF91" t="s">
        <v>72</v>
      </c>
      <c r="AG91">
        <v>48</v>
      </c>
      <c r="AH91">
        <v>0</v>
      </c>
      <c r="AI91">
        <v>0</v>
      </c>
      <c r="AJ91">
        <v>0</v>
      </c>
      <c r="AK91">
        <v>0</v>
      </c>
      <c r="AL91" t="s">
        <v>14360</v>
      </c>
      <c r="AM91" t="s">
        <v>14361</v>
      </c>
      <c r="AN91" t="s">
        <v>14362</v>
      </c>
      <c r="AO91" t="s">
        <v>14363</v>
      </c>
      <c r="AP91" t="s">
        <v>14364</v>
      </c>
      <c r="AQ91" t="s">
        <v>72</v>
      </c>
      <c r="AR91" t="s">
        <v>14365</v>
      </c>
      <c r="AS91" t="s">
        <v>14366</v>
      </c>
      <c r="AT91" t="s">
        <v>14367</v>
      </c>
      <c r="AU91">
        <v>2022</v>
      </c>
      <c r="AV91">
        <v>24</v>
      </c>
      <c r="AW91">
        <v>3</v>
      </c>
      <c r="AX91" t="s">
        <v>72</v>
      </c>
      <c r="AY91" t="s">
        <v>72</v>
      </c>
      <c r="AZ91" t="s">
        <v>72</v>
      </c>
      <c r="BA91" t="s">
        <v>72</v>
      </c>
      <c r="BB91">
        <v>439</v>
      </c>
      <c r="BC91">
        <v>457</v>
      </c>
      <c r="BD91" t="s">
        <v>72</v>
      </c>
      <c r="BE91" t="s">
        <v>14368</v>
      </c>
      <c r="BF91" t="str">
        <f>HYPERLINK("http://dx.doi.org/10.7819/rbgn.v24i3.4189","http://dx.doi.org/10.7819/rbgn.v24i3.4189")</f>
        <v>http://dx.doi.org/10.7819/rbgn.v24i3.4189</v>
      </c>
      <c r="BG91" t="s">
        <v>72</v>
      </c>
      <c r="BH91" t="s">
        <v>72</v>
      </c>
      <c r="BI91">
        <v>19</v>
      </c>
      <c r="BJ91" t="s">
        <v>2097</v>
      </c>
      <c r="BK91" t="s">
        <v>152</v>
      </c>
      <c r="BL91" t="s">
        <v>14369</v>
      </c>
      <c r="BM91" t="s">
        <v>72</v>
      </c>
      <c r="BN91" t="s">
        <v>222</v>
      </c>
      <c r="BO91" t="s">
        <v>72</v>
      </c>
      <c r="BP91" t="s">
        <v>72</v>
      </c>
      <c r="BQ91" t="s">
        <v>100</v>
      </c>
      <c r="BR91" t="s">
        <v>14370</v>
      </c>
      <c r="BS91" t="str">
        <f>HYPERLINK("https%3A%2F%2Fwww.webofscience.com%2Fwos%2Fwoscc%2Ffull-record%2FWOS:000879420000001","View Full Record in Web of Science")</f>
        <v>View Full Record in Web of Science</v>
      </c>
    </row>
    <row r="92" spans="1:71" hidden="1" x14ac:dyDescent="0.2">
      <c r="A92" t="s">
        <v>70</v>
      </c>
      <c r="B92" t="s">
        <v>14390</v>
      </c>
      <c r="C92" t="s">
        <v>72</v>
      </c>
      <c r="D92" t="s">
        <v>72</v>
      </c>
      <c r="E92" t="s">
        <v>72</v>
      </c>
      <c r="F92" t="s">
        <v>14391</v>
      </c>
      <c r="G92" t="s">
        <v>72</v>
      </c>
      <c r="H92" t="s">
        <v>72</v>
      </c>
      <c r="I92" t="s">
        <v>14392</v>
      </c>
      <c r="J92" t="s">
        <v>14393</v>
      </c>
      <c r="K92" t="s">
        <v>72</v>
      </c>
      <c r="L92" t="s">
        <v>72</v>
      </c>
      <c r="M92" t="s">
        <v>76</v>
      </c>
      <c r="N92" t="s">
        <v>77</v>
      </c>
      <c r="O92" t="s">
        <v>72</v>
      </c>
      <c r="P92" t="s">
        <v>72</v>
      </c>
      <c r="Q92" t="s">
        <v>72</v>
      </c>
      <c r="R92" t="s">
        <v>72</v>
      </c>
      <c r="S92" t="s">
        <v>72</v>
      </c>
      <c r="T92" t="s">
        <v>14394</v>
      </c>
      <c r="U92" t="s">
        <v>14395</v>
      </c>
      <c r="V92" t="s">
        <v>14396</v>
      </c>
      <c r="W92" t="s">
        <v>14397</v>
      </c>
      <c r="X92" t="s">
        <v>14398</v>
      </c>
      <c r="Y92" t="s">
        <v>14399</v>
      </c>
      <c r="Z92" t="s">
        <v>14400</v>
      </c>
      <c r="AA92" t="s">
        <v>14401</v>
      </c>
      <c r="AB92" t="s">
        <v>14402</v>
      </c>
      <c r="AC92" t="s">
        <v>14403</v>
      </c>
      <c r="AD92" t="s">
        <v>14403</v>
      </c>
      <c r="AE92" t="s">
        <v>14404</v>
      </c>
      <c r="AF92" t="s">
        <v>72</v>
      </c>
      <c r="AG92">
        <v>52</v>
      </c>
      <c r="AH92">
        <v>23</v>
      </c>
      <c r="AI92">
        <v>23</v>
      </c>
      <c r="AJ92">
        <v>3</v>
      </c>
      <c r="AK92">
        <v>18</v>
      </c>
      <c r="AL92" t="s">
        <v>1596</v>
      </c>
      <c r="AM92" t="s">
        <v>451</v>
      </c>
      <c r="AN92" t="s">
        <v>1597</v>
      </c>
      <c r="AO92" t="s">
        <v>14405</v>
      </c>
      <c r="AP92" t="s">
        <v>14406</v>
      </c>
      <c r="AQ92" t="s">
        <v>72</v>
      </c>
      <c r="AR92" t="s">
        <v>14407</v>
      </c>
      <c r="AS92" t="s">
        <v>14408</v>
      </c>
      <c r="AT92" t="s">
        <v>395</v>
      </c>
      <c r="AU92">
        <v>2020</v>
      </c>
      <c r="AV92">
        <v>26</v>
      </c>
      <c r="AW92">
        <v>4</v>
      </c>
      <c r="AX92" t="s">
        <v>72</v>
      </c>
      <c r="AY92" t="s">
        <v>72</v>
      </c>
      <c r="AZ92" t="s">
        <v>72</v>
      </c>
      <c r="BA92" t="s">
        <v>72</v>
      </c>
      <c r="BB92" t="s">
        <v>72</v>
      </c>
      <c r="BC92" t="s">
        <v>72</v>
      </c>
      <c r="BD92">
        <v>100627</v>
      </c>
      <c r="BE92" t="s">
        <v>14409</v>
      </c>
      <c r="BF92" t="str">
        <f>HYPERLINK("http://dx.doi.org/10.1016/j.pursup.2020.100627","http://dx.doi.org/10.1016/j.pursup.2020.100627")</f>
        <v>http://dx.doi.org/10.1016/j.pursup.2020.100627</v>
      </c>
      <c r="BG92" t="s">
        <v>72</v>
      </c>
      <c r="BH92" t="s">
        <v>72</v>
      </c>
      <c r="BI92">
        <v>9</v>
      </c>
      <c r="BJ92" t="s">
        <v>1350</v>
      </c>
      <c r="BK92" t="s">
        <v>152</v>
      </c>
      <c r="BL92" t="s">
        <v>14410</v>
      </c>
      <c r="BM92" t="s">
        <v>72</v>
      </c>
      <c r="BN92" t="s">
        <v>251</v>
      </c>
      <c r="BO92" t="s">
        <v>72</v>
      </c>
      <c r="BP92" t="s">
        <v>72</v>
      </c>
      <c r="BQ92" t="s">
        <v>100</v>
      </c>
      <c r="BR92" t="s">
        <v>14411</v>
      </c>
      <c r="BS92" t="str">
        <f>HYPERLINK("https%3A%2F%2Fwww.webofscience.com%2Fwos%2Fwoscc%2Ffull-record%2FWOS:000573633900002","View Full Record in Web of Science")</f>
        <v>View Full Record in Web of Science</v>
      </c>
    </row>
    <row r="93" spans="1:71" hidden="1" x14ac:dyDescent="0.2">
      <c r="A93" t="s">
        <v>70</v>
      </c>
      <c r="B93" t="s">
        <v>14686</v>
      </c>
      <c r="C93" t="s">
        <v>72</v>
      </c>
      <c r="D93" t="s">
        <v>72</v>
      </c>
      <c r="E93" t="s">
        <v>72</v>
      </c>
      <c r="F93" t="s">
        <v>14687</v>
      </c>
      <c r="G93" t="s">
        <v>72</v>
      </c>
      <c r="H93" t="s">
        <v>72</v>
      </c>
      <c r="I93" t="s">
        <v>14688</v>
      </c>
      <c r="J93" t="s">
        <v>14689</v>
      </c>
      <c r="K93" t="s">
        <v>72</v>
      </c>
      <c r="L93" t="s">
        <v>72</v>
      </c>
      <c r="M93" t="s">
        <v>76</v>
      </c>
      <c r="N93" t="s">
        <v>77</v>
      </c>
      <c r="O93" t="s">
        <v>72</v>
      </c>
      <c r="P93" t="s">
        <v>72</v>
      </c>
      <c r="Q93" t="s">
        <v>72</v>
      </c>
      <c r="R93" t="s">
        <v>72</v>
      </c>
      <c r="S93" t="s">
        <v>72</v>
      </c>
      <c r="T93" t="s">
        <v>14690</v>
      </c>
      <c r="U93" t="s">
        <v>14691</v>
      </c>
      <c r="V93" t="s">
        <v>14692</v>
      </c>
      <c r="W93" t="s">
        <v>14693</v>
      </c>
      <c r="X93" t="s">
        <v>14694</v>
      </c>
      <c r="Y93" t="s">
        <v>14695</v>
      </c>
      <c r="Z93" t="s">
        <v>14696</v>
      </c>
      <c r="AA93" t="s">
        <v>14697</v>
      </c>
      <c r="AB93" t="s">
        <v>14698</v>
      </c>
      <c r="AC93" t="s">
        <v>72</v>
      </c>
      <c r="AD93" t="s">
        <v>72</v>
      </c>
      <c r="AE93" t="s">
        <v>72</v>
      </c>
      <c r="AF93" t="s">
        <v>72</v>
      </c>
      <c r="AG93">
        <v>99</v>
      </c>
      <c r="AH93">
        <v>0</v>
      </c>
      <c r="AI93">
        <v>0</v>
      </c>
      <c r="AJ93">
        <v>0</v>
      </c>
      <c r="AK93">
        <v>8</v>
      </c>
      <c r="AL93" t="s">
        <v>2426</v>
      </c>
      <c r="AM93" t="s">
        <v>2427</v>
      </c>
      <c r="AN93" t="s">
        <v>2428</v>
      </c>
      <c r="AO93" t="s">
        <v>72</v>
      </c>
      <c r="AP93" t="s">
        <v>14699</v>
      </c>
      <c r="AQ93" t="s">
        <v>72</v>
      </c>
      <c r="AR93" t="s">
        <v>14689</v>
      </c>
      <c r="AS93" t="s">
        <v>14700</v>
      </c>
      <c r="AT93" t="s">
        <v>299</v>
      </c>
      <c r="AU93">
        <v>2021</v>
      </c>
      <c r="AV93">
        <v>9</v>
      </c>
      <c r="AW93">
        <v>2</v>
      </c>
      <c r="AX93" t="s">
        <v>72</v>
      </c>
      <c r="AY93" t="s">
        <v>72</v>
      </c>
      <c r="AZ93" t="s">
        <v>72</v>
      </c>
      <c r="BA93" t="s">
        <v>72</v>
      </c>
      <c r="BB93" t="s">
        <v>72</v>
      </c>
      <c r="BC93" t="s">
        <v>72</v>
      </c>
      <c r="BD93">
        <v>70</v>
      </c>
      <c r="BE93" t="s">
        <v>14701</v>
      </c>
      <c r="BF93" t="str">
        <f>HYPERLINK("http://dx.doi.org/10.3390/economies9020070","http://dx.doi.org/10.3390/economies9020070")</f>
        <v>http://dx.doi.org/10.3390/economies9020070</v>
      </c>
      <c r="BG93" t="s">
        <v>72</v>
      </c>
      <c r="BH93" t="s">
        <v>72</v>
      </c>
      <c r="BI93">
        <v>28</v>
      </c>
      <c r="BJ93" t="s">
        <v>6702</v>
      </c>
      <c r="BK93" t="s">
        <v>152</v>
      </c>
      <c r="BL93" t="s">
        <v>14702</v>
      </c>
      <c r="BM93" t="s">
        <v>72</v>
      </c>
      <c r="BN93" t="s">
        <v>1975</v>
      </c>
      <c r="BO93" t="s">
        <v>72</v>
      </c>
      <c r="BP93" t="s">
        <v>72</v>
      </c>
      <c r="BQ93" t="s">
        <v>100</v>
      </c>
      <c r="BR93" t="s">
        <v>14703</v>
      </c>
      <c r="BS93" t="str">
        <f>HYPERLINK("https%3A%2F%2Fwww.webofscience.com%2Fwos%2Fwoscc%2Ffull-record%2FWOS:000665182100001","View Full Record in Web of Science")</f>
        <v>View Full Record in Web of Science</v>
      </c>
    </row>
    <row r="94" spans="1:71" hidden="1" x14ac:dyDescent="0.2">
      <c r="A94" t="s">
        <v>70</v>
      </c>
      <c r="B94" t="s">
        <v>15031</v>
      </c>
      <c r="C94" t="s">
        <v>72</v>
      </c>
      <c r="D94" t="s">
        <v>72</v>
      </c>
      <c r="E94" t="s">
        <v>72</v>
      </c>
      <c r="F94" t="s">
        <v>15032</v>
      </c>
      <c r="G94" t="s">
        <v>72</v>
      </c>
      <c r="H94" t="s">
        <v>72</v>
      </c>
      <c r="I94" t="s">
        <v>15033</v>
      </c>
      <c r="J94" t="s">
        <v>15034</v>
      </c>
      <c r="K94" t="s">
        <v>72</v>
      </c>
      <c r="L94" t="s">
        <v>72</v>
      </c>
      <c r="M94" t="s">
        <v>76</v>
      </c>
      <c r="N94" t="s">
        <v>77</v>
      </c>
      <c r="O94" t="s">
        <v>72</v>
      </c>
      <c r="P94" t="s">
        <v>72</v>
      </c>
      <c r="Q94" t="s">
        <v>72</v>
      </c>
      <c r="R94" t="s">
        <v>72</v>
      </c>
      <c r="S94" t="s">
        <v>72</v>
      </c>
      <c r="T94" t="s">
        <v>15035</v>
      </c>
      <c r="U94" t="s">
        <v>15036</v>
      </c>
      <c r="V94" t="s">
        <v>15037</v>
      </c>
      <c r="W94" t="s">
        <v>15038</v>
      </c>
      <c r="X94" t="s">
        <v>15039</v>
      </c>
      <c r="Y94" t="s">
        <v>15040</v>
      </c>
      <c r="Z94" t="s">
        <v>72</v>
      </c>
      <c r="AA94" t="s">
        <v>72</v>
      </c>
      <c r="AB94" t="s">
        <v>15041</v>
      </c>
      <c r="AC94" t="s">
        <v>72</v>
      </c>
      <c r="AD94" t="s">
        <v>72</v>
      </c>
      <c r="AE94" t="s">
        <v>72</v>
      </c>
      <c r="AF94" t="s">
        <v>72</v>
      </c>
      <c r="AG94">
        <v>57</v>
      </c>
      <c r="AH94">
        <v>2</v>
      </c>
      <c r="AI94">
        <v>2</v>
      </c>
      <c r="AJ94">
        <v>7</v>
      </c>
      <c r="AK94">
        <v>26</v>
      </c>
      <c r="AL94" t="s">
        <v>879</v>
      </c>
      <c r="AM94" t="s">
        <v>451</v>
      </c>
      <c r="AN94" t="s">
        <v>880</v>
      </c>
      <c r="AO94" t="s">
        <v>15042</v>
      </c>
      <c r="AP94" t="s">
        <v>15043</v>
      </c>
      <c r="AQ94" t="s">
        <v>72</v>
      </c>
      <c r="AR94" t="s">
        <v>15044</v>
      </c>
      <c r="AS94" t="s">
        <v>15045</v>
      </c>
      <c r="AT94" t="s">
        <v>951</v>
      </c>
      <c r="AU94">
        <v>2020</v>
      </c>
      <c r="AV94">
        <v>24</v>
      </c>
      <c r="AW94">
        <v>6</v>
      </c>
      <c r="AX94" t="s">
        <v>72</v>
      </c>
      <c r="AY94" t="s">
        <v>72</v>
      </c>
      <c r="AZ94" t="s">
        <v>72</v>
      </c>
      <c r="BA94" t="s">
        <v>72</v>
      </c>
      <c r="BB94">
        <v>1313</v>
      </c>
      <c r="BC94">
        <v>1355</v>
      </c>
      <c r="BD94" t="s">
        <v>72</v>
      </c>
      <c r="BE94" t="s">
        <v>15046</v>
      </c>
      <c r="BF94" t="str">
        <f>HYPERLINK("http://dx.doi.org/10.1093/rof/rfaa007","http://dx.doi.org/10.1093/rof/rfaa007")</f>
        <v>http://dx.doi.org/10.1093/rof/rfaa007</v>
      </c>
      <c r="BG94" t="s">
        <v>72</v>
      </c>
      <c r="BH94" t="s">
        <v>72</v>
      </c>
      <c r="BI94">
        <v>43</v>
      </c>
      <c r="BJ94" t="s">
        <v>5305</v>
      </c>
      <c r="BK94" t="s">
        <v>152</v>
      </c>
      <c r="BL94" t="s">
        <v>15047</v>
      </c>
      <c r="BM94" t="s">
        <v>72</v>
      </c>
      <c r="BN94" t="s">
        <v>1128</v>
      </c>
      <c r="BO94" t="s">
        <v>72</v>
      </c>
      <c r="BP94" t="s">
        <v>72</v>
      </c>
      <c r="BQ94" t="s">
        <v>100</v>
      </c>
      <c r="BR94" t="s">
        <v>15048</v>
      </c>
      <c r="BS94" t="str">
        <f>HYPERLINK("https%3A%2F%2Fwww.webofscience.com%2Fwos%2Fwoscc%2Ffull-record%2FWOS:000593396600005","View Full Record in Web of Science")</f>
        <v>View Full Record in Web of Science</v>
      </c>
    </row>
    <row r="95" spans="1:71" hidden="1" x14ac:dyDescent="0.2">
      <c r="A95" t="s">
        <v>70</v>
      </c>
      <c r="B95" t="s">
        <v>15302</v>
      </c>
      <c r="C95" t="s">
        <v>72</v>
      </c>
      <c r="D95" t="s">
        <v>72</v>
      </c>
      <c r="E95" t="s">
        <v>72</v>
      </c>
      <c r="F95" t="s">
        <v>15303</v>
      </c>
      <c r="G95" t="s">
        <v>72</v>
      </c>
      <c r="H95" t="s">
        <v>72</v>
      </c>
      <c r="I95" t="s">
        <v>15304</v>
      </c>
      <c r="J95" t="s">
        <v>12041</v>
      </c>
      <c r="K95" t="s">
        <v>72</v>
      </c>
      <c r="L95" t="s">
        <v>72</v>
      </c>
      <c r="M95" t="s">
        <v>76</v>
      </c>
      <c r="N95" t="s">
        <v>77</v>
      </c>
      <c r="O95" t="s">
        <v>72</v>
      </c>
      <c r="P95" t="s">
        <v>72</v>
      </c>
      <c r="Q95" t="s">
        <v>72</v>
      </c>
      <c r="R95" t="s">
        <v>72</v>
      </c>
      <c r="S95" t="s">
        <v>72</v>
      </c>
      <c r="T95" t="s">
        <v>15305</v>
      </c>
      <c r="U95" t="s">
        <v>15306</v>
      </c>
      <c r="V95" t="s">
        <v>15307</v>
      </c>
      <c r="W95" t="s">
        <v>15308</v>
      </c>
      <c r="X95" t="s">
        <v>15309</v>
      </c>
      <c r="Y95" t="s">
        <v>15310</v>
      </c>
      <c r="Z95" t="s">
        <v>15311</v>
      </c>
      <c r="AA95" t="s">
        <v>15312</v>
      </c>
      <c r="AB95" t="s">
        <v>15313</v>
      </c>
      <c r="AC95" t="s">
        <v>15314</v>
      </c>
      <c r="AD95" t="s">
        <v>15315</v>
      </c>
      <c r="AE95" t="s">
        <v>15316</v>
      </c>
      <c r="AF95" t="s">
        <v>72</v>
      </c>
      <c r="AG95">
        <v>102</v>
      </c>
      <c r="AH95">
        <v>11</v>
      </c>
      <c r="AI95">
        <v>11</v>
      </c>
      <c r="AJ95">
        <v>37</v>
      </c>
      <c r="AK95">
        <v>91</v>
      </c>
      <c r="AL95" t="s">
        <v>5863</v>
      </c>
      <c r="AM95" t="s">
        <v>5864</v>
      </c>
      <c r="AN95" t="s">
        <v>5865</v>
      </c>
      <c r="AO95" t="s">
        <v>12053</v>
      </c>
      <c r="AP95" t="s">
        <v>72</v>
      </c>
      <c r="AQ95" t="s">
        <v>72</v>
      </c>
      <c r="AR95" t="s">
        <v>12054</v>
      </c>
      <c r="AS95" t="s">
        <v>12055</v>
      </c>
      <c r="AT95" t="s">
        <v>1286</v>
      </c>
      <c r="AU95">
        <v>2021</v>
      </c>
      <c r="AV95">
        <v>32</v>
      </c>
      <c r="AW95">
        <v>3</v>
      </c>
      <c r="AX95" t="s">
        <v>72</v>
      </c>
      <c r="AY95" t="s">
        <v>72</v>
      </c>
      <c r="AZ95" t="s">
        <v>72</v>
      </c>
      <c r="BA95" t="s">
        <v>72</v>
      </c>
      <c r="BB95">
        <v>752</v>
      </c>
      <c r="BC95">
        <v>775</v>
      </c>
      <c r="BD95" t="s">
        <v>72</v>
      </c>
      <c r="BE95" t="s">
        <v>15317</v>
      </c>
      <c r="BF95" t="str">
        <f>HYPERLINK("http://dx.doi.org/10.1287/orsc.2020.1364","http://dx.doi.org/10.1287/orsc.2020.1364")</f>
        <v>http://dx.doi.org/10.1287/orsc.2020.1364</v>
      </c>
      <c r="BG95" t="s">
        <v>72</v>
      </c>
      <c r="BH95" t="s">
        <v>72</v>
      </c>
      <c r="BI95">
        <v>24</v>
      </c>
      <c r="BJ95" t="s">
        <v>1350</v>
      </c>
      <c r="BK95" t="s">
        <v>152</v>
      </c>
      <c r="BL95" t="s">
        <v>15318</v>
      </c>
      <c r="BM95" t="s">
        <v>72</v>
      </c>
      <c r="BN95" t="s">
        <v>72</v>
      </c>
      <c r="BO95" t="s">
        <v>72</v>
      </c>
      <c r="BP95" t="s">
        <v>72</v>
      </c>
      <c r="BQ95" t="s">
        <v>100</v>
      </c>
      <c r="BR95" t="s">
        <v>15319</v>
      </c>
      <c r="BS95" t="str">
        <f>HYPERLINK("https%3A%2F%2Fwww.webofscience.com%2Fwos%2Fwoscc%2Ffull-record%2FWOS:000684377600011","View Full Record in Web of Science")</f>
        <v>View Full Record in Web of Science</v>
      </c>
    </row>
    <row r="96" spans="1:71" hidden="1" x14ac:dyDescent="0.2">
      <c r="A96" t="s">
        <v>70</v>
      </c>
      <c r="B96" t="s">
        <v>15335</v>
      </c>
      <c r="C96" t="s">
        <v>72</v>
      </c>
      <c r="D96" t="s">
        <v>72</v>
      </c>
      <c r="E96" t="s">
        <v>72</v>
      </c>
      <c r="F96" t="s">
        <v>15336</v>
      </c>
      <c r="G96" t="s">
        <v>72</v>
      </c>
      <c r="H96" t="s">
        <v>72</v>
      </c>
      <c r="I96" t="s">
        <v>15337</v>
      </c>
      <c r="J96" t="s">
        <v>3991</v>
      </c>
      <c r="K96" t="s">
        <v>72</v>
      </c>
      <c r="L96" t="s">
        <v>72</v>
      </c>
      <c r="M96" t="s">
        <v>76</v>
      </c>
      <c r="N96" t="s">
        <v>77</v>
      </c>
      <c r="O96" t="s">
        <v>72</v>
      </c>
      <c r="P96" t="s">
        <v>72</v>
      </c>
      <c r="Q96" t="s">
        <v>72</v>
      </c>
      <c r="R96" t="s">
        <v>72</v>
      </c>
      <c r="S96" t="s">
        <v>72</v>
      </c>
      <c r="T96" t="s">
        <v>15338</v>
      </c>
      <c r="U96" t="s">
        <v>15339</v>
      </c>
      <c r="V96" t="s">
        <v>15340</v>
      </c>
      <c r="W96" t="s">
        <v>15341</v>
      </c>
      <c r="X96" t="s">
        <v>15342</v>
      </c>
      <c r="Y96" t="s">
        <v>15343</v>
      </c>
      <c r="Z96" t="s">
        <v>15344</v>
      </c>
      <c r="AA96" t="s">
        <v>72</v>
      </c>
      <c r="AB96" t="s">
        <v>15345</v>
      </c>
      <c r="AC96" t="s">
        <v>72</v>
      </c>
      <c r="AD96" t="s">
        <v>72</v>
      </c>
      <c r="AE96" t="s">
        <v>72</v>
      </c>
      <c r="AF96" t="s">
        <v>72</v>
      </c>
      <c r="AG96">
        <v>135</v>
      </c>
      <c r="AH96">
        <v>0</v>
      </c>
      <c r="AI96">
        <v>0</v>
      </c>
      <c r="AJ96">
        <v>24</v>
      </c>
      <c r="AK96">
        <v>24</v>
      </c>
      <c r="AL96" t="s">
        <v>1698</v>
      </c>
      <c r="AM96" t="s">
        <v>707</v>
      </c>
      <c r="AN96" t="s">
        <v>1699</v>
      </c>
      <c r="AO96" t="s">
        <v>4001</v>
      </c>
      <c r="AP96" t="s">
        <v>4002</v>
      </c>
      <c r="AQ96" t="s">
        <v>72</v>
      </c>
      <c r="AR96" t="s">
        <v>4003</v>
      </c>
      <c r="AS96" t="s">
        <v>4004</v>
      </c>
      <c r="AT96" t="s">
        <v>951</v>
      </c>
      <c r="AU96">
        <v>2022</v>
      </c>
      <c r="AV96">
        <v>151</v>
      </c>
      <c r="AW96" t="s">
        <v>72</v>
      </c>
      <c r="AX96" t="s">
        <v>72</v>
      </c>
      <c r="AY96" t="s">
        <v>72</v>
      </c>
      <c r="AZ96" t="s">
        <v>72</v>
      </c>
      <c r="BA96" t="s">
        <v>72</v>
      </c>
      <c r="BB96">
        <v>138</v>
      </c>
      <c r="BC96">
        <v>155</v>
      </c>
      <c r="BD96" t="s">
        <v>72</v>
      </c>
      <c r="BE96" t="s">
        <v>15346</v>
      </c>
      <c r="BF96" t="str">
        <f>HYPERLINK("http://dx.doi.org/10.1016/j.jbusres.2022.06.050","http://dx.doi.org/10.1016/j.jbusres.2022.06.050")</f>
        <v>http://dx.doi.org/10.1016/j.jbusres.2022.06.050</v>
      </c>
      <c r="BG96" t="s">
        <v>72</v>
      </c>
      <c r="BH96" t="s">
        <v>72</v>
      </c>
      <c r="BI96">
        <v>18</v>
      </c>
      <c r="BJ96" t="s">
        <v>151</v>
      </c>
      <c r="BK96" t="s">
        <v>152</v>
      </c>
      <c r="BL96" t="s">
        <v>15347</v>
      </c>
      <c r="BM96" t="s">
        <v>72</v>
      </c>
      <c r="BN96" t="s">
        <v>346</v>
      </c>
      <c r="BO96" t="s">
        <v>72</v>
      </c>
      <c r="BP96" t="s">
        <v>72</v>
      </c>
      <c r="BQ96" t="s">
        <v>100</v>
      </c>
      <c r="BR96" t="s">
        <v>15348</v>
      </c>
      <c r="BS96" t="str">
        <f>HYPERLINK("https%3A%2F%2Fwww.webofscience.com%2Fwos%2Fwoscc%2Ffull-record%2FWOS:000828101700003","View Full Record in Web of Science")</f>
        <v>View Full Record in Web of Science</v>
      </c>
    </row>
    <row r="97" spans="1:71" hidden="1" x14ac:dyDescent="0.2">
      <c r="A97" t="s">
        <v>70</v>
      </c>
      <c r="B97" t="s">
        <v>15381</v>
      </c>
      <c r="C97" t="s">
        <v>72</v>
      </c>
      <c r="D97" t="s">
        <v>72</v>
      </c>
      <c r="E97" t="s">
        <v>72</v>
      </c>
      <c r="F97" t="s">
        <v>15382</v>
      </c>
      <c r="G97" t="s">
        <v>72</v>
      </c>
      <c r="H97" t="s">
        <v>72</v>
      </c>
      <c r="I97" t="s">
        <v>15383</v>
      </c>
      <c r="J97" t="s">
        <v>15384</v>
      </c>
      <c r="K97" t="s">
        <v>72</v>
      </c>
      <c r="L97" t="s">
        <v>72</v>
      </c>
      <c r="M97" t="s">
        <v>76</v>
      </c>
      <c r="N97" t="s">
        <v>3914</v>
      </c>
      <c r="O97" t="s">
        <v>72</v>
      </c>
      <c r="P97" t="s">
        <v>72</v>
      </c>
      <c r="Q97" t="s">
        <v>72</v>
      </c>
      <c r="R97" t="s">
        <v>72</v>
      </c>
      <c r="S97" t="s">
        <v>72</v>
      </c>
      <c r="T97" t="s">
        <v>15385</v>
      </c>
      <c r="U97" t="s">
        <v>15386</v>
      </c>
      <c r="V97" t="s">
        <v>15387</v>
      </c>
      <c r="W97" t="s">
        <v>15388</v>
      </c>
      <c r="X97" t="s">
        <v>15389</v>
      </c>
      <c r="Y97" t="s">
        <v>15390</v>
      </c>
      <c r="Z97" t="s">
        <v>15391</v>
      </c>
      <c r="AA97" t="s">
        <v>15392</v>
      </c>
      <c r="AB97" t="s">
        <v>15393</v>
      </c>
      <c r="AC97" t="s">
        <v>72</v>
      </c>
      <c r="AD97" t="s">
        <v>72</v>
      </c>
      <c r="AE97" t="s">
        <v>72</v>
      </c>
      <c r="AF97" t="s">
        <v>72</v>
      </c>
      <c r="AG97">
        <v>139</v>
      </c>
      <c r="AH97">
        <v>1</v>
      </c>
      <c r="AI97">
        <v>1</v>
      </c>
      <c r="AJ97">
        <v>18</v>
      </c>
      <c r="AK97">
        <v>59</v>
      </c>
      <c r="AL97" t="s">
        <v>1165</v>
      </c>
      <c r="AM97" t="s">
        <v>1166</v>
      </c>
      <c r="AN97" t="s">
        <v>1167</v>
      </c>
      <c r="AO97" t="s">
        <v>15394</v>
      </c>
      <c r="AP97" t="s">
        <v>15395</v>
      </c>
      <c r="AQ97" t="s">
        <v>72</v>
      </c>
      <c r="AR97" t="s">
        <v>15396</v>
      </c>
      <c r="AS97" t="s">
        <v>15397</v>
      </c>
      <c r="AT97" t="s">
        <v>72</v>
      </c>
      <c r="AU97" t="s">
        <v>72</v>
      </c>
      <c r="AV97" t="s">
        <v>72</v>
      </c>
      <c r="AW97" t="s">
        <v>72</v>
      </c>
      <c r="AX97" t="s">
        <v>72</v>
      </c>
      <c r="AY97" t="s">
        <v>72</v>
      </c>
      <c r="AZ97" t="s">
        <v>72</v>
      </c>
      <c r="BA97" t="s">
        <v>72</v>
      </c>
      <c r="BB97" t="s">
        <v>72</v>
      </c>
      <c r="BC97" t="s">
        <v>72</v>
      </c>
      <c r="BD97" t="s">
        <v>72</v>
      </c>
      <c r="BE97" t="s">
        <v>15398</v>
      </c>
      <c r="BF97" t="str">
        <f>HYPERLINK("http://dx.doi.org/10.1108/SCM-03-2021-0111","http://dx.doi.org/10.1108/SCM-03-2021-0111")</f>
        <v>http://dx.doi.org/10.1108/SCM-03-2021-0111</v>
      </c>
      <c r="BG97" t="s">
        <v>72</v>
      </c>
      <c r="BH97" t="s">
        <v>5580</v>
      </c>
      <c r="BI97">
        <v>22</v>
      </c>
      <c r="BJ97" t="s">
        <v>2097</v>
      </c>
      <c r="BK97" t="s">
        <v>152</v>
      </c>
      <c r="BL97" t="s">
        <v>15399</v>
      </c>
      <c r="BM97" t="s">
        <v>72</v>
      </c>
      <c r="BN97" t="s">
        <v>72</v>
      </c>
      <c r="BO97" t="s">
        <v>72</v>
      </c>
      <c r="BP97" t="s">
        <v>72</v>
      </c>
      <c r="BQ97" t="s">
        <v>100</v>
      </c>
      <c r="BR97" t="s">
        <v>15400</v>
      </c>
      <c r="BS97" t="str">
        <f>HYPERLINK("https%3A%2F%2Fwww.webofscience.com%2Fwos%2Fwoscc%2Ffull-record%2FWOS:000709474400001","View Full Record in Web of Science")</f>
        <v>View Full Record in Web of Science</v>
      </c>
    </row>
    <row r="98" spans="1:71" hidden="1" x14ac:dyDescent="0.2">
      <c r="A98" t="s">
        <v>70</v>
      </c>
      <c r="B98" t="s">
        <v>15824</v>
      </c>
      <c r="C98" t="s">
        <v>72</v>
      </c>
      <c r="D98" t="s">
        <v>72</v>
      </c>
      <c r="E98" t="s">
        <v>72</v>
      </c>
      <c r="F98" t="s">
        <v>15825</v>
      </c>
      <c r="G98" t="s">
        <v>72</v>
      </c>
      <c r="H98" t="s">
        <v>72</v>
      </c>
      <c r="I98" t="s">
        <v>15826</v>
      </c>
      <c r="J98" t="s">
        <v>937</v>
      </c>
      <c r="K98" t="s">
        <v>72</v>
      </c>
      <c r="L98" t="s">
        <v>72</v>
      </c>
      <c r="M98" t="s">
        <v>76</v>
      </c>
      <c r="N98" t="s">
        <v>77</v>
      </c>
      <c r="O98" t="s">
        <v>72</v>
      </c>
      <c r="P98" t="s">
        <v>72</v>
      </c>
      <c r="Q98" t="s">
        <v>72</v>
      </c>
      <c r="R98" t="s">
        <v>72</v>
      </c>
      <c r="S98" t="s">
        <v>72</v>
      </c>
      <c r="T98" t="s">
        <v>15827</v>
      </c>
      <c r="U98" t="s">
        <v>15828</v>
      </c>
      <c r="V98" t="s">
        <v>15829</v>
      </c>
      <c r="W98" t="s">
        <v>15830</v>
      </c>
      <c r="X98" t="s">
        <v>15831</v>
      </c>
      <c r="Y98" t="s">
        <v>15832</v>
      </c>
      <c r="Z98" t="s">
        <v>15833</v>
      </c>
      <c r="AA98" t="s">
        <v>72</v>
      </c>
      <c r="AB98" t="s">
        <v>15834</v>
      </c>
      <c r="AC98" t="s">
        <v>72</v>
      </c>
      <c r="AD98" t="s">
        <v>72</v>
      </c>
      <c r="AE98" t="s">
        <v>72</v>
      </c>
      <c r="AF98" t="s">
        <v>72</v>
      </c>
      <c r="AG98">
        <v>52</v>
      </c>
      <c r="AH98">
        <v>17</v>
      </c>
      <c r="AI98">
        <v>18</v>
      </c>
      <c r="AJ98">
        <v>11</v>
      </c>
      <c r="AK98">
        <v>39</v>
      </c>
      <c r="AL98" t="s">
        <v>190</v>
      </c>
      <c r="AM98" t="s">
        <v>191</v>
      </c>
      <c r="AN98" t="s">
        <v>192</v>
      </c>
      <c r="AO98" t="s">
        <v>947</v>
      </c>
      <c r="AP98" t="s">
        <v>948</v>
      </c>
      <c r="AQ98" t="s">
        <v>72</v>
      </c>
      <c r="AR98" t="s">
        <v>949</v>
      </c>
      <c r="AS98" t="s">
        <v>950</v>
      </c>
      <c r="AT98" t="s">
        <v>197</v>
      </c>
      <c r="AU98">
        <v>2020</v>
      </c>
      <c r="AV98">
        <v>50</v>
      </c>
      <c r="AW98" t="s">
        <v>72</v>
      </c>
      <c r="AX98" t="s">
        <v>72</v>
      </c>
      <c r="AY98" t="s">
        <v>72</v>
      </c>
      <c r="AZ98" t="s">
        <v>72</v>
      </c>
      <c r="BA98" t="s">
        <v>72</v>
      </c>
      <c r="BB98">
        <v>156</v>
      </c>
      <c r="BC98">
        <v>167</v>
      </c>
      <c r="BD98" t="s">
        <v>72</v>
      </c>
      <c r="BE98" t="s">
        <v>15835</v>
      </c>
      <c r="BF98" t="str">
        <f>HYPERLINK("http://dx.doi.org/10.1016/j.intmar.2019.09.003","http://dx.doi.org/10.1016/j.intmar.2019.09.003")</f>
        <v>http://dx.doi.org/10.1016/j.intmar.2019.09.003</v>
      </c>
      <c r="BG98" t="s">
        <v>72</v>
      </c>
      <c r="BH98" t="s">
        <v>72</v>
      </c>
      <c r="BI98">
        <v>12</v>
      </c>
      <c r="BJ98" t="s">
        <v>151</v>
      </c>
      <c r="BK98" t="s">
        <v>152</v>
      </c>
      <c r="BL98" t="s">
        <v>15836</v>
      </c>
      <c r="BM98" t="s">
        <v>72</v>
      </c>
      <c r="BN98" t="s">
        <v>1128</v>
      </c>
      <c r="BO98" t="s">
        <v>72</v>
      </c>
      <c r="BP98" t="s">
        <v>72</v>
      </c>
      <c r="BQ98" t="s">
        <v>100</v>
      </c>
      <c r="BR98" t="s">
        <v>15837</v>
      </c>
      <c r="BS98" t="str">
        <f>HYPERLINK("https%3A%2F%2Fwww.webofscience.com%2Fwos%2Fwoscc%2Ffull-record%2FWOS:000535937100010","View Full Record in Web of Science")</f>
        <v>View Full Record in Web of Science</v>
      </c>
    </row>
    <row r="99" spans="1:71" hidden="1" x14ac:dyDescent="0.2">
      <c r="A99" t="s">
        <v>70</v>
      </c>
      <c r="B99" t="s">
        <v>15838</v>
      </c>
      <c r="C99" t="s">
        <v>72</v>
      </c>
      <c r="D99" t="s">
        <v>72</v>
      </c>
      <c r="E99" t="s">
        <v>72</v>
      </c>
      <c r="F99" t="s">
        <v>15839</v>
      </c>
      <c r="G99" t="s">
        <v>72</v>
      </c>
      <c r="H99" t="s">
        <v>72</v>
      </c>
      <c r="I99" t="s">
        <v>15840</v>
      </c>
      <c r="J99" t="s">
        <v>15841</v>
      </c>
      <c r="K99" t="s">
        <v>72</v>
      </c>
      <c r="L99" t="s">
        <v>72</v>
      </c>
      <c r="M99" t="s">
        <v>76</v>
      </c>
      <c r="N99" t="s">
        <v>77</v>
      </c>
      <c r="O99" t="s">
        <v>72</v>
      </c>
      <c r="P99" t="s">
        <v>72</v>
      </c>
      <c r="Q99" t="s">
        <v>72</v>
      </c>
      <c r="R99" t="s">
        <v>72</v>
      </c>
      <c r="S99" t="s">
        <v>72</v>
      </c>
      <c r="T99" t="s">
        <v>15842</v>
      </c>
      <c r="U99" t="s">
        <v>15843</v>
      </c>
      <c r="V99" t="s">
        <v>15844</v>
      </c>
      <c r="W99" t="s">
        <v>15845</v>
      </c>
      <c r="X99" t="s">
        <v>15846</v>
      </c>
      <c r="Y99" t="s">
        <v>15847</v>
      </c>
      <c r="Z99" t="s">
        <v>15848</v>
      </c>
      <c r="AA99" t="s">
        <v>15849</v>
      </c>
      <c r="AB99" t="s">
        <v>15850</v>
      </c>
      <c r="AC99" t="s">
        <v>15851</v>
      </c>
      <c r="AD99" t="s">
        <v>15851</v>
      </c>
      <c r="AE99" t="s">
        <v>15852</v>
      </c>
      <c r="AF99" t="s">
        <v>72</v>
      </c>
      <c r="AG99">
        <v>109</v>
      </c>
      <c r="AH99">
        <v>1</v>
      </c>
      <c r="AI99">
        <v>1</v>
      </c>
      <c r="AJ99">
        <v>2</v>
      </c>
      <c r="AK99">
        <v>53</v>
      </c>
      <c r="AL99" t="s">
        <v>10376</v>
      </c>
      <c r="AM99" t="s">
        <v>168</v>
      </c>
      <c r="AN99" t="s">
        <v>10377</v>
      </c>
      <c r="AO99" t="s">
        <v>15853</v>
      </c>
      <c r="AP99" t="s">
        <v>15854</v>
      </c>
      <c r="AQ99" t="s">
        <v>72</v>
      </c>
      <c r="AR99" t="s">
        <v>15855</v>
      </c>
      <c r="AS99" t="s">
        <v>15856</v>
      </c>
      <c r="AT99" t="s">
        <v>951</v>
      </c>
      <c r="AU99">
        <v>2018</v>
      </c>
      <c r="AV99">
        <v>47</v>
      </c>
      <c r="AW99">
        <v>9</v>
      </c>
      <c r="AX99" t="s">
        <v>72</v>
      </c>
      <c r="AY99" t="s">
        <v>72</v>
      </c>
      <c r="AZ99" t="s">
        <v>72</v>
      </c>
      <c r="BA99" t="s">
        <v>72</v>
      </c>
      <c r="BB99">
        <v>1741</v>
      </c>
      <c r="BC99">
        <v>1761</v>
      </c>
      <c r="BD99" t="s">
        <v>72</v>
      </c>
      <c r="BE99" t="s">
        <v>15857</v>
      </c>
      <c r="BF99" t="str">
        <f>HYPERLINK("http://dx.doi.org/10.1016/j.respol.2018.06.007","http://dx.doi.org/10.1016/j.respol.2018.06.007")</f>
        <v>http://dx.doi.org/10.1016/j.respol.2018.06.007</v>
      </c>
      <c r="BG99" t="s">
        <v>72</v>
      </c>
      <c r="BH99" t="s">
        <v>72</v>
      </c>
      <c r="BI99">
        <v>21</v>
      </c>
      <c r="BJ99" t="s">
        <v>1350</v>
      </c>
      <c r="BK99" t="s">
        <v>152</v>
      </c>
      <c r="BL99" t="s">
        <v>15858</v>
      </c>
      <c r="BM99" t="s">
        <v>72</v>
      </c>
      <c r="BN99" t="s">
        <v>72</v>
      </c>
      <c r="BO99" t="s">
        <v>72</v>
      </c>
      <c r="BP99" t="s">
        <v>72</v>
      </c>
      <c r="BQ99" t="s">
        <v>100</v>
      </c>
      <c r="BR99" t="s">
        <v>15859</v>
      </c>
      <c r="BS99" t="str">
        <f>HYPERLINK("https%3A%2F%2Fwww.webofscience.com%2Fwos%2Fwoscc%2Ffull-record%2FWOS:000449128600020","View Full Record in Web of Science")</f>
        <v>View Full Record in Web of Science</v>
      </c>
    </row>
    <row r="100" spans="1:71" hidden="1" x14ac:dyDescent="0.2">
      <c r="A100" t="s">
        <v>70</v>
      </c>
      <c r="B100" t="s">
        <v>10826</v>
      </c>
      <c r="C100" t="s">
        <v>72</v>
      </c>
      <c r="D100" t="s">
        <v>72</v>
      </c>
      <c r="E100" t="s">
        <v>72</v>
      </c>
      <c r="F100" t="s">
        <v>10827</v>
      </c>
      <c r="G100" t="s">
        <v>72</v>
      </c>
      <c r="H100" t="s">
        <v>72</v>
      </c>
      <c r="I100" t="s">
        <v>15860</v>
      </c>
      <c r="J100" t="s">
        <v>15861</v>
      </c>
      <c r="K100" t="s">
        <v>72</v>
      </c>
      <c r="L100" t="s">
        <v>72</v>
      </c>
      <c r="M100" t="s">
        <v>76</v>
      </c>
      <c r="N100" t="s">
        <v>77</v>
      </c>
      <c r="O100" t="s">
        <v>72</v>
      </c>
      <c r="P100" t="s">
        <v>72</v>
      </c>
      <c r="Q100" t="s">
        <v>72</v>
      </c>
      <c r="R100" t="s">
        <v>72</v>
      </c>
      <c r="S100" t="s">
        <v>72</v>
      </c>
      <c r="T100" t="s">
        <v>15862</v>
      </c>
      <c r="U100" t="s">
        <v>15863</v>
      </c>
      <c r="V100" t="s">
        <v>15864</v>
      </c>
      <c r="W100" t="s">
        <v>15865</v>
      </c>
      <c r="X100" t="s">
        <v>15866</v>
      </c>
      <c r="Y100" t="s">
        <v>10835</v>
      </c>
      <c r="Z100" t="s">
        <v>10836</v>
      </c>
      <c r="AA100" t="s">
        <v>10837</v>
      </c>
      <c r="AB100" t="s">
        <v>72</v>
      </c>
      <c r="AC100" t="s">
        <v>72</v>
      </c>
      <c r="AD100" t="s">
        <v>72</v>
      </c>
      <c r="AE100" t="s">
        <v>72</v>
      </c>
      <c r="AF100" t="s">
        <v>72</v>
      </c>
      <c r="AG100">
        <v>127</v>
      </c>
      <c r="AH100">
        <v>113</v>
      </c>
      <c r="AI100">
        <v>129</v>
      </c>
      <c r="AJ100">
        <v>1</v>
      </c>
      <c r="AK100">
        <v>79</v>
      </c>
      <c r="AL100" t="s">
        <v>1698</v>
      </c>
      <c r="AM100" t="s">
        <v>707</v>
      </c>
      <c r="AN100" t="s">
        <v>1699</v>
      </c>
      <c r="AO100" t="s">
        <v>15867</v>
      </c>
      <c r="AP100" t="s">
        <v>15868</v>
      </c>
      <c r="AQ100" t="s">
        <v>72</v>
      </c>
      <c r="AR100" t="s">
        <v>15869</v>
      </c>
      <c r="AS100" t="s">
        <v>15870</v>
      </c>
      <c r="AT100" t="s">
        <v>929</v>
      </c>
      <c r="AU100">
        <v>2013</v>
      </c>
      <c r="AV100">
        <v>30</v>
      </c>
      <c r="AW100" t="s">
        <v>72</v>
      </c>
      <c r="AX100" t="s">
        <v>72</v>
      </c>
      <c r="AY100" t="s">
        <v>72</v>
      </c>
      <c r="AZ100" t="s">
        <v>72</v>
      </c>
      <c r="BA100" t="s">
        <v>72</v>
      </c>
      <c r="BB100">
        <v>320</v>
      </c>
      <c r="BC100">
        <v>333</v>
      </c>
      <c r="BD100" t="s">
        <v>72</v>
      </c>
      <c r="BE100" t="s">
        <v>15871</v>
      </c>
      <c r="BF100" t="str">
        <f>HYPERLINK("http://dx.doi.org/10.1016/j.irfa.2013.07.010","http://dx.doi.org/10.1016/j.irfa.2013.07.010")</f>
        <v>http://dx.doi.org/10.1016/j.irfa.2013.07.010</v>
      </c>
      <c r="BG100" t="s">
        <v>72</v>
      </c>
      <c r="BH100" t="s">
        <v>72</v>
      </c>
      <c r="BI100">
        <v>14</v>
      </c>
      <c r="BJ100" t="s">
        <v>2723</v>
      </c>
      <c r="BK100" t="s">
        <v>152</v>
      </c>
      <c r="BL100" t="s">
        <v>15872</v>
      </c>
      <c r="BM100" t="s">
        <v>72</v>
      </c>
      <c r="BN100" t="s">
        <v>72</v>
      </c>
      <c r="BO100" t="s">
        <v>72</v>
      </c>
      <c r="BP100" t="s">
        <v>72</v>
      </c>
      <c r="BQ100" t="s">
        <v>100</v>
      </c>
      <c r="BR100" t="s">
        <v>15873</v>
      </c>
      <c r="BS100" t="str">
        <f>HYPERLINK("https%3A%2F%2Fwww.webofscience.com%2Fwos%2Fwoscc%2Ffull-record%2FWOS:000329415700030","View Full Record in Web of Science")</f>
        <v>View Full Record in Web of Science</v>
      </c>
    </row>
    <row r="101" spans="1:71" hidden="1" x14ac:dyDescent="0.2">
      <c r="A101" t="s">
        <v>70</v>
      </c>
      <c r="B101" t="s">
        <v>15978</v>
      </c>
      <c r="C101" t="s">
        <v>72</v>
      </c>
      <c r="D101" t="s">
        <v>72</v>
      </c>
      <c r="E101" t="s">
        <v>72</v>
      </c>
      <c r="F101" t="s">
        <v>15979</v>
      </c>
      <c r="G101" t="s">
        <v>72</v>
      </c>
      <c r="H101" t="s">
        <v>72</v>
      </c>
      <c r="I101" t="s">
        <v>15980</v>
      </c>
      <c r="J101" t="s">
        <v>1155</v>
      </c>
      <c r="K101" t="s">
        <v>72</v>
      </c>
      <c r="L101" t="s">
        <v>72</v>
      </c>
      <c r="M101" t="s">
        <v>76</v>
      </c>
      <c r="N101" t="s">
        <v>1503</v>
      </c>
      <c r="O101" t="s">
        <v>72</v>
      </c>
      <c r="P101" t="s">
        <v>72</v>
      </c>
      <c r="Q101" t="s">
        <v>72</v>
      </c>
      <c r="R101" t="s">
        <v>72</v>
      </c>
      <c r="S101" t="s">
        <v>72</v>
      </c>
      <c r="T101" t="s">
        <v>15981</v>
      </c>
      <c r="U101" t="s">
        <v>15982</v>
      </c>
      <c r="V101" t="s">
        <v>15983</v>
      </c>
      <c r="W101" t="s">
        <v>15984</v>
      </c>
      <c r="X101" t="s">
        <v>15985</v>
      </c>
      <c r="Y101" t="s">
        <v>15986</v>
      </c>
      <c r="Z101" t="s">
        <v>15987</v>
      </c>
      <c r="AA101" t="s">
        <v>15988</v>
      </c>
      <c r="AB101" t="s">
        <v>72</v>
      </c>
      <c r="AC101" t="s">
        <v>72</v>
      </c>
      <c r="AD101" t="s">
        <v>72</v>
      </c>
      <c r="AE101" t="s">
        <v>72</v>
      </c>
      <c r="AF101" t="s">
        <v>72</v>
      </c>
      <c r="AG101">
        <v>81</v>
      </c>
      <c r="AH101">
        <v>7</v>
      </c>
      <c r="AI101">
        <v>8</v>
      </c>
      <c r="AJ101">
        <v>4</v>
      </c>
      <c r="AK101">
        <v>23</v>
      </c>
      <c r="AL101" t="s">
        <v>1165</v>
      </c>
      <c r="AM101" t="s">
        <v>1166</v>
      </c>
      <c r="AN101" t="s">
        <v>1167</v>
      </c>
      <c r="AO101" t="s">
        <v>1168</v>
      </c>
      <c r="AP101" t="s">
        <v>1169</v>
      </c>
      <c r="AQ101" t="s">
        <v>72</v>
      </c>
      <c r="AR101" t="s">
        <v>1170</v>
      </c>
      <c r="AS101" t="s">
        <v>1171</v>
      </c>
      <c r="AT101" t="s">
        <v>15989</v>
      </c>
      <c r="AU101">
        <v>2020</v>
      </c>
      <c r="AV101">
        <v>54</v>
      </c>
      <c r="AW101">
        <v>3</v>
      </c>
      <c r="AX101" t="s">
        <v>72</v>
      </c>
      <c r="AY101" t="s">
        <v>72</v>
      </c>
      <c r="AZ101" t="s">
        <v>478</v>
      </c>
      <c r="BA101" t="s">
        <v>72</v>
      </c>
      <c r="BB101">
        <v>478</v>
      </c>
      <c r="BC101">
        <v>510</v>
      </c>
      <c r="BD101" t="s">
        <v>72</v>
      </c>
      <c r="BE101" t="s">
        <v>15990</v>
      </c>
      <c r="BF101" t="str">
        <f>HYPERLINK("http://dx.doi.org/10.1108/EJM-01-2019-0095","http://dx.doi.org/10.1108/EJM-01-2019-0095")</f>
        <v>http://dx.doi.org/10.1108/EJM-01-2019-0095</v>
      </c>
      <c r="BG101" t="s">
        <v>72</v>
      </c>
      <c r="BH101" t="s">
        <v>6274</v>
      </c>
      <c r="BI101">
        <v>33</v>
      </c>
      <c r="BJ101" t="s">
        <v>151</v>
      </c>
      <c r="BK101" t="s">
        <v>152</v>
      </c>
      <c r="BL101" t="s">
        <v>15991</v>
      </c>
      <c r="BM101" t="s">
        <v>72</v>
      </c>
      <c r="BN101" t="s">
        <v>280</v>
      </c>
      <c r="BO101" t="s">
        <v>72</v>
      </c>
      <c r="BP101" t="s">
        <v>72</v>
      </c>
      <c r="BQ101" t="s">
        <v>100</v>
      </c>
      <c r="BR101" t="s">
        <v>15992</v>
      </c>
      <c r="BS101" t="str">
        <f>HYPERLINK("https%3A%2F%2Fwww.webofscience.com%2Fwos%2Fwoscc%2Ffull-record%2FWOS:000513591400001","View Full Record in Web of Science")</f>
        <v>View Full Record in Web of Science</v>
      </c>
    </row>
    <row r="102" spans="1:71" hidden="1" x14ac:dyDescent="0.2">
      <c r="A102" t="s">
        <v>70</v>
      </c>
      <c r="B102" t="s">
        <v>15993</v>
      </c>
      <c r="C102" t="s">
        <v>72</v>
      </c>
      <c r="D102" t="s">
        <v>72</v>
      </c>
      <c r="E102" t="s">
        <v>72</v>
      </c>
      <c r="F102" t="s">
        <v>15994</v>
      </c>
      <c r="G102" t="s">
        <v>72</v>
      </c>
      <c r="H102" t="s">
        <v>72</v>
      </c>
      <c r="I102" t="s">
        <v>15995</v>
      </c>
      <c r="J102" t="s">
        <v>11716</v>
      </c>
      <c r="K102" t="s">
        <v>72</v>
      </c>
      <c r="L102" t="s">
        <v>72</v>
      </c>
      <c r="M102" t="s">
        <v>76</v>
      </c>
      <c r="N102" t="s">
        <v>77</v>
      </c>
      <c r="O102" t="s">
        <v>72</v>
      </c>
      <c r="P102" t="s">
        <v>72</v>
      </c>
      <c r="Q102" t="s">
        <v>72</v>
      </c>
      <c r="R102" t="s">
        <v>72</v>
      </c>
      <c r="S102" t="s">
        <v>72</v>
      </c>
      <c r="T102" t="s">
        <v>15996</v>
      </c>
      <c r="U102" t="s">
        <v>15997</v>
      </c>
      <c r="V102" t="s">
        <v>15998</v>
      </c>
      <c r="W102" t="s">
        <v>15999</v>
      </c>
      <c r="X102" t="s">
        <v>16000</v>
      </c>
      <c r="Y102" t="s">
        <v>16001</v>
      </c>
      <c r="Z102" t="s">
        <v>16002</v>
      </c>
      <c r="AA102" t="s">
        <v>16003</v>
      </c>
      <c r="AB102" t="s">
        <v>16004</v>
      </c>
      <c r="AC102" t="s">
        <v>72</v>
      </c>
      <c r="AD102" t="s">
        <v>72</v>
      </c>
      <c r="AE102" t="s">
        <v>72</v>
      </c>
      <c r="AF102" t="s">
        <v>72</v>
      </c>
      <c r="AG102">
        <v>62</v>
      </c>
      <c r="AH102">
        <v>49</v>
      </c>
      <c r="AI102">
        <v>49</v>
      </c>
      <c r="AJ102">
        <v>13</v>
      </c>
      <c r="AK102">
        <v>50</v>
      </c>
      <c r="AL102" t="s">
        <v>924</v>
      </c>
      <c r="AM102" t="s">
        <v>168</v>
      </c>
      <c r="AN102" t="s">
        <v>925</v>
      </c>
      <c r="AO102" t="s">
        <v>11725</v>
      </c>
      <c r="AP102" t="s">
        <v>11726</v>
      </c>
      <c r="AQ102" t="s">
        <v>72</v>
      </c>
      <c r="AR102" t="s">
        <v>11727</v>
      </c>
      <c r="AS102" t="s">
        <v>11728</v>
      </c>
      <c r="AT102" t="s">
        <v>95</v>
      </c>
      <c r="AU102">
        <v>2019</v>
      </c>
      <c r="AV102">
        <v>36</v>
      </c>
      <c r="AW102">
        <v>3</v>
      </c>
      <c r="AX102" t="s">
        <v>72</v>
      </c>
      <c r="AY102" t="s">
        <v>72</v>
      </c>
      <c r="AZ102" t="s">
        <v>478</v>
      </c>
      <c r="BA102" t="s">
        <v>72</v>
      </c>
      <c r="BB102">
        <v>492</v>
      </c>
      <c r="BC102">
        <v>508</v>
      </c>
      <c r="BD102" t="s">
        <v>72</v>
      </c>
      <c r="BE102" t="s">
        <v>16005</v>
      </c>
      <c r="BF102" t="str">
        <f>HYPERLINK("http://dx.doi.org/10.1016/j.ijresmar.2019.01.010","http://dx.doi.org/10.1016/j.ijresmar.2019.01.010")</f>
        <v>http://dx.doi.org/10.1016/j.ijresmar.2019.01.010</v>
      </c>
      <c r="BG102" t="s">
        <v>72</v>
      </c>
      <c r="BH102" t="s">
        <v>72</v>
      </c>
      <c r="BI102">
        <v>17</v>
      </c>
      <c r="BJ102" t="s">
        <v>151</v>
      </c>
      <c r="BK102" t="s">
        <v>152</v>
      </c>
      <c r="BL102" t="s">
        <v>16006</v>
      </c>
      <c r="BM102" t="s">
        <v>72</v>
      </c>
      <c r="BN102" t="s">
        <v>16007</v>
      </c>
      <c r="BO102" t="s">
        <v>72</v>
      </c>
      <c r="BP102" t="s">
        <v>72</v>
      </c>
      <c r="BQ102" t="s">
        <v>100</v>
      </c>
      <c r="BR102" t="s">
        <v>16008</v>
      </c>
      <c r="BS102" t="str">
        <f>HYPERLINK("https%3A%2F%2Fwww.webofscience.com%2Fwos%2Fwoscc%2Ffull-record%2FWOS:000501622900010","View Full Record in Web of Science")</f>
        <v>View Full Record in Web of Science</v>
      </c>
    </row>
    <row r="103" spans="1:71" hidden="1" x14ac:dyDescent="0.2">
      <c r="A103" t="s">
        <v>70</v>
      </c>
      <c r="B103" t="s">
        <v>16357</v>
      </c>
      <c r="C103" t="s">
        <v>72</v>
      </c>
      <c r="D103" t="s">
        <v>72</v>
      </c>
      <c r="E103" t="s">
        <v>72</v>
      </c>
      <c r="F103" t="s">
        <v>16358</v>
      </c>
      <c r="G103" t="s">
        <v>72</v>
      </c>
      <c r="H103" t="s">
        <v>72</v>
      </c>
      <c r="I103" t="s">
        <v>16359</v>
      </c>
      <c r="J103" t="s">
        <v>16360</v>
      </c>
      <c r="K103" t="s">
        <v>72</v>
      </c>
      <c r="L103" t="s">
        <v>72</v>
      </c>
      <c r="M103" t="s">
        <v>76</v>
      </c>
      <c r="N103" t="s">
        <v>4854</v>
      </c>
      <c r="O103" t="s">
        <v>16361</v>
      </c>
      <c r="P103" t="s">
        <v>16362</v>
      </c>
      <c r="Q103" t="s">
        <v>16363</v>
      </c>
      <c r="R103" t="s">
        <v>72</v>
      </c>
      <c r="S103" t="s">
        <v>16364</v>
      </c>
      <c r="T103" t="s">
        <v>16365</v>
      </c>
      <c r="U103" t="s">
        <v>16366</v>
      </c>
      <c r="V103" t="s">
        <v>16367</v>
      </c>
      <c r="W103" t="s">
        <v>16368</v>
      </c>
      <c r="X103" t="s">
        <v>16369</v>
      </c>
      <c r="Y103" t="s">
        <v>16370</v>
      </c>
      <c r="Z103" t="s">
        <v>16371</v>
      </c>
      <c r="AA103" t="s">
        <v>72</v>
      </c>
      <c r="AB103" t="s">
        <v>72</v>
      </c>
      <c r="AC103" t="s">
        <v>72</v>
      </c>
      <c r="AD103" t="s">
        <v>72</v>
      </c>
      <c r="AE103" t="s">
        <v>72</v>
      </c>
      <c r="AF103" t="s">
        <v>72</v>
      </c>
      <c r="AG103">
        <v>86</v>
      </c>
      <c r="AH103">
        <v>26</v>
      </c>
      <c r="AI103">
        <v>26</v>
      </c>
      <c r="AJ103">
        <v>1</v>
      </c>
      <c r="AK103">
        <v>6</v>
      </c>
      <c r="AL103" t="s">
        <v>1165</v>
      </c>
      <c r="AM103" t="s">
        <v>1166</v>
      </c>
      <c r="AN103" t="s">
        <v>1167</v>
      </c>
      <c r="AO103" t="s">
        <v>16372</v>
      </c>
      <c r="AP103" t="s">
        <v>16373</v>
      </c>
      <c r="AQ103" t="s">
        <v>72</v>
      </c>
      <c r="AR103" t="s">
        <v>16374</v>
      </c>
      <c r="AS103" t="s">
        <v>16375</v>
      </c>
      <c r="AT103" t="s">
        <v>72</v>
      </c>
      <c r="AU103">
        <v>2017</v>
      </c>
      <c r="AV103">
        <v>28</v>
      </c>
      <c r="AW103">
        <v>5</v>
      </c>
      <c r="AX103" t="s">
        <v>72</v>
      </c>
      <c r="AY103" t="s">
        <v>72</v>
      </c>
      <c r="AZ103" t="s">
        <v>72</v>
      </c>
      <c r="BA103" t="s">
        <v>72</v>
      </c>
      <c r="BB103">
        <v>810</v>
      </c>
      <c r="BC103">
        <v>836</v>
      </c>
      <c r="BD103" t="s">
        <v>72</v>
      </c>
      <c r="BE103" t="s">
        <v>16376</v>
      </c>
      <c r="BF103" t="str">
        <f>HYPERLINK("http://dx.doi.org/10.1108/JOSM-05-2017-0102","http://dx.doi.org/10.1108/JOSM-05-2017-0102")</f>
        <v>http://dx.doi.org/10.1108/JOSM-05-2017-0102</v>
      </c>
      <c r="BG103" t="s">
        <v>72</v>
      </c>
      <c r="BH103" t="s">
        <v>72</v>
      </c>
      <c r="BI103">
        <v>27</v>
      </c>
      <c r="BJ103" t="s">
        <v>1350</v>
      </c>
      <c r="BK103" t="s">
        <v>152</v>
      </c>
      <c r="BL103" t="s">
        <v>16377</v>
      </c>
      <c r="BM103" t="s">
        <v>72</v>
      </c>
      <c r="BN103" t="s">
        <v>251</v>
      </c>
      <c r="BO103" t="s">
        <v>72</v>
      </c>
      <c r="BP103" t="s">
        <v>72</v>
      </c>
      <c r="BQ103" t="s">
        <v>100</v>
      </c>
      <c r="BR103" t="s">
        <v>16378</v>
      </c>
      <c r="BS103" t="str">
        <f>HYPERLINK("https%3A%2F%2Fwww.webofscience.com%2Fwos%2Fwoscc%2Ffull-record%2FWOS:000416079500001","View Full Record in Web of Science")</f>
        <v>View Full Record in Web of Science</v>
      </c>
    </row>
    <row r="104" spans="1:71" hidden="1" x14ac:dyDescent="0.2">
      <c r="A104" t="s">
        <v>70</v>
      </c>
      <c r="B104" t="s">
        <v>16492</v>
      </c>
      <c r="C104" t="s">
        <v>72</v>
      </c>
      <c r="D104" t="s">
        <v>72</v>
      </c>
      <c r="E104" t="s">
        <v>72</v>
      </c>
      <c r="F104" t="s">
        <v>16493</v>
      </c>
      <c r="G104" t="s">
        <v>72</v>
      </c>
      <c r="H104" t="s">
        <v>72</v>
      </c>
      <c r="I104" t="s">
        <v>16494</v>
      </c>
      <c r="J104" t="s">
        <v>16495</v>
      </c>
      <c r="K104" t="s">
        <v>72</v>
      </c>
      <c r="L104" t="s">
        <v>72</v>
      </c>
      <c r="M104" t="s">
        <v>76</v>
      </c>
      <c r="N104" t="s">
        <v>77</v>
      </c>
      <c r="O104" t="s">
        <v>72</v>
      </c>
      <c r="P104" t="s">
        <v>72</v>
      </c>
      <c r="Q104" t="s">
        <v>72</v>
      </c>
      <c r="R104" t="s">
        <v>72</v>
      </c>
      <c r="S104" t="s">
        <v>72</v>
      </c>
      <c r="T104" t="s">
        <v>16496</v>
      </c>
      <c r="U104" t="s">
        <v>16497</v>
      </c>
      <c r="V104" t="s">
        <v>16498</v>
      </c>
      <c r="W104" t="s">
        <v>16499</v>
      </c>
      <c r="X104" t="s">
        <v>16500</v>
      </c>
      <c r="Y104" t="s">
        <v>16501</v>
      </c>
      <c r="Z104" t="s">
        <v>16502</v>
      </c>
      <c r="AA104" t="s">
        <v>72</v>
      </c>
      <c r="AB104" t="s">
        <v>16503</v>
      </c>
      <c r="AC104" t="s">
        <v>72</v>
      </c>
      <c r="AD104" t="s">
        <v>72</v>
      </c>
      <c r="AE104" t="s">
        <v>72</v>
      </c>
      <c r="AF104" t="s">
        <v>72</v>
      </c>
      <c r="AG104">
        <v>103</v>
      </c>
      <c r="AH104">
        <v>3</v>
      </c>
      <c r="AI104">
        <v>3</v>
      </c>
      <c r="AJ104">
        <v>2</v>
      </c>
      <c r="AK104">
        <v>8</v>
      </c>
      <c r="AL104" t="s">
        <v>1165</v>
      </c>
      <c r="AM104" t="s">
        <v>1166</v>
      </c>
      <c r="AN104" t="s">
        <v>1167</v>
      </c>
      <c r="AO104" t="s">
        <v>16504</v>
      </c>
      <c r="AP104" t="s">
        <v>16505</v>
      </c>
      <c r="AQ104" t="s">
        <v>72</v>
      </c>
      <c r="AR104" t="s">
        <v>16506</v>
      </c>
      <c r="AS104" t="s">
        <v>16507</v>
      </c>
      <c r="AT104" t="s">
        <v>16508</v>
      </c>
      <c r="AU104">
        <v>2021</v>
      </c>
      <c r="AV104">
        <v>12</v>
      </c>
      <c r="AW104">
        <v>2</v>
      </c>
      <c r="AX104" t="s">
        <v>72</v>
      </c>
      <c r="AY104" t="s">
        <v>72</v>
      </c>
      <c r="AZ104" t="s">
        <v>72</v>
      </c>
      <c r="BA104" t="s">
        <v>72</v>
      </c>
      <c r="BB104">
        <v>262</v>
      </c>
      <c r="BC104">
        <v>286</v>
      </c>
      <c r="BD104" t="s">
        <v>72</v>
      </c>
      <c r="BE104" t="s">
        <v>16509</v>
      </c>
      <c r="BF104" t="str">
        <f>HYPERLINK("http://dx.doi.org/10.1108/JGR-08-2020-0084","http://dx.doi.org/10.1108/JGR-08-2020-0084")</f>
        <v>http://dx.doi.org/10.1108/JGR-08-2020-0084</v>
      </c>
      <c r="BG104" t="s">
        <v>72</v>
      </c>
      <c r="BH104" t="s">
        <v>4075</v>
      </c>
      <c r="BI104">
        <v>25</v>
      </c>
      <c r="BJ104" t="s">
        <v>1350</v>
      </c>
      <c r="BK104" t="s">
        <v>152</v>
      </c>
      <c r="BL104" t="s">
        <v>16510</v>
      </c>
      <c r="BM104" t="s">
        <v>72</v>
      </c>
      <c r="BN104" t="s">
        <v>72</v>
      </c>
      <c r="BO104" t="s">
        <v>72</v>
      </c>
      <c r="BP104" t="s">
        <v>72</v>
      </c>
      <c r="BQ104" t="s">
        <v>100</v>
      </c>
      <c r="BR104" t="s">
        <v>16511</v>
      </c>
      <c r="BS104" t="str">
        <f>HYPERLINK("https%3A%2F%2Fwww.webofscience.com%2Fwos%2Fwoscc%2Ffull-record%2FWOS:000653102000001","View Full Record in Web of Science")</f>
        <v>View Full Record in Web of Science</v>
      </c>
    </row>
    <row r="105" spans="1:71" hidden="1" x14ac:dyDescent="0.2">
      <c r="A105" t="s">
        <v>70</v>
      </c>
      <c r="B105" t="s">
        <v>16768</v>
      </c>
      <c r="C105" t="s">
        <v>72</v>
      </c>
      <c r="D105" t="s">
        <v>72</v>
      </c>
      <c r="E105" t="s">
        <v>72</v>
      </c>
      <c r="F105" t="s">
        <v>16769</v>
      </c>
      <c r="G105" t="s">
        <v>72</v>
      </c>
      <c r="H105" t="s">
        <v>72</v>
      </c>
      <c r="I105" t="s">
        <v>16770</v>
      </c>
      <c r="J105" t="s">
        <v>16771</v>
      </c>
      <c r="K105" t="s">
        <v>72</v>
      </c>
      <c r="L105" t="s">
        <v>72</v>
      </c>
      <c r="M105" t="s">
        <v>76</v>
      </c>
      <c r="N105" t="s">
        <v>77</v>
      </c>
      <c r="O105" t="s">
        <v>72</v>
      </c>
      <c r="P105" t="s">
        <v>72</v>
      </c>
      <c r="Q105" t="s">
        <v>72</v>
      </c>
      <c r="R105" t="s">
        <v>72</v>
      </c>
      <c r="S105" t="s">
        <v>72</v>
      </c>
      <c r="T105" t="s">
        <v>16772</v>
      </c>
      <c r="U105" t="s">
        <v>72</v>
      </c>
      <c r="V105" t="s">
        <v>16773</v>
      </c>
      <c r="W105" t="s">
        <v>16774</v>
      </c>
      <c r="X105" t="s">
        <v>16775</v>
      </c>
      <c r="Y105" t="s">
        <v>16776</v>
      </c>
      <c r="Z105" t="s">
        <v>16777</v>
      </c>
      <c r="AA105" t="s">
        <v>72</v>
      </c>
      <c r="AB105" t="s">
        <v>72</v>
      </c>
      <c r="AC105" t="s">
        <v>72</v>
      </c>
      <c r="AD105" t="s">
        <v>72</v>
      </c>
      <c r="AE105" t="s">
        <v>72</v>
      </c>
      <c r="AF105" t="s">
        <v>72</v>
      </c>
      <c r="AG105">
        <v>80</v>
      </c>
      <c r="AH105">
        <v>5</v>
      </c>
      <c r="AI105">
        <v>5</v>
      </c>
      <c r="AJ105">
        <v>1</v>
      </c>
      <c r="AK105">
        <v>11</v>
      </c>
      <c r="AL105" t="s">
        <v>1165</v>
      </c>
      <c r="AM105" t="s">
        <v>1166</v>
      </c>
      <c r="AN105" t="s">
        <v>1167</v>
      </c>
      <c r="AO105" t="s">
        <v>16778</v>
      </c>
      <c r="AP105" t="s">
        <v>72</v>
      </c>
      <c r="AQ105" t="s">
        <v>72</v>
      </c>
      <c r="AR105" t="s">
        <v>16779</v>
      </c>
      <c r="AS105" t="s">
        <v>16780</v>
      </c>
      <c r="AT105" t="s">
        <v>12879</v>
      </c>
      <c r="AU105">
        <v>2021</v>
      </c>
      <c r="AV105">
        <v>14</v>
      </c>
      <c r="AW105">
        <v>4</v>
      </c>
      <c r="AX105" t="s">
        <v>72</v>
      </c>
      <c r="AY105" t="s">
        <v>72</v>
      </c>
      <c r="AZ105" t="s">
        <v>72</v>
      </c>
      <c r="BA105" t="s">
        <v>72</v>
      </c>
      <c r="BB105">
        <v>529</v>
      </c>
      <c r="BC105">
        <v>544</v>
      </c>
      <c r="BD105" t="s">
        <v>72</v>
      </c>
      <c r="BE105" t="s">
        <v>16781</v>
      </c>
      <c r="BF105" t="str">
        <f>HYPERLINK("http://dx.doi.org/10.1108/JSMA-06-2020-0162","http://dx.doi.org/10.1108/JSMA-06-2020-0162")</f>
        <v>http://dx.doi.org/10.1108/JSMA-06-2020-0162</v>
      </c>
      <c r="BG105" t="s">
        <v>72</v>
      </c>
      <c r="BH105" t="s">
        <v>3201</v>
      </c>
      <c r="BI105">
        <v>16</v>
      </c>
      <c r="BJ105" t="s">
        <v>1350</v>
      </c>
      <c r="BK105" t="s">
        <v>152</v>
      </c>
      <c r="BL105" t="s">
        <v>16782</v>
      </c>
      <c r="BM105" t="s">
        <v>72</v>
      </c>
      <c r="BN105" t="s">
        <v>72</v>
      </c>
      <c r="BO105" t="s">
        <v>72</v>
      </c>
      <c r="BP105" t="s">
        <v>72</v>
      </c>
      <c r="BQ105" t="s">
        <v>100</v>
      </c>
      <c r="BR105" t="s">
        <v>16783</v>
      </c>
      <c r="BS105" t="str">
        <f>HYPERLINK("https%3A%2F%2Fwww.webofscience.com%2Fwos%2Fwoscc%2Ffull-record%2FWOS:000612963800001","View Full Record in Web of Science")</f>
        <v>View Full Record in Web of Science</v>
      </c>
    </row>
    <row r="106" spans="1:71" hidden="1" x14ac:dyDescent="0.2">
      <c r="A106" t="s">
        <v>70</v>
      </c>
      <c r="B106" t="s">
        <v>17035</v>
      </c>
      <c r="C106" t="s">
        <v>72</v>
      </c>
      <c r="D106" t="s">
        <v>72</v>
      </c>
      <c r="E106" t="s">
        <v>72</v>
      </c>
      <c r="F106" t="s">
        <v>17036</v>
      </c>
      <c r="G106" t="s">
        <v>72</v>
      </c>
      <c r="H106" t="s">
        <v>72</v>
      </c>
      <c r="I106" t="s">
        <v>17037</v>
      </c>
      <c r="J106" t="s">
        <v>17038</v>
      </c>
      <c r="K106" t="s">
        <v>72</v>
      </c>
      <c r="L106" t="s">
        <v>72</v>
      </c>
      <c r="M106" t="s">
        <v>76</v>
      </c>
      <c r="N106" t="s">
        <v>352</v>
      </c>
      <c r="O106" t="s">
        <v>72</v>
      </c>
      <c r="P106" t="s">
        <v>72</v>
      </c>
      <c r="Q106" t="s">
        <v>72</v>
      </c>
      <c r="R106" t="s">
        <v>72</v>
      </c>
      <c r="S106" t="s">
        <v>72</v>
      </c>
      <c r="T106" t="s">
        <v>17039</v>
      </c>
      <c r="U106" t="s">
        <v>17040</v>
      </c>
      <c r="V106" t="s">
        <v>17041</v>
      </c>
      <c r="W106" t="s">
        <v>17042</v>
      </c>
      <c r="X106" t="s">
        <v>17043</v>
      </c>
      <c r="Y106" t="s">
        <v>17044</v>
      </c>
      <c r="Z106" t="s">
        <v>17045</v>
      </c>
      <c r="AA106" t="s">
        <v>72</v>
      </c>
      <c r="AB106" t="s">
        <v>17046</v>
      </c>
      <c r="AC106" t="s">
        <v>72</v>
      </c>
      <c r="AD106" t="s">
        <v>72</v>
      </c>
      <c r="AE106" t="s">
        <v>72</v>
      </c>
      <c r="AF106" t="s">
        <v>72</v>
      </c>
      <c r="AG106">
        <v>104</v>
      </c>
      <c r="AH106">
        <v>0</v>
      </c>
      <c r="AI106">
        <v>0</v>
      </c>
      <c r="AJ106">
        <v>1</v>
      </c>
      <c r="AK106">
        <v>1</v>
      </c>
      <c r="AL106" t="s">
        <v>1165</v>
      </c>
      <c r="AM106" t="s">
        <v>1166</v>
      </c>
      <c r="AN106" t="s">
        <v>1167</v>
      </c>
      <c r="AO106" t="s">
        <v>17047</v>
      </c>
      <c r="AP106" t="s">
        <v>17048</v>
      </c>
      <c r="AQ106" t="s">
        <v>72</v>
      </c>
      <c r="AR106" t="s">
        <v>17049</v>
      </c>
      <c r="AS106" t="s">
        <v>17050</v>
      </c>
      <c r="AT106" t="s">
        <v>72</v>
      </c>
      <c r="AU106" t="s">
        <v>72</v>
      </c>
      <c r="AV106" t="s">
        <v>72</v>
      </c>
      <c r="AW106" t="s">
        <v>72</v>
      </c>
      <c r="AX106" t="s">
        <v>72</v>
      </c>
      <c r="AY106" t="s">
        <v>72</v>
      </c>
      <c r="AZ106" t="s">
        <v>72</v>
      </c>
      <c r="BA106" t="s">
        <v>72</v>
      </c>
      <c r="BB106" t="s">
        <v>72</v>
      </c>
      <c r="BC106" t="s">
        <v>72</v>
      </c>
      <c r="BD106" t="s">
        <v>72</v>
      </c>
      <c r="BE106" t="s">
        <v>17051</v>
      </c>
      <c r="BF106" t="str">
        <f>HYPERLINK("http://dx.doi.org/10.1108/JAEE-07-2021-0237","http://dx.doi.org/10.1108/JAEE-07-2021-0237")</f>
        <v>http://dx.doi.org/10.1108/JAEE-07-2021-0237</v>
      </c>
      <c r="BG106" t="s">
        <v>72</v>
      </c>
      <c r="BH106" t="s">
        <v>1770</v>
      </c>
      <c r="BI106">
        <v>23</v>
      </c>
      <c r="BJ106" t="s">
        <v>2723</v>
      </c>
      <c r="BK106" t="s">
        <v>152</v>
      </c>
      <c r="BL106" t="s">
        <v>17052</v>
      </c>
      <c r="BM106" t="s">
        <v>72</v>
      </c>
      <c r="BN106" t="s">
        <v>559</v>
      </c>
      <c r="BO106" t="s">
        <v>72</v>
      </c>
      <c r="BP106" t="s">
        <v>72</v>
      </c>
      <c r="BQ106" t="s">
        <v>100</v>
      </c>
      <c r="BR106" t="s">
        <v>17053</v>
      </c>
      <c r="BS106" t="str">
        <f>HYPERLINK("https%3A%2F%2Fwww.webofscience.com%2Fwos%2Fwoscc%2Ffull-record%2FWOS:000779677700001","View Full Record in Web of Science")</f>
        <v>View Full Record in Web of Science</v>
      </c>
    </row>
    <row r="107" spans="1:71" hidden="1" x14ac:dyDescent="0.2">
      <c r="A107" t="s">
        <v>70</v>
      </c>
      <c r="B107" t="s">
        <v>17054</v>
      </c>
      <c r="C107" t="s">
        <v>72</v>
      </c>
      <c r="D107" t="s">
        <v>72</v>
      </c>
      <c r="E107" t="s">
        <v>72</v>
      </c>
      <c r="F107" t="s">
        <v>17055</v>
      </c>
      <c r="G107" t="s">
        <v>72</v>
      </c>
      <c r="H107" t="s">
        <v>72</v>
      </c>
      <c r="I107" t="s">
        <v>17056</v>
      </c>
      <c r="J107" t="s">
        <v>17057</v>
      </c>
      <c r="K107" t="s">
        <v>72</v>
      </c>
      <c r="L107" t="s">
        <v>72</v>
      </c>
      <c r="M107" t="s">
        <v>76</v>
      </c>
      <c r="N107" t="s">
        <v>77</v>
      </c>
      <c r="O107" t="s">
        <v>72</v>
      </c>
      <c r="P107" t="s">
        <v>72</v>
      </c>
      <c r="Q107" t="s">
        <v>72</v>
      </c>
      <c r="R107" t="s">
        <v>72</v>
      </c>
      <c r="S107" t="s">
        <v>72</v>
      </c>
      <c r="T107" t="s">
        <v>17058</v>
      </c>
      <c r="U107" t="s">
        <v>17059</v>
      </c>
      <c r="V107" t="s">
        <v>17060</v>
      </c>
      <c r="W107" t="s">
        <v>17061</v>
      </c>
      <c r="X107" t="s">
        <v>16775</v>
      </c>
      <c r="Y107" t="s">
        <v>17062</v>
      </c>
      <c r="Z107" t="s">
        <v>17063</v>
      </c>
      <c r="AA107" t="s">
        <v>72</v>
      </c>
      <c r="AB107" t="s">
        <v>17064</v>
      </c>
      <c r="AC107" t="s">
        <v>72</v>
      </c>
      <c r="AD107" t="s">
        <v>72</v>
      </c>
      <c r="AE107" t="s">
        <v>72</v>
      </c>
      <c r="AF107" t="s">
        <v>72</v>
      </c>
      <c r="AG107">
        <v>109</v>
      </c>
      <c r="AH107">
        <v>43</v>
      </c>
      <c r="AI107">
        <v>49</v>
      </c>
      <c r="AJ107">
        <v>2</v>
      </c>
      <c r="AK107">
        <v>32</v>
      </c>
      <c r="AL107" t="s">
        <v>1165</v>
      </c>
      <c r="AM107" t="s">
        <v>1166</v>
      </c>
      <c r="AN107" t="s">
        <v>1167</v>
      </c>
      <c r="AO107" t="s">
        <v>17065</v>
      </c>
      <c r="AP107" t="s">
        <v>17066</v>
      </c>
      <c r="AQ107" t="s">
        <v>72</v>
      </c>
      <c r="AR107" t="s">
        <v>17067</v>
      </c>
      <c r="AS107" t="s">
        <v>17068</v>
      </c>
      <c r="AT107" t="s">
        <v>72</v>
      </c>
      <c r="AU107">
        <v>2017</v>
      </c>
      <c r="AV107">
        <v>32</v>
      </c>
      <c r="AW107" t="s">
        <v>17069</v>
      </c>
      <c r="AX107" t="s">
        <v>72</v>
      </c>
      <c r="AY107" t="s">
        <v>72</v>
      </c>
      <c r="AZ107" t="s">
        <v>478</v>
      </c>
      <c r="BA107" t="s">
        <v>72</v>
      </c>
      <c r="BB107">
        <v>378</v>
      </c>
      <c r="BC107">
        <v>405</v>
      </c>
      <c r="BD107" t="s">
        <v>72</v>
      </c>
      <c r="BE107" t="s">
        <v>17070</v>
      </c>
      <c r="BF107" t="str">
        <f>HYPERLINK("http://dx.doi.org/10.1108/MAJ-03-2016-1341","http://dx.doi.org/10.1108/MAJ-03-2016-1341")</f>
        <v>http://dx.doi.org/10.1108/MAJ-03-2016-1341</v>
      </c>
      <c r="BG107" t="s">
        <v>72</v>
      </c>
      <c r="BH107" t="s">
        <v>72</v>
      </c>
      <c r="BI107">
        <v>28</v>
      </c>
      <c r="BJ107" t="s">
        <v>17071</v>
      </c>
      <c r="BK107" t="s">
        <v>152</v>
      </c>
      <c r="BL107" t="s">
        <v>17072</v>
      </c>
      <c r="BM107" t="s">
        <v>72</v>
      </c>
      <c r="BN107" t="s">
        <v>72</v>
      </c>
      <c r="BO107" t="s">
        <v>72</v>
      </c>
      <c r="BP107" t="s">
        <v>72</v>
      </c>
      <c r="BQ107" t="s">
        <v>100</v>
      </c>
      <c r="BR107" t="s">
        <v>17073</v>
      </c>
      <c r="BS107" t="str">
        <f>HYPERLINK("https%3A%2F%2Fwww.webofscience.com%2Fwos%2Fwoscc%2Ffull-record%2FWOS:000401122800004","View Full Record in Web of Science")</f>
        <v>View Full Record in Web of Science</v>
      </c>
    </row>
    <row r="108" spans="1:71" hidden="1" x14ac:dyDescent="0.2">
      <c r="A108" t="s">
        <v>70</v>
      </c>
      <c r="B108" t="s">
        <v>17074</v>
      </c>
      <c r="C108" t="s">
        <v>72</v>
      </c>
      <c r="D108" t="s">
        <v>72</v>
      </c>
      <c r="E108" t="s">
        <v>72</v>
      </c>
      <c r="F108" t="s">
        <v>17075</v>
      </c>
      <c r="G108" t="s">
        <v>72</v>
      </c>
      <c r="H108" t="s">
        <v>72</v>
      </c>
      <c r="I108" t="s">
        <v>17076</v>
      </c>
      <c r="J108" t="s">
        <v>17077</v>
      </c>
      <c r="K108" t="s">
        <v>72</v>
      </c>
      <c r="L108" t="s">
        <v>72</v>
      </c>
      <c r="M108" t="s">
        <v>76</v>
      </c>
      <c r="N108" t="s">
        <v>77</v>
      </c>
      <c r="O108" t="s">
        <v>72</v>
      </c>
      <c r="P108" t="s">
        <v>72</v>
      </c>
      <c r="Q108" t="s">
        <v>72</v>
      </c>
      <c r="R108" t="s">
        <v>72</v>
      </c>
      <c r="S108" t="s">
        <v>72</v>
      </c>
      <c r="T108" t="s">
        <v>17078</v>
      </c>
      <c r="U108" t="s">
        <v>17079</v>
      </c>
      <c r="V108" t="s">
        <v>17080</v>
      </c>
      <c r="W108" t="s">
        <v>17081</v>
      </c>
      <c r="X108" t="s">
        <v>17082</v>
      </c>
      <c r="Y108" t="s">
        <v>17083</v>
      </c>
      <c r="Z108" t="s">
        <v>17084</v>
      </c>
      <c r="AA108" t="s">
        <v>72</v>
      </c>
      <c r="AB108" t="s">
        <v>17085</v>
      </c>
      <c r="AC108" t="s">
        <v>72</v>
      </c>
      <c r="AD108" t="s">
        <v>72</v>
      </c>
      <c r="AE108" t="s">
        <v>72</v>
      </c>
      <c r="AF108" t="s">
        <v>72</v>
      </c>
      <c r="AG108">
        <v>71</v>
      </c>
      <c r="AH108">
        <v>2</v>
      </c>
      <c r="AI108">
        <v>2</v>
      </c>
      <c r="AJ108">
        <v>0</v>
      </c>
      <c r="AK108">
        <v>9</v>
      </c>
      <c r="AL108" t="s">
        <v>1165</v>
      </c>
      <c r="AM108" t="s">
        <v>1166</v>
      </c>
      <c r="AN108" t="s">
        <v>1167</v>
      </c>
      <c r="AO108" t="s">
        <v>17086</v>
      </c>
      <c r="AP108" t="s">
        <v>17087</v>
      </c>
      <c r="AQ108" t="s">
        <v>72</v>
      </c>
      <c r="AR108" t="s">
        <v>17088</v>
      </c>
      <c r="AS108" t="s">
        <v>17089</v>
      </c>
      <c r="AT108" t="s">
        <v>17090</v>
      </c>
      <c r="AU108">
        <v>2020</v>
      </c>
      <c r="AV108">
        <v>34</v>
      </c>
      <c r="AW108">
        <v>3</v>
      </c>
      <c r="AX108" t="s">
        <v>72</v>
      </c>
      <c r="AY108" t="s">
        <v>72</v>
      </c>
      <c r="AZ108" t="s">
        <v>72</v>
      </c>
      <c r="BA108" t="s">
        <v>72</v>
      </c>
      <c r="BB108">
        <v>610</v>
      </c>
      <c r="BC108">
        <v>625</v>
      </c>
      <c r="BD108" t="s">
        <v>72</v>
      </c>
      <c r="BE108" t="s">
        <v>17091</v>
      </c>
      <c r="BF108" t="str">
        <f>HYPERLINK("http://dx.doi.org/10.1108/IJEM-06-2019-0200","http://dx.doi.org/10.1108/IJEM-06-2019-0200")</f>
        <v>http://dx.doi.org/10.1108/IJEM-06-2019-0200</v>
      </c>
      <c r="BG108" t="s">
        <v>72</v>
      </c>
      <c r="BH108" t="s">
        <v>3966</v>
      </c>
      <c r="BI108">
        <v>16</v>
      </c>
      <c r="BJ108" t="s">
        <v>1350</v>
      </c>
      <c r="BK108" t="s">
        <v>152</v>
      </c>
      <c r="BL108" t="s">
        <v>17092</v>
      </c>
      <c r="BM108" t="s">
        <v>72</v>
      </c>
      <c r="BN108" t="s">
        <v>72</v>
      </c>
      <c r="BO108" t="s">
        <v>72</v>
      </c>
      <c r="BP108" t="s">
        <v>72</v>
      </c>
      <c r="BQ108" t="s">
        <v>100</v>
      </c>
      <c r="BR108" t="s">
        <v>17093</v>
      </c>
      <c r="BS108" t="str">
        <f>HYPERLINK("https%3A%2F%2Fwww.webofscience.com%2Fwos%2Fwoscc%2Ffull-record%2FWOS:000501900500001","View Full Record in Web of Science")</f>
        <v>View Full Record in Web of Science</v>
      </c>
    </row>
    <row r="109" spans="1:71" hidden="1" x14ac:dyDescent="0.2">
      <c r="A109" t="s">
        <v>70</v>
      </c>
      <c r="B109" t="s">
        <v>17422</v>
      </c>
      <c r="C109" t="s">
        <v>72</v>
      </c>
      <c r="D109" t="s">
        <v>72</v>
      </c>
      <c r="E109" t="s">
        <v>72</v>
      </c>
      <c r="F109" t="s">
        <v>17423</v>
      </c>
      <c r="G109" t="s">
        <v>72</v>
      </c>
      <c r="H109" t="s">
        <v>72</v>
      </c>
      <c r="I109" t="s">
        <v>17424</v>
      </c>
      <c r="J109" t="s">
        <v>1932</v>
      </c>
      <c r="K109" t="s">
        <v>72</v>
      </c>
      <c r="L109" t="s">
        <v>72</v>
      </c>
      <c r="M109" t="s">
        <v>76</v>
      </c>
      <c r="N109" t="s">
        <v>77</v>
      </c>
      <c r="O109" t="s">
        <v>72</v>
      </c>
      <c r="P109" t="s">
        <v>72</v>
      </c>
      <c r="Q109" t="s">
        <v>72</v>
      </c>
      <c r="R109" t="s">
        <v>72</v>
      </c>
      <c r="S109" t="s">
        <v>72</v>
      </c>
      <c r="T109" t="s">
        <v>17425</v>
      </c>
      <c r="U109" t="s">
        <v>17426</v>
      </c>
      <c r="V109" t="s">
        <v>17427</v>
      </c>
      <c r="W109" t="s">
        <v>17428</v>
      </c>
      <c r="X109" t="s">
        <v>72</v>
      </c>
      <c r="Y109" t="s">
        <v>17429</v>
      </c>
      <c r="Z109" t="s">
        <v>17430</v>
      </c>
      <c r="AA109" t="s">
        <v>72</v>
      </c>
      <c r="AB109" t="s">
        <v>72</v>
      </c>
      <c r="AC109" t="s">
        <v>72</v>
      </c>
      <c r="AD109" t="s">
        <v>72</v>
      </c>
      <c r="AE109" t="s">
        <v>72</v>
      </c>
      <c r="AF109" t="s">
        <v>72</v>
      </c>
      <c r="AG109">
        <v>50</v>
      </c>
      <c r="AH109">
        <v>4</v>
      </c>
      <c r="AI109">
        <v>4</v>
      </c>
      <c r="AJ109">
        <v>0</v>
      </c>
      <c r="AK109">
        <v>17</v>
      </c>
      <c r="AL109" t="s">
        <v>1165</v>
      </c>
      <c r="AM109" t="s">
        <v>1166</v>
      </c>
      <c r="AN109" t="s">
        <v>1167</v>
      </c>
      <c r="AO109" t="s">
        <v>1942</v>
      </c>
      <c r="AP109" t="s">
        <v>1943</v>
      </c>
      <c r="AQ109" t="s">
        <v>72</v>
      </c>
      <c r="AR109" t="s">
        <v>1944</v>
      </c>
      <c r="AS109" t="s">
        <v>1945</v>
      </c>
      <c r="AT109" t="s">
        <v>17431</v>
      </c>
      <c r="AU109">
        <v>2021</v>
      </c>
      <c r="AV109">
        <v>26</v>
      </c>
      <c r="AW109">
        <v>1</v>
      </c>
      <c r="AX109" t="s">
        <v>72</v>
      </c>
      <c r="AY109" t="s">
        <v>72</v>
      </c>
      <c r="AZ109" t="s">
        <v>478</v>
      </c>
      <c r="BA109" t="s">
        <v>72</v>
      </c>
      <c r="BB109">
        <v>2</v>
      </c>
      <c r="BC109">
        <v>22</v>
      </c>
      <c r="BD109" t="s">
        <v>72</v>
      </c>
      <c r="BE109" t="s">
        <v>17432</v>
      </c>
      <c r="BF109" t="str">
        <f>HYPERLINK("http://dx.doi.org/10.1108/CCIJ-01-2020-0028","http://dx.doi.org/10.1108/CCIJ-01-2020-0028")</f>
        <v>http://dx.doi.org/10.1108/CCIJ-01-2020-0028</v>
      </c>
      <c r="BG109" t="s">
        <v>72</v>
      </c>
      <c r="BH109" t="s">
        <v>5360</v>
      </c>
      <c r="BI109">
        <v>21</v>
      </c>
      <c r="BJ109" t="s">
        <v>151</v>
      </c>
      <c r="BK109" t="s">
        <v>152</v>
      </c>
      <c r="BL109" t="s">
        <v>17433</v>
      </c>
      <c r="BM109" t="s">
        <v>72</v>
      </c>
      <c r="BN109" t="s">
        <v>72</v>
      </c>
      <c r="BO109" t="s">
        <v>72</v>
      </c>
      <c r="BP109" t="s">
        <v>72</v>
      </c>
      <c r="BQ109" t="s">
        <v>100</v>
      </c>
      <c r="BR109" t="s">
        <v>17434</v>
      </c>
      <c r="BS109" t="str">
        <f>HYPERLINK("https%3A%2F%2Fwww.webofscience.com%2Fwos%2Fwoscc%2Ffull-record%2FWOS:000563248500001","View Full Record in Web of Science")</f>
        <v>View Full Record in Web of Science</v>
      </c>
    </row>
    <row r="110" spans="1:71" hidden="1" x14ac:dyDescent="0.2">
      <c r="A110" t="s">
        <v>70</v>
      </c>
      <c r="B110" t="s">
        <v>1688</v>
      </c>
      <c r="C110" t="s">
        <v>72</v>
      </c>
      <c r="D110" t="s">
        <v>72</v>
      </c>
      <c r="E110" t="s">
        <v>72</v>
      </c>
      <c r="F110" t="s">
        <v>1689</v>
      </c>
      <c r="G110" t="s">
        <v>72</v>
      </c>
      <c r="H110" t="s">
        <v>72</v>
      </c>
      <c r="I110" t="s">
        <v>1690</v>
      </c>
      <c r="J110" t="s">
        <v>1691</v>
      </c>
      <c r="K110" t="s">
        <v>72</v>
      </c>
      <c r="L110" t="s">
        <v>72</v>
      </c>
      <c r="M110" t="s">
        <v>76</v>
      </c>
      <c r="N110" t="s">
        <v>77</v>
      </c>
      <c r="O110" t="s">
        <v>72</v>
      </c>
      <c r="P110" t="s">
        <v>72</v>
      </c>
      <c r="Q110" t="s">
        <v>72</v>
      </c>
      <c r="R110" t="s">
        <v>72</v>
      </c>
      <c r="S110" t="s">
        <v>72</v>
      </c>
      <c r="T110" t="s">
        <v>1692</v>
      </c>
      <c r="U110" t="s">
        <v>1693</v>
      </c>
      <c r="V110" t="s">
        <v>1694</v>
      </c>
      <c r="W110" t="s">
        <v>1695</v>
      </c>
      <c r="X110" t="s">
        <v>164</v>
      </c>
      <c r="Y110" t="s">
        <v>1696</v>
      </c>
      <c r="Z110" t="s">
        <v>1697</v>
      </c>
      <c r="AA110" t="s">
        <v>72</v>
      </c>
      <c r="AB110" t="s">
        <v>72</v>
      </c>
      <c r="AC110" t="s">
        <v>72</v>
      </c>
      <c r="AD110" t="s">
        <v>72</v>
      </c>
      <c r="AE110" t="s">
        <v>72</v>
      </c>
      <c r="AF110" t="s">
        <v>72</v>
      </c>
      <c r="AG110">
        <v>60</v>
      </c>
      <c r="AH110">
        <v>26</v>
      </c>
      <c r="AI110">
        <v>27</v>
      </c>
      <c r="AJ110">
        <v>3</v>
      </c>
      <c r="AK110">
        <v>65</v>
      </c>
      <c r="AL110" t="s">
        <v>1698</v>
      </c>
      <c r="AM110" t="s">
        <v>707</v>
      </c>
      <c r="AN110" t="s">
        <v>1699</v>
      </c>
      <c r="AO110" t="s">
        <v>1700</v>
      </c>
      <c r="AP110" t="s">
        <v>1701</v>
      </c>
      <c r="AQ110" t="s">
        <v>72</v>
      </c>
      <c r="AR110" t="s">
        <v>1702</v>
      </c>
      <c r="AS110" t="s">
        <v>1703</v>
      </c>
      <c r="AT110" t="s">
        <v>929</v>
      </c>
      <c r="AU110">
        <v>2016</v>
      </c>
      <c r="AV110">
        <v>42</v>
      </c>
      <c r="AW110">
        <v>5</v>
      </c>
      <c r="AX110" t="s">
        <v>72</v>
      </c>
      <c r="AY110" t="s">
        <v>72</v>
      </c>
      <c r="AZ110" t="s">
        <v>72</v>
      </c>
      <c r="BA110" t="s">
        <v>72</v>
      </c>
      <c r="BB110">
        <v>952</v>
      </c>
      <c r="BC110">
        <v>961</v>
      </c>
      <c r="BD110" t="s">
        <v>72</v>
      </c>
      <c r="BE110" t="s">
        <v>1704</v>
      </c>
      <c r="BF110" t="str">
        <f>HYPERLINK("http://dx.doi.org/10.1016/j.pubrev.2016.09.001","http://dx.doi.org/10.1016/j.pubrev.2016.09.001")</f>
        <v>http://dx.doi.org/10.1016/j.pubrev.2016.09.001</v>
      </c>
      <c r="BG110" t="s">
        <v>72</v>
      </c>
      <c r="BH110" t="s">
        <v>72</v>
      </c>
      <c r="BI110">
        <v>10</v>
      </c>
      <c r="BJ110" t="s">
        <v>1705</v>
      </c>
      <c r="BK110" t="s">
        <v>1706</v>
      </c>
      <c r="BL110" t="s">
        <v>1707</v>
      </c>
      <c r="BM110" t="s">
        <v>72</v>
      </c>
      <c r="BN110" t="s">
        <v>1128</v>
      </c>
      <c r="BO110" t="s">
        <v>72</v>
      </c>
      <c r="BP110" t="s">
        <v>72</v>
      </c>
      <c r="BQ110" t="s">
        <v>100</v>
      </c>
      <c r="BR110" t="s">
        <v>1708</v>
      </c>
      <c r="BS110" t="str">
        <f>HYPERLINK("https%3A%2F%2Fwww.webofscience.com%2Fwos%2Fwoscc%2Ffull-record%2FWOS:000389735300025","View Full Record in Web of Science")</f>
        <v>View Full Record in Web of Science</v>
      </c>
    </row>
    <row r="111" spans="1:71" hidden="1" x14ac:dyDescent="0.2">
      <c r="A111" t="s">
        <v>70</v>
      </c>
      <c r="B111" t="s">
        <v>1916</v>
      </c>
      <c r="C111" t="s">
        <v>72</v>
      </c>
      <c r="D111" t="s">
        <v>72</v>
      </c>
      <c r="E111" t="s">
        <v>72</v>
      </c>
      <c r="F111" t="s">
        <v>1917</v>
      </c>
      <c r="G111" t="s">
        <v>72</v>
      </c>
      <c r="H111" t="s">
        <v>72</v>
      </c>
      <c r="I111" t="s">
        <v>1918</v>
      </c>
      <c r="J111" t="s">
        <v>1691</v>
      </c>
      <c r="K111" t="s">
        <v>72</v>
      </c>
      <c r="L111" t="s">
        <v>72</v>
      </c>
      <c r="M111" t="s">
        <v>76</v>
      </c>
      <c r="N111" t="s">
        <v>77</v>
      </c>
      <c r="O111" t="s">
        <v>72</v>
      </c>
      <c r="P111" t="s">
        <v>72</v>
      </c>
      <c r="Q111" t="s">
        <v>72</v>
      </c>
      <c r="R111" t="s">
        <v>72</v>
      </c>
      <c r="S111" t="s">
        <v>72</v>
      </c>
      <c r="T111" t="s">
        <v>1919</v>
      </c>
      <c r="U111" t="s">
        <v>1920</v>
      </c>
      <c r="V111" t="s">
        <v>1921</v>
      </c>
      <c r="W111" t="s">
        <v>1922</v>
      </c>
      <c r="X111" t="s">
        <v>164</v>
      </c>
      <c r="Y111" t="s">
        <v>1923</v>
      </c>
      <c r="Z111" t="s">
        <v>1924</v>
      </c>
      <c r="AA111" t="s">
        <v>72</v>
      </c>
      <c r="AB111" t="s">
        <v>72</v>
      </c>
      <c r="AC111" t="s">
        <v>72</v>
      </c>
      <c r="AD111" t="s">
        <v>72</v>
      </c>
      <c r="AE111" t="s">
        <v>72</v>
      </c>
      <c r="AF111" t="s">
        <v>72</v>
      </c>
      <c r="AG111">
        <v>6</v>
      </c>
      <c r="AH111">
        <v>74</v>
      </c>
      <c r="AI111">
        <v>75</v>
      </c>
      <c r="AJ111">
        <v>6</v>
      </c>
      <c r="AK111">
        <v>176</v>
      </c>
      <c r="AL111" t="s">
        <v>1698</v>
      </c>
      <c r="AM111" t="s">
        <v>707</v>
      </c>
      <c r="AN111" t="s">
        <v>1925</v>
      </c>
      <c r="AO111" t="s">
        <v>1700</v>
      </c>
      <c r="AP111" t="s">
        <v>72</v>
      </c>
      <c r="AQ111" t="s">
        <v>72</v>
      </c>
      <c r="AR111" t="s">
        <v>1702</v>
      </c>
      <c r="AS111" t="s">
        <v>1703</v>
      </c>
      <c r="AT111" t="s">
        <v>95</v>
      </c>
      <c r="AU111">
        <v>2013</v>
      </c>
      <c r="AV111">
        <v>39</v>
      </c>
      <c r="AW111">
        <v>3</v>
      </c>
      <c r="AX111" t="s">
        <v>72</v>
      </c>
      <c r="AY111" t="s">
        <v>72</v>
      </c>
      <c r="AZ111" t="s">
        <v>72</v>
      </c>
      <c r="BA111" t="s">
        <v>72</v>
      </c>
      <c r="BB111">
        <v>229</v>
      </c>
      <c r="BC111">
        <v>231</v>
      </c>
      <c r="BD111" t="s">
        <v>72</v>
      </c>
      <c r="BE111" t="s">
        <v>1926</v>
      </c>
      <c r="BF111" t="str">
        <f>HYPERLINK("http://dx.doi.org/10.1016/j.pubrev.2012.12.001","http://dx.doi.org/10.1016/j.pubrev.2012.12.001")</f>
        <v>http://dx.doi.org/10.1016/j.pubrev.2012.12.001</v>
      </c>
      <c r="BG111" t="s">
        <v>72</v>
      </c>
      <c r="BH111" t="s">
        <v>72</v>
      </c>
      <c r="BI111">
        <v>3</v>
      </c>
      <c r="BJ111" t="s">
        <v>1705</v>
      </c>
      <c r="BK111" t="s">
        <v>1706</v>
      </c>
      <c r="BL111" t="s">
        <v>1927</v>
      </c>
      <c r="BM111" t="s">
        <v>72</v>
      </c>
      <c r="BN111" t="s">
        <v>72</v>
      </c>
      <c r="BO111" t="s">
        <v>72</v>
      </c>
      <c r="BP111" t="s">
        <v>72</v>
      </c>
      <c r="BQ111" t="s">
        <v>100</v>
      </c>
      <c r="BR111" t="s">
        <v>1928</v>
      </c>
      <c r="BS111" t="str">
        <f>HYPERLINK("https%3A%2F%2Fwww.webofscience.com%2Fwos%2Fwoscc%2Ffull-record%2FWOS:000320292800013","View Full Record in Web of Science")</f>
        <v>View Full Record in Web of Science</v>
      </c>
    </row>
    <row r="112" spans="1:71" hidden="1" x14ac:dyDescent="0.2">
      <c r="A112" t="s">
        <v>70</v>
      </c>
      <c r="B112" t="s">
        <v>4020</v>
      </c>
      <c r="C112" t="s">
        <v>72</v>
      </c>
      <c r="D112" t="s">
        <v>72</v>
      </c>
      <c r="E112" t="s">
        <v>72</v>
      </c>
      <c r="F112" t="s">
        <v>4021</v>
      </c>
      <c r="G112" t="s">
        <v>72</v>
      </c>
      <c r="H112" t="s">
        <v>72</v>
      </c>
      <c r="I112" t="s">
        <v>4022</v>
      </c>
      <c r="J112" t="s">
        <v>1691</v>
      </c>
      <c r="K112" t="s">
        <v>72</v>
      </c>
      <c r="L112" t="s">
        <v>72</v>
      </c>
      <c r="M112" t="s">
        <v>76</v>
      </c>
      <c r="N112" t="s">
        <v>77</v>
      </c>
      <c r="O112" t="s">
        <v>72</v>
      </c>
      <c r="P112" t="s">
        <v>72</v>
      </c>
      <c r="Q112" t="s">
        <v>72</v>
      </c>
      <c r="R112" t="s">
        <v>72</v>
      </c>
      <c r="S112" t="s">
        <v>72</v>
      </c>
      <c r="T112" t="s">
        <v>4023</v>
      </c>
      <c r="U112" t="s">
        <v>4024</v>
      </c>
      <c r="V112" t="s">
        <v>4025</v>
      </c>
      <c r="W112" t="s">
        <v>4026</v>
      </c>
      <c r="X112" t="s">
        <v>164</v>
      </c>
      <c r="Y112" t="s">
        <v>4027</v>
      </c>
      <c r="Z112" t="s">
        <v>4028</v>
      </c>
      <c r="AA112" t="s">
        <v>72</v>
      </c>
      <c r="AB112" t="s">
        <v>72</v>
      </c>
      <c r="AC112" t="s">
        <v>72</v>
      </c>
      <c r="AD112" t="s">
        <v>72</v>
      </c>
      <c r="AE112" t="s">
        <v>72</v>
      </c>
      <c r="AF112" t="s">
        <v>72</v>
      </c>
      <c r="AG112">
        <v>64</v>
      </c>
      <c r="AH112">
        <v>4</v>
      </c>
      <c r="AI112">
        <v>4</v>
      </c>
      <c r="AJ112">
        <v>0</v>
      </c>
      <c r="AK112">
        <v>36</v>
      </c>
      <c r="AL112" t="s">
        <v>1698</v>
      </c>
      <c r="AM112" t="s">
        <v>707</v>
      </c>
      <c r="AN112" t="s">
        <v>1925</v>
      </c>
      <c r="AO112" t="s">
        <v>1700</v>
      </c>
      <c r="AP112" t="s">
        <v>1701</v>
      </c>
      <c r="AQ112" t="s">
        <v>72</v>
      </c>
      <c r="AR112" t="s">
        <v>1702</v>
      </c>
      <c r="AS112" t="s">
        <v>1703</v>
      </c>
      <c r="AT112" t="s">
        <v>929</v>
      </c>
      <c r="AU112">
        <v>2018</v>
      </c>
      <c r="AV112">
        <v>44</v>
      </c>
      <c r="AW112">
        <v>5</v>
      </c>
      <c r="AX112" t="s">
        <v>72</v>
      </c>
      <c r="AY112" t="s">
        <v>72</v>
      </c>
      <c r="AZ112" t="s">
        <v>72</v>
      </c>
      <c r="BA112" t="s">
        <v>72</v>
      </c>
      <c r="BB112">
        <v>645</v>
      </c>
      <c r="BC112">
        <v>655</v>
      </c>
      <c r="BD112" t="s">
        <v>72</v>
      </c>
      <c r="BE112" t="s">
        <v>4029</v>
      </c>
      <c r="BF112" t="str">
        <f>HYPERLINK("http://dx.doi.org/10.1016/j.pubrev.2018.05.007","http://dx.doi.org/10.1016/j.pubrev.2018.05.007")</f>
        <v>http://dx.doi.org/10.1016/j.pubrev.2018.05.007</v>
      </c>
      <c r="BG112" t="s">
        <v>72</v>
      </c>
      <c r="BH112" t="s">
        <v>72</v>
      </c>
      <c r="BI112">
        <v>11</v>
      </c>
      <c r="BJ112" t="s">
        <v>1705</v>
      </c>
      <c r="BK112" t="s">
        <v>1706</v>
      </c>
      <c r="BL112" t="s">
        <v>4030</v>
      </c>
      <c r="BM112" t="s">
        <v>72</v>
      </c>
      <c r="BN112" t="s">
        <v>72</v>
      </c>
      <c r="BO112" t="s">
        <v>72</v>
      </c>
      <c r="BP112" t="s">
        <v>72</v>
      </c>
      <c r="BQ112" t="s">
        <v>100</v>
      </c>
      <c r="BR112" t="s">
        <v>4031</v>
      </c>
      <c r="BS112" t="str">
        <f>HYPERLINK("https%3A%2F%2Fwww.webofscience.com%2Fwos%2Fwoscc%2Ffull-record%2FWOS:000453649200002","View Full Record in Web of Science")</f>
        <v>View Full Record in Web of Science</v>
      </c>
    </row>
    <row r="113" spans="1:71" hidden="1" x14ac:dyDescent="0.2">
      <c r="A113" t="s">
        <v>70</v>
      </c>
      <c r="B113" t="s">
        <v>1688</v>
      </c>
      <c r="C113" t="s">
        <v>72</v>
      </c>
      <c r="D113" t="s">
        <v>72</v>
      </c>
      <c r="E113" t="s">
        <v>72</v>
      </c>
      <c r="F113" t="s">
        <v>1689</v>
      </c>
      <c r="G113" t="s">
        <v>72</v>
      </c>
      <c r="H113" t="s">
        <v>72</v>
      </c>
      <c r="I113" t="s">
        <v>5437</v>
      </c>
      <c r="J113" t="s">
        <v>1691</v>
      </c>
      <c r="K113" t="s">
        <v>72</v>
      </c>
      <c r="L113" t="s">
        <v>72</v>
      </c>
      <c r="M113" t="s">
        <v>76</v>
      </c>
      <c r="N113" t="s">
        <v>77</v>
      </c>
      <c r="O113" t="s">
        <v>72</v>
      </c>
      <c r="P113" t="s">
        <v>72</v>
      </c>
      <c r="Q113" t="s">
        <v>72</v>
      </c>
      <c r="R113" t="s">
        <v>72</v>
      </c>
      <c r="S113" t="s">
        <v>72</v>
      </c>
      <c r="T113" t="s">
        <v>5438</v>
      </c>
      <c r="U113" t="s">
        <v>802</v>
      </c>
      <c r="V113" t="s">
        <v>5439</v>
      </c>
      <c r="W113" t="s">
        <v>5440</v>
      </c>
      <c r="X113" t="s">
        <v>164</v>
      </c>
      <c r="Y113" t="s">
        <v>1923</v>
      </c>
      <c r="Z113" t="s">
        <v>1697</v>
      </c>
      <c r="AA113" t="s">
        <v>72</v>
      </c>
      <c r="AB113" t="s">
        <v>72</v>
      </c>
      <c r="AC113" t="s">
        <v>72</v>
      </c>
      <c r="AD113" t="s">
        <v>72</v>
      </c>
      <c r="AE113" t="s">
        <v>72</v>
      </c>
      <c r="AF113" t="s">
        <v>72</v>
      </c>
      <c r="AG113">
        <v>6</v>
      </c>
      <c r="AH113">
        <v>15</v>
      </c>
      <c r="AI113">
        <v>15</v>
      </c>
      <c r="AJ113">
        <v>4</v>
      </c>
      <c r="AK113">
        <v>71</v>
      </c>
      <c r="AL113" t="s">
        <v>1698</v>
      </c>
      <c r="AM113" t="s">
        <v>707</v>
      </c>
      <c r="AN113" t="s">
        <v>1699</v>
      </c>
      <c r="AO113" t="s">
        <v>1700</v>
      </c>
      <c r="AP113" t="s">
        <v>1701</v>
      </c>
      <c r="AQ113" t="s">
        <v>72</v>
      </c>
      <c r="AR113" t="s">
        <v>1702</v>
      </c>
      <c r="AS113" t="s">
        <v>1703</v>
      </c>
      <c r="AT113" t="s">
        <v>95</v>
      </c>
      <c r="AU113">
        <v>2014</v>
      </c>
      <c r="AV113">
        <v>40</v>
      </c>
      <c r="AW113">
        <v>3</v>
      </c>
      <c r="AX113" t="s">
        <v>72</v>
      </c>
      <c r="AY113" t="s">
        <v>72</v>
      </c>
      <c r="AZ113" t="s">
        <v>72</v>
      </c>
      <c r="BA113" t="s">
        <v>72</v>
      </c>
      <c r="BB113">
        <v>537</v>
      </c>
      <c r="BC113">
        <v>539</v>
      </c>
      <c r="BD113" t="s">
        <v>72</v>
      </c>
      <c r="BE113" t="s">
        <v>5441</v>
      </c>
      <c r="BF113" t="str">
        <f>HYPERLINK("http://dx.doi.org/10.1016/j.pubrev.2014.02.005","http://dx.doi.org/10.1016/j.pubrev.2014.02.005")</f>
        <v>http://dx.doi.org/10.1016/j.pubrev.2014.02.005</v>
      </c>
      <c r="BG113" t="s">
        <v>72</v>
      </c>
      <c r="BH113" t="s">
        <v>72</v>
      </c>
      <c r="BI113">
        <v>3</v>
      </c>
      <c r="BJ113" t="s">
        <v>1705</v>
      </c>
      <c r="BK113" t="s">
        <v>1706</v>
      </c>
      <c r="BL113" t="s">
        <v>5442</v>
      </c>
      <c r="BM113" t="s">
        <v>72</v>
      </c>
      <c r="BN113" t="s">
        <v>72</v>
      </c>
      <c r="BO113" t="s">
        <v>72</v>
      </c>
      <c r="BP113" t="s">
        <v>72</v>
      </c>
      <c r="BQ113" t="s">
        <v>100</v>
      </c>
      <c r="BR113" t="s">
        <v>5443</v>
      </c>
      <c r="BS113" t="str">
        <f>HYPERLINK("https%3A%2F%2Fwww.webofscience.com%2Fwos%2Fwoscc%2Ffull-record%2FWOS:000337989600018","View Full Record in Web of Science")</f>
        <v>View Full Record in Web of Science</v>
      </c>
    </row>
    <row r="114" spans="1:71" hidden="1" x14ac:dyDescent="0.2">
      <c r="A114" t="s">
        <v>70</v>
      </c>
      <c r="B114" t="s">
        <v>7247</v>
      </c>
      <c r="C114" t="s">
        <v>72</v>
      </c>
      <c r="D114" t="s">
        <v>72</v>
      </c>
      <c r="E114" t="s">
        <v>72</v>
      </c>
      <c r="F114" t="s">
        <v>7248</v>
      </c>
      <c r="G114" t="s">
        <v>72</v>
      </c>
      <c r="H114" t="s">
        <v>72</v>
      </c>
      <c r="I114" t="s">
        <v>7249</v>
      </c>
      <c r="J114" t="s">
        <v>7250</v>
      </c>
      <c r="K114" t="s">
        <v>72</v>
      </c>
      <c r="L114" t="s">
        <v>72</v>
      </c>
      <c r="M114" t="s">
        <v>76</v>
      </c>
      <c r="N114" t="s">
        <v>77</v>
      </c>
      <c r="O114" t="s">
        <v>72</v>
      </c>
      <c r="P114" t="s">
        <v>72</v>
      </c>
      <c r="Q114" t="s">
        <v>72</v>
      </c>
      <c r="R114" t="s">
        <v>72</v>
      </c>
      <c r="S114" t="s">
        <v>72</v>
      </c>
      <c r="T114" t="s">
        <v>7251</v>
      </c>
      <c r="U114" t="s">
        <v>7252</v>
      </c>
      <c r="V114" t="s">
        <v>7253</v>
      </c>
      <c r="W114" t="s">
        <v>7254</v>
      </c>
      <c r="X114" t="s">
        <v>7255</v>
      </c>
      <c r="Y114" t="s">
        <v>7256</v>
      </c>
      <c r="Z114" t="s">
        <v>7257</v>
      </c>
      <c r="AA114" t="s">
        <v>7258</v>
      </c>
      <c r="AB114" t="s">
        <v>7259</v>
      </c>
      <c r="AC114" t="s">
        <v>72</v>
      </c>
      <c r="AD114" t="s">
        <v>72</v>
      </c>
      <c r="AE114" t="s">
        <v>72</v>
      </c>
      <c r="AF114" t="s">
        <v>72</v>
      </c>
      <c r="AG114">
        <v>77</v>
      </c>
      <c r="AH114">
        <v>3</v>
      </c>
      <c r="AI114">
        <v>3</v>
      </c>
      <c r="AJ114">
        <v>3</v>
      </c>
      <c r="AK114">
        <v>10</v>
      </c>
      <c r="AL114" t="s">
        <v>190</v>
      </c>
      <c r="AM114" t="s">
        <v>191</v>
      </c>
      <c r="AN114" t="s">
        <v>192</v>
      </c>
      <c r="AO114" t="s">
        <v>7260</v>
      </c>
      <c r="AP114" t="s">
        <v>7261</v>
      </c>
      <c r="AQ114" t="s">
        <v>72</v>
      </c>
      <c r="AR114" t="s">
        <v>7262</v>
      </c>
      <c r="AS114" t="s">
        <v>7263</v>
      </c>
      <c r="AT114" t="s">
        <v>149</v>
      </c>
      <c r="AU114">
        <v>2020</v>
      </c>
      <c r="AV114">
        <v>34</v>
      </c>
      <c r="AW114">
        <v>2</v>
      </c>
      <c r="AX114" t="s">
        <v>72</v>
      </c>
      <c r="AY114" t="s">
        <v>72</v>
      </c>
      <c r="AZ114" t="s">
        <v>72</v>
      </c>
      <c r="BA114" t="s">
        <v>72</v>
      </c>
      <c r="BB114">
        <v>157</v>
      </c>
      <c r="BC114">
        <v>187</v>
      </c>
      <c r="BD114">
        <v>1050651919892312</v>
      </c>
      <c r="BE114" t="s">
        <v>7264</v>
      </c>
      <c r="BF114" t="str">
        <f>HYPERLINK("http://dx.doi.org/10.1177/1050651919892312","http://dx.doi.org/10.1177/1050651919892312")</f>
        <v>http://dx.doi.org/10.1177/1050651919892312</v>
      </c>
      <c r="BG114" t="s">
        <v>72</v>
      </c>
      <c r="BH114" t="s">
        <v>6816</v>
      </c>
      <c r="BI114">
        <v>31</v>
      </c>
      <c r="BJ114" t="s">
        <v>1705</v>
      </c>
      <c r="BK114" t="s">
        <v>1706</v>
      </c>
      <c r="BL114" t="s">
        <v>7265</v>
      </c>
      <c r="BM114" t="s">
        <v>72</v>
      </c>
      <c r="BN114" t="s">
        <v>72</v>
      </c>
      <c r="BO114" t="s">
        <v>72</v>
      </c>
      <c r="BP114" t="s">
        <v>72</v>
      </c>
      <c r="BQ114" t="s">
        <v>100</v>
      </c>
      <c r="BR114" t="s">
        <v>7266</v>
      </c>
      <c r="BS114" t="str">
        <f>HYPERLINK("https%3A%2F%2Fwww.webofscience.com%2Fwos%2Fwoscc%2Ffull-record%2FWOS:000507089900001","View Full Record in Web of Science")</f>
        <v>View Full Record in Web of Science</v>
      </c>
    </row>
    <row r="115" spans="1:71" hidden="1" x14ac:dyDescent="0.2">
      <c r="A115" t="s">
        <v>70</v>
      </c>
      <c r="B115" t="s">
        <v>12491</v>
      </c>
      <c r="C115" t="s">
        <v>72</v>
      </c>
      <c r="D115" t="s">
        <v>72</v>
      </c>
      <c r="E115" t="s">
        <v>72</v>
      </c>
      <c r="F115" t="s">
        <v>12492</v>
      </c>
      <c r="G115" t="s">
        <v>72</v>
      </c>
      <c r="H115" t="s">
        <v>72</v>
      </c>
      <c r="I115" t="s">
        <v>12493</v>
      </c>
      <c r="J115" t="s">
        <v>1691</v>
      </c>
      <c r="K115" t="s">
        <v>72</v>
      </c>
      <c r="L115" t="s">
        <v>72</v>
      </c>
      <c r="M115" t="s">
        <v>76</v>
      </c>
      <c r="N115" t="s">
        <v>77</v>
      </c>
      <c r="O115" t="s">
        <v>72</v>
      </c>
      <c r="P115" t="s">
        <v>72</v>
      </c>
      <c r="Q115" t="s">
        <v>72</v>
      </c>
      <c r="R115" t="s">
        <v>72</v>
      </c>
      <c r="S115" t="s">
        <v>72</v>
      </c>
      <c r="T115" t="s">
        <v>12494</v>
      </c>
      <c r="U115" t="s">
        <v>12495</v>
      </c>
      <c r="V115" t="s">
        <v>12496</v>
      </c>
      <c r="W115" t="s">
        <v>12497</v>
      </c>
      <c r="X115" t="s">
        <v>164</v>
      </c>
      <c r="Y115" t="s">
        <v>1923</v>
      </c>
      <c r="Z115" t="s">
        <v>1697</v>
      </c>
      <c r="AA115" t="s">
        <v>72</v>
      </c>
      <c r="AB115" t="s">
        <v>72</v>
      </c>
      <c r="AC115" t="s">
        <v>72</v>
      </c>
      <c r="AD115" t="s">
        <v>72</v>
      </c>
      <c r="AE115" t="s">
        <v>72</v>
      </c>
      <c r="AF115" t="s">
        <v>72</v>
      </c>
      <c r="AG115">
        <v>41</v>
      </c>
      <c r="AH115">
        <v>43</v>
      </c>
      <c r="AI115">
        <v>43</v>
      </c>
      <c r="AJ115">
        <v>2</v>
      </c>
      <c r="AK115">
        <v>82</v>
      </c>
      <c r="AL115" t="s">
        <v>1698</v>
      </c>
      <c r="AM115" t="s">
        <v>707</v>
      </c>
      <c r="AN115" t="s">
        <v>1699</v>
      </c>
      <c r="AO115" t="s">
        <v>1700</v>
      </c>
      <c r="AP115" t="s">
        <v>1701</v>
      </c>
      <c r="AQ115" t="s">
        <v>72</v>
      </c>
      <c r="AR115" t="s">
        <v>1702</v>
      </c>
      <c r="AS115" t="s">
        <v>1703</v>
      </c>
      <c r="AT115" t="s">
        <v>929</v>
      </c>
      <c r="AU115">
        <v>2014</v>
      </c>
      <c r="AV115">
        <v>40</v>
      </c>
      <c r="AW115">
        <v>5</v>
      </c>
      <c r="AX115" t="s">
        <v>72</v>
      </c>
      <c r="AY115" t="s">
        <v>72</v>
      </c>
      <c r="AZ115" t="s">
        <v>72</v>
      </c>
      <c r="BA115" t="s">
        <v>72</v>
      </c>
      <c r="BB115">
        <v>751</v>
      </c>
      <c r="BC115">
        <v>761</v>
      </c>
      <c r="BD115" t="s">
        <v>72</v>
      </c>
      <c r="BE115" t="s">
        <v>12498</v>
      </c>
      <c r="BF115" t="str">
        <f>HYPERLINK("http://dx.doi.org/10.1016/j.pubrev.2014.07.008","http://dx.doi.org/10.1016/j.pubrev.2014.07.008")</f>
        <v>http://dx.doi.org/10.1016/j.pubrev.2014.07.008</v>
      </c>
      <c r="BG115" t="s">
        <v>72</v>
      </c>
      <c r="BH115" t="s">
        <v>72</v>
      </c>
      <c r="BI115">
        <v>11</v>
      </c>
      <c r="BJ115" t="s">
        <v>1705</v>
      </c>
      <c r="BK115" t="s">
        <v>1706</v>
      </c>
      <c r="BL115" t="s">
        <v>12499</v>
      </c>
      <c r="BM115" t="s">
        <v>72</v>
      </c>
      <c r="BN115" t="s">
        <v>72</v>
      </c>
      <c r="BO115" t="s">
        <v>72</v>
      </c>
      <c r="BP115" t="s">
        <v>72</v>
      </c>
      <c r="BQ115" t="s">
        <v>100</v>
      </c>
      <c r="BR115" t="s">
        <v>12500</v>
      </c>
      <c r="BS115" t="str">
        <f>HYPERLINK("https%3A%2F%2Fwww.webofscience.com%2Fwos%2Fwoscc%2Ffull-record%2FWOS:000347135000003","View Full Record in Web of Science")</f>
        <v>View Full Record in Web of Science</v>
      </c>
    </row>
    <row r="116" spans="1:71" hidden="1" x14ac:dyDescent="0.2">
      <c r="A116" t="s">
        <v>70</v>
      </c>
      <c r="B116" t="s">
        <v>13154</v>
      </c>
      <c r="C116" t="s">
        <v>72</v>
      </c>
      <c r="D116" t="s">
        <v>72</v>
      </c>
      <c r="E116" t="s">
        <v>72</v>
      </c>
      <c r="F116" t="s">
        <v>13155</v>
      </c>
      <c r="G116" t="s">
        <v>72</v>
      </c>
      <c r="H116" t="s">
        <v>72</v>
      </c>
      <c r="I116" t="s">
        <v>13156</v>
      </c>
      <c r="J116" t="s">
        <v>1691</v>
      </c>
      <c r="K116" t="s">
        <v>72</v>
      </c>
      <c r="L116" t="s">
        <v>72</v>
      </c>
      <c r="M116" t="s">
        <v>76</v>
      </c>
      <c r="N116" t="s">
        <v>77</v>
      </c>
      <c r="O116" t="s">
        <v>72</v>
      </c>
      <c r="P116" t="s">
        <v>72</v>
      </c>
      <c r="Q116" t="s">
        <v>72</v>
      </c>
      <c r="R116" t="s">
        <v>72</v>
      </c>
      <c r="S116" t="s">
        <v>72</v>
      </c>
      <c r="T116" t="s">
        <v>13157</v>
      </c>
      <c r="U116" t="s">
        <v>13158</v>
      </c>
      <c r="V116" t="s">
        <v>13159</v>
      </c>
      <c r="W116" t="s">
        <v>13160</v>
      </c>
      <c r="X116" t="s">
        <v>9771</v>
      </c>
      <c r="Y116" t="s">
        <v>13161</v>
      </c>
      <c r="Z116" t="s">
        <v>13162</v>
      </c>
      <c r="AA116" t="s">
        <v>13163</v>
      </c>
      <c r="AB116" t="s">
        <v>13164</v>
      </c>
      <c r="AC116" t="s">
        <v>72</v>
      </c>
      <c r="AD116" t="s">
        <v>72</v>
      </c>
      <c r="AE116" t="s">
        <v>72</v>
      </c>
      <c r="AF116" t="s">
        <v>72</v>
      </c>
      <c r="AG116">
        <v>57</v>
      </c>
      <c r="AH116">
        <v>121</v>
      </c>
      <c r="AI116">
        <v>123</v>
      </c>
      <c r="AJ116">
        <v>5</v>
      </c>
      <c r="AK116">
        <v>107</v>
      </c>
      <c r="AL116" t="s">
        <v>1698</v>
      </c>
      <c r="AM116" t="s">
        <v>707</v>
      </c>
      <c r="AN116" t="s">
        <v>1699</v>
      </c>
      <c r="AO116" t="s">
        <v>1700</v>
      </c>
      <c r="AP116" t="s">
        <v>1701</v>
      </c>
      <c r="AQ116" t="s">
        <v>72</v>
      </c>
      <c r="AR116" t="s">
        <v>1702</v>
      </c>
      <c r="AS116" t="s">
        <v>1703</v>
      </c>
      <c r="AT116" t="s">
        <v>555</v>
      </c>
      <c r="AU116">
        <v>2012</v>
      </c>
      <c r="AV116">
        <v>38</v>
      </c>
      <c r="AW116">
        <v>1</v>
      </c>
      <c r="AX116" t="s">
        <v>72</v>
      </c>
      <c r="AY116" t="s">
        <v>72</v>
      </c>
      <c r="AZ116" t="s">
        <v>72</v>
      </c>
      <c r="BA116" t="s">
        <v>72</v>
      </c>
      <c r="BB116">
        <v>97</v>
      </c>
      <c r="BC116">
        <v>107</v>
      </c>
      <c r="BD116" t="s">
        <v>72</v>
      </c>
      <c r="BE116" t="s">
        <v>13165</v>
      </c>
      <c r="BF116" t="str">
        <f>HYPERLINK("http://dx.doi.org/10.1016/j.pubrev.2011.08.003","http://dx.doi.org/10.1016/j.pubrev.2011.08.003")</f>
        <v>http://dx.doi.org/10.1016/j.pubrev.2011.08.003</v>
      </c>
      <c r="BG116" t="s">
        <v>72</v>
      </c>
      <c r="BH116" t="s">
        <v>72</v>
      </c>
      <c r="BI116">
        <v>11</v>
      </c>
      <c r="BJ116" t="s">
        <v>1705</v>
      </c>
      <c r="BK116" t="s">
        <v>1706</v>
      </c>
      <c r="BL116" t="s">
        <v>13166</v>
      </c>
      <c r="BM116" t="s">
        <v>72</v>
      </c>
      <c r="BN116" t="s">
        <v>72</v>
      </c>
      <c r="BO116" t="s">
        <v>72</v>
      </c>
      <c r="BP116" t="s">
        <v>72</v>
      </c>
      <c r="BQ116" t="s">
        <v>100</v>
      </c>
      <c r="BR116" t="s">
        <v>13167</v>
      </c>
      <c r="BS116" t="str">
        <f>HYPERLINK("https%3A%2F%2Fwww.webofscience.com%2Fwos%2Fwoscc%2Ffull-record%2FWOS:000300654100015","View Full Record in Web of Science")</f>
        <v>View Full Record in Web of Science</v>
      </c>
    </row>
    <row r="117" spans="1:71" hidden="1" x14ac:dyDescent="0.2">
      <c r="A117" t="s">
        <v>305</v>
      </c>
      <c r="B117" t="s">
        <v>6377</v>
      </c>
      <c r="C117" t="s">
        <v>72</v>
      </c>
      <c r="D117" t="s">
        <v>6378</v>
      </c>
      <c r="E117" t="s">
        <v>72</v>
      </c>
      <c r="F117" t="s">
        <v>6379</v>
      </c>
      <c r="G117" t="s">
        <v>72</v>
      </c>
      <c r="H117" t="s">
        <v>72</v>
      </c>
      <c r="I117" t="s">
        <v>6380</v>
      </c>
      <c r="J117" t="s">
        <v>6381</v>
      </c>
      <c r="K117" t="s">
        <v>6382</v>
      </c>
      <c r="L117" t="s">
        <v>72</v>
      </c>
      <c r="M117" t="s">
        <v>76</v>
      </c>
      <c r="N117" t="s">
        <v>312</v>
      </c>
      <c r="O117" t="s">
        <v>6383</v>
      </c>
      <c r="P117" t="s">
        <v>6384</v>
      </c>
      <c r="Q117" t="s">
        <v>6385</v>
      </c>
      <c r="R117" t="s">
        <v>6386</v>
      </c>
      <c r="S117" t="s">
        <v>6387</v>
      </c>
      <c r="T117" t="s">
        <v>72</v>
      </c>
      <c r="U117" t="s">
        <v>72</v>
      </c>
      <c r="V117" t="s">
        <v>6388</v>
      </c>
      <c r="W117" t="s">
        <v>6389</v>
      </c>
      <c r="X117" t="s">
        <v>6390</v>
      </c>
      <c r="Y117" t="s">
        <v>72</v>
      </c>
      <c r="Z117" t="s">
        <v>6391</v>
      </c>
      <c r="AA117" t="s">
        <v>72</v>
      </c>
      <c r="AB117" t="s">
        <v>72</v>
      </c>
      <c r="AC117" t="s">
        <v>72</v>
      </c>
      <c r="AD117" t="s">
        <v>72</v>
      </c>
      <c r="AE117" t="s">
        <v>72</v>
      </c>
      <c r="AF117" t="s">
        <v>72</v>
      </c>
      <c r="AG117">
        <v>11</v>
      </c>
      <c r="AH117">
        <v>19</v>
      </c>
      <c r="AI117">
        <v>19</v>
      </c>
      <c r="AJ117">
        <v>0</v>
      </c>
      <c r="AK117">
        <v>3</v>
      </c>
      <c r="AL117" t="s">
        <v>2898</v>
      </c>
      <c r="AM117" t="s">
        <v>549</v>
      </c>
      <c r="AN117" t="s">
        <v>2899</v>
      </c>
      <c r="AO117" t="s">
        <v>6392</v>
      </c>
      <c r="AP117" t="s">
        <v>72</v>
      </c>
      <c r="AQ117" t="s">
        <v>6393</v>
      </c>
      <c r="AR117" t="s">
        <v>6394</v>
      </c>
      <c r="AS117" t="s">
        <v>72</v>
      </c>
      <c r="AT117" t="s">
        <v>72</v>
      </c>
      <c r="AU117">
        <v>2008</v>
      </c>
      <c r="AV117" t="s">
        <v>72</v>
      </c>
      <c r="AW117" t="s">
        <v>72</v>
      </c>
      <c r="AX117" t="s">
        <v>72</v>
      </c>
      <c r="AY117" t="s">
        <v>72</v>
      </c>
      <c r="AZ117" t="s">
        <v>72</v>
      </c>
      <c r="BA117" t="s">
        <v>72</v>
      </c>
      <c r="BB117">
        <v>637</v>
      </c>
      <c r="BC117">
        <v>645</v>
      </c>
      <c r="BD117" t="s">
        <v>72</v>
      </c>
      <c r="BE117" t="s">
        <v>6395</v>
      </c>
      <c r="BF117" t="str">
        <f>HYPERLINK("http://dx.doi.org/10.1007/978-3-540-78246-9_75","http://dx.doi.org/10.1007/978-3-540-78246-9_75")</f>
        <v>http://dx.doi.org/10.1007/978-3-540-78246-9_75</v>
      </c>
      <c r="BG117" t="s">
        <v>72</v>
      </c>
      <c r="BH117" t="s">
        <v>72</v>
      </c>
      <c r="BI117">
        <v>9</v>
      </c>
      <c r="BJ117" t="s">
        <v>6396</v>
      </c>
      <c r="BK117" t="s">
        <v>6397</v>
      </c>
      <c r="BL117" t="s">
        <v>6398</v>
      </c>
      <c r="BM117" t="s">
        <v>72</v>
      </c>
      <c r="BN117" t="s">
        <v>72</v>
      </c>
      <c r="BO117" t="s">
        <v>72</v>
      </c>
      <c r="BP117" t="s">
        <v>72</v>
      </c>
      <c r="BQ117" t="s">
        <v>100</v>
      </c>
      <c r="BR117" t="s">
        <v>6399</v>
      </c>
      <c r="BS117" t="str">
        <f>HYPERLINK("https%3A%2F%2Fwww.webofscience.com%2Fwos%2Fwoscc%2Ffull-record%2FWOS:000256988600075","View Full Record in Web of Science")</f>
        <v>View Full Record in Web of Science</v>
      </c>
    </row>
    <row r="118" spans="1:71" hidden="1" x14ac:dyDescent="0.2">
      <c r="A118" t="s">
        <v>70</v>
      </c>
      <c r="B118" t="s">
        <v>13135</v>
      </c>
      <c r="C118" t="s">
        <v>72</v>
      </c>
      <c r="D118" t="s">
        <v>72</v>
      </c>
      <c r="E118" t="s">
        <v>72</v>
      </c>
      <c r="F118" t="s">
        <v>13136</v>
      </c>
      <c r="G118" t="s">
        <v>72</v>
      </c>
      <c r="H118" t="s">
        <v>72</v>
      </c>
      <c r="I118" t="s">
        <v>13137</v>
      </c>
      <c r="J118" t="s">
        <v>13138</v>
      </c>
      <c r="K118" t="s">
        <v>72</v>
      </c>
      <c r="L118" t="s">
        <v>72</v>
      </c>
      <c r="M118" t="s">
        <v>76</v>
      </c>
      <c r="N118" t="s">
        <v>77</v>
      </c>
      <c r="O118" t="s">
        <v>72</v>
      </c>
      <c r="P118" t="s">
        <v>72</v>
      </c>
      <c r="Q118" t="s">
        <v>72</v>
      </c>
      <c r="R118" t="s">
        <v>72</v>
      </c>
      <c r="S118" t="s">
        <v>72</v>
      </c>
      <c r="T118" t="s">
        <v>13139</v>
      </c>
      <c r="U118" t="s">
        <v>13140</v>
      </c>
      <c r="V118" t="s">
        <v>13141</v>
      </c>
      <c r="W118" t="s">
        <v>13142</v>
      </c>
      <c r="X118" t="s">
        <v>13143</v>
      </c>
      <c r="Y118" t="s">
        <v>13144</v>
      </c>
      <c r="Z118" t="s">
        <v>13145</v>
      </c>
      <c r="AA118" t="s">
        <v>72</v>
      </c>
      <c r="AB118" t="s">
        <v>3646</v>
      </c>
      <c r="AC118" t="s">
        <v>72</v>
      </c>
      <c r="AD118" t="s">
        <v>72</v>
      </c>
      <c r="AE118" t="s">
        <v>72</v>
      </c>
      <c r="AF118" t="s">
        <v>72</v>
      </c>
      <c r="AG118">
        <v>56</v>
      </c>
      <c r="AH118">
        <v>50</v>
      </c>
      <c r="AI118">
        <v>52</v>
      </c>
      <c r="AJ118">
        <v>8</v>
      </c>
      <c r="AK118">
        <v>83</v>
      </c>
      <c r="AL118" t="s">
        <v>1165</v>
      </c>
      <c r="AM118" t="s">
        <v>1166</v>
      </c>
      <c r="AN118" t="s">
        <v>1167</v>
      </c>
      <c r="AO118" t="s">
        <v>13146</v>
      </c>
      <c r="AP118" t="s">
        <v>72</v>
      </c>
      <c r="AQ118" t="s">
        <v>72</v>
      </c>
      <c r="AR118" t="s">
        <v>13147</v>
      </c>
      <c r="AS118" t="s">
        <v>13148</v>
      </c>
      <c r="AT118" t="s">
        <v>72</v>
      </c>
      <c r="AU118">
        <v>2018</v>
      </c>
      <c r="AV118">
        <v>28</v>
      </c>
      <c r="AW118">
        <v>2</v>
      </c>
      <c r="AX118" t="s">
        <v>72</v>
      </c>
      <c r="AY118" t="s">
        <v>72</v>
      </c>
      <c r="AZ118" t="s">
        <v>72</v>
      </c>
      <c r="BA118" t="s">
        <v>72</v>
      </c>
      <c r="BB118">
        <v>419</v>
      </c>
      <c r="BC118">
        <v>431</v>
      </c>
      <c r="BD118" t="s">
        <v>72</v>
      </c>
      <c r="BE118" t="s">
        <v>13149</v>
      </c>
      <c r="BF118" t="str">
        <f>HYPERLINK("http://dx.doi.org/10.1108/IntR-04-2017-0172","http://dx.doi.org/10.1108/IntR-04-2017-0172")</f>
        <v>http://dx.doi.org/10.1108/IntR-04-2017-0172</v>
      </c>
      <c r="BG118" t="s">
        <v>72</v>
      </c>
      <c r="BH118" t="s">
        <v>72</v>
      </c>
      <c r="BI118">
        <v>13</v>
      </c>
      <c r="BJ118" t="s">
        <v>13150</v>
      </c>
      <c r="BK118" t="s">
        <v>13151</v>
      </c>
      <c r="BL118" t="s">
        <v>13152</v>
      </c>
      <c r="BM118" t="s">
        <v>72</v>
      </c>
      <c r="BN118" t="s">
        <v>1053</v>
      </c>
      <c r="BO118" t="s">
        <v>72</v>
      </c>
      <c r="BP118" t="s">
        <v>72</v>
      </c>
      <c r="BQ118" t="s">
        <v>100</v>
      </c>
      <c r="BR118" t="s">
        <v>13153</v>
      </c>
      <c r="BS118" t="str">
        <f>HYPERLINK("https%3A%2F%2Fwww.webofscience.com%2Fwos%2Fwoscc%2Ffull-record%2FWOS:000428170900008","View Full Record in Web of Science")</f>
        <v>View Full Record in Web of Science</v>
      </c>
    </row>
    <row r="119" spans="1:71" hidden="1" x14ac:dyDescent="0.2">
      <c r="A119" t="s">
        <v>70</v>
      </c>
      <c r="B119" t="s">
        <v>12707</v>
      </c>
      <c r="C119" t="s">
        <v>72</v>
      </c>
      <c r="D119" t="s">
        <v>72</v>
      </c>
      <c r="E119" t="s">
        <v>72</v>
      </c>
      <c r="F119" t="s">
        <v>12708</v>
      </c>
      <c r="G119" t="s">
        <v>72</v>
      </c>
      <c r="H119" t="s">
        <v>72</v>
      </c>
      <c r="I119" t="s">
        <v>12709</v>
      </c>
      <c r="J119" t="s">
        <v>12710</v>
      </c>
      <c r="K119" t="s">
        <v>72</v>
      </c>
      <c r="L119" t="s">
        <v>72</v>
      </c>
      <c r="M119" t="s">
        <v>76</v>
      </c>
      <c r="N119" t="s">
        <v>77</v>
      </c>
      <c r="O119" t="s">
        <v>72</v>
      </c>
      <c r="P119" t="s">
        <v>72</v>
      </c>
      <c r="Q119" t="s">
        <v>72</v>
      </c>
      <c r="R119" t="s">
        <v>72</v>
      </c>
      <c r="S119" t="s">
        <v>72</v>
      </c>
      <c r="T119" t="s">
        <v>12711</v>
      </c>
      <c r="U119" t="s">
        <v>12712</v>
      </c>
      <c r="V119" t="s">
        <v>12713</v>
      </c>
      <c r="W119" t="s">
        <v>12714</v>
      </c>
      <c r="X119" t="s">
        <v>12715</v>
      </c>
      <c r="Y119" t="s">
        <v>12716</v>
      </c>
      <c r="Z119" t="s">
        <v>12717</v>
      </c>
      <c r="AA119" t="s">
        <v>72</v>
      </c>
      <c r="AB119" t="s">
        <v>12718</v>
      </c>
      <c r="AC119" t="s">
        <v>72</v>
      </c>
      <c r="AD119" t="s">
        <v>72</v>
      </c>
      <c r="AE119" t="s">
        <v>72</v>
      </c>
      <c r="AF119" t="s">
        <v>72</v>
      </c>
      <c r="AG119">
        <v>44</v>
      </c>
      <c r="AH119">
        <v>7</v>
      </c>
      <c r="AI119">
        <v>7</v>
      </c>
      <c r="AJ119">
        <v>2</v>
      </c>
      <c r="AK119">
        <v>11</v>
      </c>
      <c r="AL119" t="s">
        <v>450</v>
      </c>
      <c r="AM119" t="s">
        <v>451</v>
      </c>
      <c r="AN119" t="s">
        <v>452</v>
      </c>
      <c r="AO119" t="s">
        <v>12719</v>
      </c>
      <c r="AP119" t="s">
        <v>12720</v>
      </c>
      <c r="AQ119" t="s">
        <v>72</v>
      </c>
      <c r="AR119" t="s">
        <v>12721</v>
      </c>
      <c r="AS119" t="s">
        <v>12722</v>
      </c>
      <c r="AT119" t="s">
        <v>395</v>
      </c>
      <c r="AU119">
        <v>2019</v>
      </c>
      <c r="AV119">
        <v>72</v>
      </c>
      <c r="AW119" t="s">
        <v>72</v>
      </c>
      <c r="AX119" t="s">
        <v>72</v>
      </c>
      <c r="AY119" t="s">
        <v>72</v>
      </c>
      <c r="AZ119" t="s">
        <v>72</v>
      </c>
      <c r="BA119" t="s">
        <v>72</v>
      </c>
      <c r="BB119">
        <v>55</v>
      </c>
      <c r="BC119">
        <v>65</v>
      </c>
      <c r="BD119" t="s">
        <v>72</v>
      </c>
      <c r="BE119" t="s">
        <v>12723</v>
      </c>
      <c r="BF119" t="str">
        <f>HYPERLINK("http://dx.doi.org/10.1016/j.econedurev.2019.05.007","http://dx.doi.org/10.1016/j.econedurev.2019.05.007")</f>
        <v>http://dx.doi.org/10.1016/j.econedurev.2019.05.007</v>
      </c>
      <c r="BG119" t="s">
        <v>72</v>
      </c>
      <c r="BH119" t="s">
        <v>72</v>
      </c>
      <c r="BI119">
        <v>11</v>
      </c>
      <c r="BJ119" t="s">
        <v>12724</v>
      </c>
      <c r="BK119" t="s">
        <v>12725</v>
      </c>
      <c r="BL119" t="s">
        <v>12726</v>
      </c>
      <c r="BM119" t="s">
        <v>72</v>
      </c>
      <c r="BN119" t="s">
        <v>72</v>
      </c>
      <c r="BO119" t="s">
        <v>72</v>
      </c>
      <c r="BP119" t="s">
        <v>72</v>
      </c>
      <c r="BQ119" t="s">
        <v>100</v>
      </c>
      <c r="BR119" t="s">
        <v>12727</v>
      </c>
      <c r="BS119" t="str">
        <f>HYPERLINK("https%3A%2F%2Fwww.webofscience.com%2Fwos%2Fwoscc%2Ffull-record%2FWOS:000488888700006","View Full Record in Web of Science")</f>
        <v>View Full Record in Web of Science</v>
      </c>
    </row>
    <row r="120" spans="1:71" hidden="1" x14ac:dyDescent="0.2">
      <c r="A120" t="s">
        <v>70</v>
      </c>
      <c r="B120" t="s">
        <v>9154</v>
      </c>
      <c r="C120" t="s">
        <v>72</v>
      </c>
      <c r="D120" t="s">
        <v>72</v>
      </c>
      <c r="E120" t="s">
        <v>72</v>
      </c>
      <c r="F120" t="s">
        <v>9155</v>
      </c>
      <c r="G120" t="s">
        <v>72</v>
      </c>
      <c r="H120" t="s">
        <v>72</v>
      </c>
      <c r="I120" t="s">
        <v>9156</v>
      </c>
      <c r="J120" t="s">
        <v>9157</v>
      </c>
      <c r="K120" t="s">
        <v>72</v>
      </c>
      <c r="L120" t="s">
        <v>72</v>
      </c>
      <c r="M120" t="s">
        <v>76</v>
      </c>
      <c r="N120" t="s">
        <v>1503</v>
      </c>
      <c r="O120" t="s">
        <v>72</v>
      </c>
      <c r="P120" t="s">
        <v>72</v>
      </c>
      <c r="Q120" t="s">
        <v>72</v>
      </c>
      <c r="R120" t="s">
        <v>72</v>
      </c>
      <c r="S120" t="s">
        <v>72</v>
      </c>
      <c r="T120" t="s">
        <v>9158</v>
      </c>
      <c r="U120" t="s">
        <v>9159</v>
      </c>
      <c r="V120" t="s">
        <v>9160</v>
      </c>
      <c r="W120" t="s">
        <v>9161</v>
      </c>
      <c r="X120" t="s">
        <v>9162</v>
      </c>
      <c r="Y120" t="s">
        <v>9163</v>
      </c>
      <c r="Z120" t="s">
        <v>9164</v>
      </c>
      <c r="AA120" t="s">
        <v>72</v>
      </c>
      <c r="AB120" t="s">
        <v>72</v>
      </c>
      <c r="AC120" t="s">
        <v>72</v>
      </c>
      <c r="AD120" t="s">
        <v>72</v>
      </c>
      <c r="AE120" t="s">
        <v>72</v>
      </c>
      <c r="AF120" t="s">
        <v>72</v>
      </c>
      <c r="AG120">
        <v>57</v>
      </c>
      <c r="AH120">
        <v>1</v>
      </c>
      <c r="AI120">
        <v>1</v>
      </c>
      <c r="AJ120">
        <v>1</v>
      </c>
      <c r="AK120">
        <v>6</v>
      </c>
      <c r="AL120" t="s">
        <v>1596</v>
      </c>
      <c r="AM120" t="s">
        <v>451</v>
      </c>
      <c r="AN120" t="s">
        <v>1597</v>
      </c>
      <c r="AO120" t="s">
        <v>9165</v>
      </c>
      <c r="AP120" t="s">
        <v>9166</v>
      </c>
      <c r="AQ120" t="s">
        <v>72</v>
      </c>
      <c r="AR120" t="s">
        <v>9167</v>
      </c>
      <c r="AS120" t="s">
        <v>9168</v>
      </c>
      <c r="AT120" t="s">
        <v>639</v>
      </c>
      <c r="AU120">
        <v>2021</v>
      </c>
      <c r="AV120">
        <v>155</v>
      </c>
      <c r="AW120" t="s">
        <v>72</v>
      </c>
      <c r="AX120" t="s">
        <v>72</v>
      </c>
      <c r="AY120" t="s">
        <v>72</v>
      </c>
      <c r="AZ120" t="s">
        <v>72</v>
      </c>
      <c r="BA120" t="s">
        <v>72</v>
      </c>
      <c r="BB120" t="s">
        <v>72</v>
      </c>
      <c r="BC120" t="s">
        <v>72</v>
      </c>
      <c r="BD120">
        <v>112303</v>
      </c>
      <c r="BE120" t="s">
        <v>9169</v>
      </c>
      <c r="BF120" t="str">
        <f>HYPERLINK("http://dx.doi.org/10.1016/j.enpol.2021.112303","http://dx.doi.org/10.1016/j.enpol.2021.112303")</f>
        <v>http://dx.doi.org/10.1016/j.enpol.2021.112303</v>
      </c>
      <c r="BG120" t="s">
        <v>72</v>
      </c>
      <c r="BH120" t="s">
        <v>4075</v>
      </c>
      <c r="BI120">
        <v>10</v>
      </c>
      <c r="BJ120" t="s">
        <v>9170</v>
      </c>
      <c r="BK120" t="s">
        <v>9171</v>
      </c>
      <c r="BL120" t="s">
        <v>9172</v>
      </c>
      <c r="BM120" t="s">
        <v>72</v>
      </c>
      <c r="BN120" t="s">
        <v>280</v>
      </c>
      <c r="BO120" t="s">
        <v>72</v>
      </c>
      <c r="BP120" t="s">
        <v>72</v>
      </c>
      <c r="BQ120" t="s">
        <v>100</v>
      </c>
      <c r="BR120" t="s">
        <v>9173</v>
      </c>
      <c r="BS120" t="str">
        <f>HYPERLINK("https%3A%2F%2Fwww.webofscience.com%2Fwos%2Fwoscc%2Ffull-record%2FWOS:000663584500003","View Full Record in Web of Science")</f>
        <v>View Full Record in Web of Science</v>
      </c>
    </row>
    <row r="121" spans="1:71" hidden="1" x14ac:dyDescent="0.2">
      <c r="A121" t="s">
        <v>70</v>
      </c>
      <c r="B121" t="s">
        <v>14468</v>
      </c>
      <c r="C121" t="s">
        <v>72</v>
      </c>
      <c r="D121" t="s">
        <v>72</v>
      </c>
      <c r="E121" t="s">
        <v>72</v>
      </c>
      <c r="F121" t="s">
        <v>14469</v>
      </c>
      <c r="G121" t="s">
        <v>72</v>
      </c>
      <c r="H121" t="s">
        <v>72</v>
      </c>
      <c r="I121" t="s">
        <v>14470</v>
      </c>
      <c r="J121" t="s">
        <v>14471</v>
      </c>
      <c r="K121" t="s">
        <v>72</v>
      </c>
      <c r="L121" t="s">
        <v>72</v>
      </c>
      <c r="M121" t="s">
        <v>76</v>
      </c>
      <c r="N121" t="s">
        <v>77</v>
      </c>
      <c r="O121" t="s">
        <v>72</v>
      </c>
      <c r="P121" t="s">
        <v>72</v>
      </c>
      <c r="Q121" t="s">
        <v>72</v>
      </c>
      <c r="R121" t="s">
        <v>72</v>
      </c>
      <c r="S121" t="s">
        <v>72</v>
      </c>
      <c r="T121" t="s">
        <v>14472</v>
      </c>
      <c r="U121" t="s">
        <v>14473</v>
      </c>
      <c r="V121" t="s">
        <v>14474</v>
      </c>
      <c r="W121" t="s">
        <v>14475</v>
      </c>
      <c r="X121" t="s">
        <v>14476</v>
      </c>
      <c r="Y121" t="s">
        <v>14477</v>
      </c>
      <c r="Z121" t="s">
        <v>14478</v>
      </c>
      <c r="AA121" t="s">
        <v>72</v>
      </c>
      <c r="AB121" t="s">
        <v>14479</v>
      </c>
      <c r="AC121" t="s">
        <v>72</v>
      </c>
      <c r="AD121" t="s">
        <v>72</v>
      </c>
      <c r="AE121" t="s">
        <v>72</v>
      </c>
      <c r="AF121" t="s">
        <v>72</v>
      </c>
      <c r="AG121">
        <v>139</v>
      </c>
      <c r="AH121">
        <v>1</v>
      </c>
      <c r="AI121">
        <v>1</v>
      </c>
      <c r="AJ121">
        <v>7</v>
      </c>
      <c r="AK121">
        <v>38</v>
      </c>
      <c r="AL121" t="s">
        <v>1260</v>
      </c>
      <c r="AM121" t="s">
        <v>964</v>
      </c>
      <c r="AN121" t="s">
        <v>965</v>
      </c>
      <c r="AO121" t="s">
        <v>14480</v>
      </c>
      <c r="AP121" t="s">
        <v>14481</v>
      </c>
      <c r="AQ121" t="s">
        <v>72</v>
      </c>
      <c r="AR121" t="s">
        <v>14482</v>
      </c>
      <c r="AS121" t="s">
        <v>14483</v>
      </c>
      <c r="AT121" t="s">
        <v>197</v>
      </c>
      <c r="AU121">
        <v>2022</v>
      </c>
      <c r="AV121">
        <v>39</v>
      </c>
      <c r="AW121">
        <v>3</v>
      </c>
      <c r="AX121" t="s">
        <v>72</v>
      </c>
      <c r="AY121" t="s">
        <v>72</v>
      </c>
      <c r="AZ121" t="s">
        <v>478</v>
      </c>
      <c r="BA121" t="s">
        <v>72</v>
      </c>
      <c r="BB121">
        <v>371</v>
      </c>
      <c r="BC121">
        <v>393</v>
      </c>
      <c r="BD121" t="s">
        <v>72</v>
      </c>
      <c r="BE121" t="s">
        <v>14484</v>
      </c>
      <c r="BF121" t="str">
        <f>HYPERLINK("http://dx.doi.org/10.1111/jpim.12588","http://dx.doi.org/10.1111/jpim.12588")</f>
        <v>http://dx.doi.org/10.1111/jpim.12588</v>
      </c>
      <c r="BG121" t="s">
        <v>72</v>
      </c>
      <c r="BH121" t="s">
        <v>3011</v>
      </c>
      <c r="BI121">
        <v>23</v>
      </c>
      <c r="BJ121" t="s">
        <v>14485</v>
      </c>
      <c r="BK121" t="s">
        <v>14486</v>
      </c>
      <c r="BL121" t="s">
        <v>14487</v>
      </c>
      <c r="BM121" t="s">
        <v>72</v>
      </c>
      <c r="BN121" t="s">
        <v>1128</v>
      </c>
      <c r="BO121" t="s">
        <v>72</v>
      </c>
      <c r="BP121" t="s">
        <v>72</v>
      </c>
      <c r="BQ121" t="s">
        <v>100</v>
      </c>
      <c r="BR121" t="s">
        <v>14488</v>
      </c>
      <c r="BS121" t="str">
        <f>HYPERLINK("https%3A%2F%2Fwww.webofscience.com%2Fwos%2Fwoscc%2Ffull-record%2FWOS:000677806200001","View Full Record in Web of Science")</f>
        <v>View Full Record in Web of Science</v>
      </c>
    </row>
    <row r="122" spans="1:71" hidden="1" x14ac:dyDescent="0.2">
      <c r="A122" t="s">
        <v>70</v>
      </c>
      <c r="B122" t="s">
        <v>3434</v>
      </c>
      <c r="C122" t="s">
        <v>72</v>
      </c>
      <c r="D122" t="s">
        <v>72</v>
      </c>
      <c r="E122" t="s">
        <v>72</v>
      </c>
      <c r="F122" t="s">
        <v>3435</v>
      </c>
      <c r="G122" t="s">
        <v>72</v>
      </c>
      <c r="H122" t="s">
        <v>72</v>
      </c>
      <c r="I122" t="s">
        <v>3436</v>
      </c>
      <c r="J122" t="s">
        <v>3437</v>
      </c>
      <c r="K122" t="s">
        <v>72</v>
      </c>
      <c r="L122" t="s">
        <v>72</v>
      </c>
      <c r="M122" t="s">
        <v>76</v>
      </c>
      <c r="N122" t="s">
        <v>77</v>
      </c>
      <c r="O122" t="s">
        <v>72</v>
      </c>
      <c r="P122" t="s">
        <v>72</v>
      </c>
      <c r="Q122" t="s">
        <v>72</v>
      </c>
      <c r="R122" t="s">
        <v>72</v>
      </c>
      <c r="S122" t="s">
        <v>72</v>
      </c>
      <c r="T122" t="s">
        <v>3438</v>
      </c>
      <c r="U122" t="s">
        <v>72</v>
      </c>
      <c r="V122" t="s">
        <v>3439</v>
      </c>
      <c r="W122" t="s">
        <v>3440</v>
      </c>
      <c r="X122" t="s">
        <v>3441</v>
      </c>
      <c r="Y122" t="s">
        <v>3442</v>
      </c>
      <c r="Z122" t="s">
        <v>3443</v>
      </c>
      <c r="AA122" t="s">
        <v>72</v>
      </c>
      <c r="AB122" t="s">
        <v>3444</v>
      </c>
      <c r="AC122" t="s">
        <v>72</v>
      </c>
      <c r="AD122" t="s">
        <v>72</v>
      </c>
      <c r="AE122" t="s">
        <v>72</v>
      </c>
      <c r="AF122" t="s">
        <v>72</v>
      </c>
      <c r="AG122">
        <v>38</v>
      </c>
      <c r="AH122">
        <v>0</v>
      </c>
      <c r="AI122">
        <v>0</v>
      </c>
      <c r="AJ122">
        <v>8</v>
      </c>
      <c r="AK122">
        <v>8</v>
      </c>
      <c r="AL122" t="s">
        <v>769</v>
      </c>
      <c r="AM122" t="s">
        <v>770</v>
      </c>
      <c r="AN122" t="s">
        <v>771</v>
      </c>
      <c r="AO122" t="s">
        <v>3445</v>
      </c>
      <c r="AP122" t="s">
        <v>3446</v>
      </c>
      <c r="AQ122" t="s">
        <v>72</v>
      </c>
      <c r="AR122" t="s">
        <v>3447</v>
      </c>
      <c r="AS122" t="s">
        <v>3448</v>
      </c>
      <c r="AT122" t="s">
        <v>3449</v>
      </c>
      <c r="AU122">
        <v>2022</v>
      </c>
      <c r="AV122">
        <v>16</v>
      </c>
      <c r="AW122">
        <v>2</v>
      </c>
      <c r="AX122" t="s">
        <v>72</v>
      </c>
      <c r="AY122" t="s">
        <v>72</v>
      </c>
      <c r="AZ122" t="s">
        <v>72</v>
      </c>
      <c r="BA122" t="s">
        <v>72</v>
      </c>
      <c r="BB122">
        <v>346</v>
      </c>
      <c r="BC122">
        <v>356</v>
      </c>
      <c r="BD122" t="s">
        <v>72</v>
      </c>
      <c r="BE122" t="s">
        <v>3450</v>
      </c>
      <c r="BF122" t="str">
        <f>HYPERLINK("http://dx.doi.org/10.1086/721079","http://dx.doi.org/10.1086/721079")</f>
        <v>http://dx.doi.org/10.1086/721079</v>
      </c>
      <c r="BG122" t="s">
        <v>72</v>
      </c>
      <c r="BH122" t="s">
        <v>72</v>
      </c>
      <c r="BI122">
        <v>11</v>
      </c>
      <c r="BJ122" t="s">
        <v>3451</v>
      </c>
      <c r="BK122" t="s">
        <v>3452</v>
      </c>
      <c r="BL122" t="s">
        <v>3453</v>
      </c>
      <c r="BM122" t="s">
        <v>72</v>
      </c>
      <c r="BN122" t="s">
        <v>72</v>
      </c>
      <c r="BO122" t="s">
        <v>72</v>
      </c>
      <c r="BP122" t="s">
        <v>72</v>
      </c>
      <c r="BQ122" t="s">
        <v>100</v>
      </c>
      <c r="BR122" t="s">
        <v>3454</v>
      </c>
      <c r="BS122" t="str">
        <f>HYPERLINK("https%3A%2F%2Fwww.webofscience.com%2Fwos%2Fwoscc%2Ffull-record%2FWOS:000853712600010","View Full Record in Web of Science")</f>
        <v>View Full Record in Web of Science</v>
      </c>
    </row>
    <row r="123" spans="1:71" hidden="1" x14ac:dyDescent="0.2">
      <c r="A123" t="s">
        <v>70</v>
      </c>
      <c r="B123" t="s">
        <v>3636</v>
      </c>
      <c r="C123" t="s">
        <v>72</v>
      </c>
      <c r="D123" t="s">
        <v>72</v>
      </c>
      <c r="E123" t="s">
        <v>72</v>
      </c>
      <c r="F123" t="s">
        <v>3637</v>
      </c>
      <c r="G123" t="s">
        <v>72</v>
      </c>
      <c r="H123" t="s">
        <v>72</v>
      </c>
      <c r="I123" t="s">
        <v>3638</v>
      </c>
      <c r="J123" t="s">
        <v>3639</v>
      </c>
      <c r="K123" t="s">
        <v>72</v>
      </c>
      <c r="L123" t="s">
        <v>72</v>
      </c>
      <c r="M123" t="s">
        <v>76</v>
      </c>
      <c r="N123" t="s">
        <v>77</v>
      </c>
      <c r="O123" t="s">
        <v>72</v>
      </c>
      <c r="P123" t="s">
        <v>72</v>
      </c>
      <c r="Q123" t="s">
        <v>72</v>
      </c>
      <c r="R123" t="s">
        <v>72</v>
      </c>
      <c r="S123" t="s">
        <v>72</v>
      </c>
      <c r="T123" t="s">
        <v>3640</v>
      </c>
      <c r="U123" t="s">
        <v>3641</v>
      </c>
      <c r="V123" t="s">
        <v>3642</v>
      </c>
      <c r="W123" t="s">
        <v>3643</v>
      </c>
      <c r="X123" t="s">
        <v>164</v>
      </c>
      <c r="Y123" t="s">
        <v>3644</v>
      </c>
      <c r="Z123" t="s">
        <v>3645</v>
      </c>
      <c r="AA123" t="s">
        <v>72</v>
      </c>
      <c r="AB123" t="s">
        <v>3646</v>
      </c>
      <c r="AC123" t="s">
        <v>72</v>
      </c>
      <c r="AD123" t="s">
        <v>72</v>
      </c>
      <c r="AE123" t="s">
        <v>72</v>
      </c>
      <c r="AF123" t="s">
        <v>72</v>
      </c>
      <c r="AG123">
        <v>62</v>
      </c>
      <c r="AH123">
        <v>9</v>
      </c>
      <c r="AI123">
        <v>9</v>
      </c>
      <c r="AJ123">
        <v>8</v>
      </c>
      <c r="AK123">
        <v>27</v>
      </c>
      <c r="AL123" t="s">
        <v>1260</v>
      </c>
      <c r="AM123" t="s">
        <v>964</v>
      </c>
      <c r="AN123" t="s">
        <v>965</v>
      </c>
      <c r="AO123" t="s">
        <v>3647</v>
      </c>
      <c r="AP123" t="s">
        <v>3648</v>
      </c>
      <c r="AQ123" t="s">
        <v>72</v>
      </c>
      <c r="AR123" t="s">
        <v>3649</v>
      </c>
      <c r="AS123" t="s">
        <v>3650</v>
      </c>
      <c r="AT123" t="s">
        <v>951</v>
      </c>
      <c r="AU123">
        <v>2020</v>
      </c>
      <c r="AV123">
        <v>27</v>
      </c>
      <c r="AW123">
        <v>6</v>
      </c>
      <c r="AX123" t="s">
        <v>72</v>
      </c>
      <c r="AY123" t="s">
        <v>72</v>
      </c>
      <c r="AZ123" t="s">
        <v>72</v>
      </c>
      <c r="BA123" t="s">
        <v>72</v>
      </c>
      <c r="BB123">
        <v>2631</v>
      </c>
      <c r="BC123">
        <v>2641</v>
      </c>
      <c r="BD123" t="s">
        <v>72</v>
      </c>
      <c r="BE123" t="s">
        <v>3651</v>
      </c>
      <c r="BF123" t="str">
        <f>HYPERLINK("http://dx.doi.org/10.1002/csr.1988","http://dx.doi.org/10.1002/csr.1988")</f>
        <v>http://dx.doi.org/10.1002/csr.1988</v>
      </c>
      <c r="BG123" t="s">
        <v>72</v>
      </c>
      <c r="BH123" t="s">
        <v>2942</v>
      </c>
      <c r="BI123">
        <v>11</v>
      </c>
      <c r="BJ123" t="s">
        <v>3652</v>
      </c>
      <c r="BK123" t="s">
        <v>3452</v>
      </c>
      <c r="BL123" t="s">
        <v>3653</v>
      </c>
      <c r="BM123" t="s">
        <v>72</v>
      </c>
      <c r="BN123" t="s">
        <v>280</v>
      </c>
      <c r="BO123" t="s">
        <v>72</v>
      </c>
      <c r="BP123" t="s">
        <v>72</v>
      </c>
      <c r="BQ123" t="s">
        <v>100</v>
      </c>
      <c r="BR123" t="s">
        <v>3654</v>
      </c>
      <c r="BS123" t="str">
        <f>HYPERLINK("https%3A%2F%2Fwww.webofscience.com%2Fwos%2Fwoscc%2Ffull-record%2FWOS:000542025700001","View Full Record in Web of Science")</f>
        <v>View Full Record in Web of Science</v>
      </c>
    </row>
    <row r="124" spans="1:71" hidden="1" x14ac:dyDescent="0.2">
      <c r="A124" t="s">
        <v>70</v>
      </c>
      <c r="B124" t="s">
        <v>6249</v>
      </c>
      <c r="C124" t="s">
        <v>72</v>
      </c>
      <c r="D124" t="s">
        <v>72</v>
      </c>
      <c r="E124" t="s">
        <v>72</v>
      </c>
      <c r="F124" t="s">
        <v>6250</v>
      </c>
      <c r="G124" t="s">
        <v>72</v>
      </c>
      <c r="H124" t="s">
        <v>72</v>
      </c>
      <c r="I124" t="s">
        <v>6251</v>
      </c>
      <c r="J124" t="s">
        <v>3639</v>
      </c>
      <c r="K124" t="s">
        <v>72</v>
      </c>
      <c r="L124" t="s">
        <v>72</v>
      </c>
      <c r="M124" t="s">
        <v>76</v>
      </c>
      <c r="N124" t="s">
        <v>77</v>
      </c>
      <c r="O124" t="s">
        <v>72</v>
      </c>
      <c r="P124" t="s">
        <v>72</v>
      </c>
      <c r="Q124" t="s">
        <v>72</v>
      </c>
      <c r="R124" t="s">
        <v>72</v>
      </c>
      <c r="S124" t="s">
        <v>72</v>
      </c>
      <c r="T124" t="s">
        <v>6252</v>
      </c>
      <c r="U124" t="s">
        <v>6253</v>
      </c>
      <c r="V124" t="s">
        <v>6254</v>
      </c>
      <c r="W124" t="s">
        <v>6255</v>
      </c>
      <c r="X124" t="s">
        <v>6256</v>
      </c>
      <c r="Y124" t="s">
        <v>6257</v>
      </c>
      <c r="Z124" t="s">
        <v>6258</v>
      </c>
      <c r="AA124" t="s">
        <v>6259</v>
      </c>
      <c r="AB124" t="s">
        <v>6260</v>
      </c>
      <c r="AC124" t="s">
        <v>72</v>
      </c>
      <c r="AD124" t="s">
        <v>72</v>
      </c>
      <c r="AE124" t="s">
        <v>72</v>
      </c>
      <c r="AF124" t="s">
        <v>72</v>
      </c>
      <c r="AG124">
        <v>66</v>
      </c>
      <c r="AH124">
        <v>8</v>
      </c>
      <c r="AI124">
        <v>8</v>
      </c>
      <c r="AJ124">
        <v>10</v>
      </c>
      <c r="AK124">
        <v>71</v>
      </c>
      <c r="AL124" t="s">
        <v>1260</v>
      </c>
      <c r="AM124" t="s">
        <v>964</v>
      </c>
      <c r="AN124" t="s">
        <v>965</v>
      </c>
      <c r="AO124" t="s">
        <v>3647</v>
      </c>
      <c r="AP124" t="s">
        <v>3648</v>
      </c>
      <c r="AQ124" t="s">
        <v>72</v>
      </c>
      <c r="AR124" t="s">
        <v>3649</v>
      </c>
      <c r="AS124" t="s">
        <v>3650</v>
      </c>
      <c r="AT124" t="s">
        <v>555</v>
      </c>
      <c r="AU124">
        <v>2020</v>
      </c>
      <c r="AV124">
        <v>27</v>
      </c>
      <c r="AW124">
        <v>2</v>
      </c>
      <c r="AX124" t="s">
        <v>72</v>
      </c>
      <c r="AY124" t="s">
        <v>72</v>
      </c>
      <c r="AZ124" t="s">
        <v>72</v>
      </c>
      <c r="BA124" t="s">
        <v>72</v>
      </c>
      <c r="BB124">
        <v>670</v>
      </c>
      <c r="BC124">
        <v>680</v>
      </c>
      <c r="BD124" t="s">
        <v>72</v>
      </c>
      <c r="BE124" t="s">
        <v>6261</v>
      </c>
      <c r="BF124" t="str">
        <f>HYPERLINK("http://dx.doi.org/10.1002/csr.1832","http://dx.doi.org/10.1002/csr.1832")</f>
        <v>http://dx.doi.org/10.1002/csr.1832</v>
      </c>
      <c r="BG124" t="s">
        <v>72</v>
      </c>
      <c r="BH124" t="s">
        <v>3102</v>
      </c>
      <c r="BI124">
        <v>11</v>
      </c>
      <c r="BJ124" t="s">
        <v>3652</v>
      </c>
      <c r="BK124" t="s">
        <v>3452</v>
      </c>
      <c r="BL124" t="s">
        <v>6262</v>
      </c>
      <c r="BM124" t="s">
        <v>72</v>
      </c>
      <c r="BN124" t="s">
        <v>72</v>
      </c>
      <c r="BO124" t="s">
        <v>72</v>
      </c>
      <c r="BP124" t="s">
        <v>72</v>
      </c>
      <c r="BQ124" t="s">
        <v>100</v>
      </c>
      <c r="BR124" t="s">
        <v>6263</v>
      </c>
      <c r="BS124" t="str">
        <f>HYPERLINK("https%3A%2F%2Fwww.webofscience.com%2Fwos%2Fwoscc%2Ffull-record%2FWOS:000479972100001","View Full Record in Web of Science")</f>
        <v>View Full Record in Web of Science</v>
      </c>
    </row>
    <row r="125" spans="1:71" hidden="1" x14ac:dyDescent="0.2">
      <c r="A125" t="s">
        <v>70</v>
      </c>
      <c r="B125" t="s">
        <v>11425</v>
      </c>
      <c r="C125" t="s">
        <v>72</v>
      </c>
      <c r="D125" t="s">
        <v>72</v>
      </c>
      <c r="E125" t="s">
        <v>72</v>
      </c>
      <c r="F125" t="s">
        <v>11426</v>
      </c>
      <c r="G125" t="s">
        <v>72</v>
      </c>
      <c r="H125" t="s">
        <v>72</v>
      </c>
      <c r="I125" t="s">
        <v>11427</v>
      </c>
      <c r="J125" t="s">
        <v>11428</v>
      </c>
      <c r="K125" t="s">
        <v>72</v>
      </c>
      <c r="L125" t="s">
        <v>72</v>
      </c>
      <c r="M125" t="s">
        <v>76</v>
      </c>
      <c r="N125" t="s">
        <v>77</v>
      </c>
      <c r="O125" t="s">
        <v>72</v>
      </c>
      <c r="P125" t="s">
        <v>72</v>
      </c>
      <c r="Q125" t="s">
        <v>72</v>
      </c>
      <c r="R125" t="s">
        <v>72</v>
      </c>
      <c r="S125" t="s">
        <v>72</v>
      </c>
      <c r="T125" t="s">
        <v>11429</v>
      </c>
      <c r="U125" t="s">
        <v>11430</v>
      </c>
      <c r="V125" t="s">
        <v>11431</v>
      </c>
      <c r="W125" t="s">
        <v>11432</v>
      </c>
      <c r="X125" t="s">
        <v>11433</v>
      </c>
      <c r="Y125" t="s">
        <v>11434</v>
      </c>
      <c r="Z125" t="s">
        <v>11435</v>
      </c>
      <c r="AA125" t="s">
        <v>72</v>
      </c>
      <c r="AB125" t="s">
        <v>11436</v>
      </c>
      <c r="AC125" t="s">
        <v>11437</v>
      </c>
      <c r="AD125" t="s">
        <v>11438</v>
      </c>
      <c r="AE125" t="s">
        <v>11439</v>
      </c>
      <c r="AF125" t="s">
        <v>72</v>
      </c>
      <c r="AG125">
        <v>57</v>
      </c>
      <c r="AH125">
        <v>15</v>
      </c>
      <c r="AI125">
        <v>15</v>
      </c>
      <c r="AJ125">
        <v>45</v>
      </c>
      <c r="AK125">
        <v>100</v>
      </c>
      <c r="AL125" t="s">
        <v>1260</v>
      </c>
      <c r="AM125" t="s">
        <v>964</v>
      </c>
      <c r="AN125" t="s">
        <v>965</v>
      </c>
      <c r="AO125" t="s">
        <v>11440</v>
      </c>
      <c r="AP125" t="s">
        <v>11441</v>
      </c>
      <c r="AQ125" t="s">
        <v>72</v>
      </c>
      <c r="AR125" t="s">
        <v>11442</v>
      </c>
      <c r="AS125" t="s">
        <v>11443</v>
      </c>
      <c r="AT125" t="s">
        <v>1602</v>
      </c>
      <c r="AU125">
        <v>2021</v>
      </c>
      <c r="AV125">
        <v>30</v>
      </c>
      <c r="AW125">
        <v>2</v>
      </c>
      <c r="AX125" t="s">
        <v>72</v>
      </c>
      <c r="AY125" t="s">
        <v>72</v>
      </c>
      <c r="AZ125" t="s">
        <v>72</v>
      </c>
      <c r="BA125" t="s">
        <v>72</v>
      </c>
      <c r="BB125">
        <v>840</v>
      </c>
      <c r="BC125">
        <v>855</v>
      </c>
      <c r="BD125" t="s">
        <v>72</v>
      </c>
      <c r="BE125" t="s">
        <v>11444</v>
      </c>
      <c r="BF125" t="str">
        <f>HYPERLINK("http://dx.doi.org/10.1002/bse.2657","http://dx.doi.org/10.1002/bse.2657")</f>
        <v>http://dx.doi.org/10.1002/bse.2657</v>
      </c>
      <c r="BG125" t="s">
        <v>72</v>
      </c>
      <c r="BH125" t="s">
        <v>8184</v>
      </c>
      <c r="BI125">
        <v>16</v>
      </c>
      <c r="BJ125" t="s">
        <v>3652</v>
      </c>
      <c r="BK125" t="s">
        <v>3452</v>
      </c>
      <c r="BL125" t="s">
        <v>11445</v>
      </c>
      <c r="BM125" t="s">
        <v>72</v>
      </c>
      <c r="BN125" t="s">
        <v>72</v>
      </c>
      <c r="BO125" t="s">
        <v>72</v>
      </c>
      <c r="BP125" t="s">
        <v>72</v>
      </c>
      <c r="BQ125" t="s">
        <v>100</v>
      </c>
      <c r="BR125" t="s">
        <v>11446</v>
      </c>
      <c r="BS125" t="str">
        <f>HYPERLINK("https%3A%2F%2Fwww.webofscience.com%2Fwos%2Fwoscc%2Ffull-record%2FWOS:000584458100001","View Full Record in Web of Science")</f>
        <v>View Full Record in Web of Science</v>
      </c>
    </row>
    <row r="126" spans="1:71" x14ac:dyDescent="0.2">
      <c r="A126" t="s">
        <v>70</v>
      </c>
      <c r="B126" t="s">
        <v>8539</v>
      </c>
      <c r="C126" t="s">
        <v>72</v>
      </c>
      <c r="D126" t="s">
        <v>72</v>
      </c>
      <c r="E126" t="s">
        <v>72</v>
      </c>
      <c r="F126" t="s">
        <v>8540</v>
      </c>
      <c r="G126" t="s">
        <v>72</v>
      </c>
      <c r="H126" t="s">
        <v>72</v>
      </c>
      <c r="I126" t="s">
        <v>8541</v>
      </c>
      <c r="J126" t="s">
        <v>8542</v>
      </c>
      <c r="K126" t="s">
        <v>72</v>
      </c>
      <c r="L126" t="s">
        <v>72</v>
      </c>
      <c r="M126" t="s">
        <v>76</v>
      </c>
      <c r="N126" t="s">
        <v>77</v>
      </c>
      <c r="O126" t="s">
        <v>72</v>
      </c>
      <c r="P126" t="s">
        <v>72</v>
      </c>
      <c r="Q126" t="s">
        <v>72</v>
      </c>
      <c r="R126" t="s">
        <v>72</v>
      </c>
      <c r="S126" t="s">
        <v>72</v>
      </c>
      <c r="T126" t="s">
        <v>72</v>
      </c>
      <c r="U126" t="s">
        <v>8543</v>
      </c>
      <c r="V126" t="s">
        <v>8544</v>
      </c>
      <c r="W126" t="s">
        <v>8545</v>
      </c>
      <c r="X126" t="s">
        <v>8320</v>
      </c>
      <c r="Y126" t="s">
        <v>8546</v>
      </c>
      <c r="Z126" t="s">
        <v>8547</v>
      </c>
      <c r="AA126" t="s">
        <v>72</v>
      </c>
      <c r="AB126" t="s">
        <v>72</v>
      </c>
      <c r="AC126" t="s">
        <v>72</v>
      </c>
      <c r="AD126" t="s">
        <v>72</v>
      </c>
      <c r="AE126" t="s">
        <v>72</v>
      </c>
      <c r="AF126" t="s">
        <v>72</v>
      </c>
      <c r="AG126">
        <v>93</v>
      </c>
      <c r="AH126">
        <v>4</v>
      </c>
      <c r="AI126">
        <v>4</v>
      </c>
      <c r="AJ126">
        <v>0</v>
      </c>
      <c r="AK126">
        <v>0</v>
      </c>
      <c r="AL126" t="s">
        <v>1698</v>
      </c>
      <c r="AM126" t="s">
        <v>707</v>
      </c>
      <c r="AN126" t="s">
        <v>1699</v>
      </c>
      <c r="AO126" t="s">
        <v>8548</v>
      </c>
      <c r="AP126" t="s">
        <v>8549</v>
      </c>
      <c r="AQ126" t="s">
        <v>72</v>
      </c>
      <c r="AR126" t="s">
        <v>8550</v>
      </c>
      <c r="AS126" t="s">
        <v>8551</v>
      </c>
      <c r="AT126" t="s">
        <v>95</v>
      </c>
      <c r="AU126">
        <v>2022</v>
      </c>
      <c r="AV126">
        <v>74</v>
      </c>
      <c r="AW126" t="s">
        <v>72</v>
      </c>
      <c r="AX126" t="s">
        <v>72</v>
      </c>
      <c r="AY126" t="s">
        <v>72</v>
      </c>
      <c r="AZ126" t="s">
        <v>72</v>
      </c>
      <c r="BA126" t="s">
        <v>72</v>
      </c>
      <c r="BB126" t="s">
        <v>72</v>
      </c>
      <c r="BC126" t="s">
        <v>72</v>
      </c>
      <c r="BD126">
        <v>102209</v>
      </c>
      <c r="BE126" t="s">
        <v>8552</v>
      </c>
      <c r="BF126" t="str">
        <f>HYPERLINK("http://dx.doi.org/10.1016/j.ejpoleco.2022.102209","http://dx.doi.org/10.1016/j.ejpoleco.2022.102209")</f>
        <v>http://dx.doi.org/10.1016/j.ejpoleco.2022.102209</v>
      </c>
      <c r="BG126" t="s">
        <v>72</v>
      </c>
      <c r="BH126" t="s">
        <v>72</v>
      </c>
      <c r="BI126">
        <v>22</v>
      </c>
      <c r="BJ126" t="s">
        <v>8553</v>
      </c>
      <c r="BK126" s="1" t="s">
        <v>17619</v>
      </c>
      <c r="BL126" t="s">
        <v>8554</v>
      </c>
      <c r="BM126" t="s">
        <v>72</v>
      </c>
      <c r="BN126" t="s">
        <v>1017</v>
      </c>
      <c r="BO126" t="s">
        <v>72</v>
      </c>
      <c r="BP126" t="s">
        <v>72</v>
      </c>
      <c r="BQ126" t="s">
        <v>100</v>
      </c>
      <c r="BR126" t="s">
        <v>8555</v>
      </c>
      <c r="BS126" t="str">
        <f>HYPERLINK("https%3A%2F%2Fwww.webofscience.com%2Fwos%2Fwoscc%2Ffull-record%2FWOS:000863325900009","View Full Record in Web of Science")</f>
        <v>View Full Record in Web of Science</v>
      </c>
    </row>
    <row r="127" spans="1:71" x14ac:dyDescent="0.2">
      <c r="A127" t="s">
        <v>70</v>
      </c>
      <c r="B127" t="s">
        <v>9228</v>
      </c>
      <c r="C127" t="s">
        <v>72</v>
      </c>
      <c r="D127" t="s">
        <v>72</v>
      </c>
      <c r="E127" t="s">
        <v>72</v>
      </c>
      <c r="F127" t="s">
        <v>9229</v>
      </c>
      <c r="G127" t="s">
        <v>72</v>
      </c>
      <c r="H127" t="s">
        <v>72</v>
      </c>
      <c r="I127" t="s">
        <v>9230</v>
      </c>
      <c r="J127" t="s">
        <v>9231</v>
      </c>
      <c r="K127" t="s">
        <v>72</v>
      </c>
      <c r="L127" t="s">
        <v>72</v>
      </c>
      <c r="M127" t="s">
        <v>76</v>
      </c>
      <c r="N127" t="s">
        <v>1503</v>
      </c>
      <c r="O127" t="s">
        <v>72</v>
      </c>
      <c r="P127" t="s">
        <v>72</v>
      </c>
      <c r="Q127" t="s">
        <v>72</v>
      </c>
      <c r="R127" t="s">
        <v>72</v>
      </c>
      <c r="S127" t="s">
        <v>72</v>
      </c>
      <c r="T127" t="s">
        <v>9232</v>
      </c>
      <c r="U127" t="s">
        <v>9233</v>
      </c>
      <c r="V127" t="s">
        <v>9234</v>
      </c>
      <c r="W127" t="s">
        <v>9235</v>
      </c>
      <c r="X127" t="s">
        <v>9236</v>
      </c>
      <c r="Y127" t="s">
        <v>9237</v>
      </c>
      <c r="Z127" t="s">
        <v>9238</v>
      </c>
      <c r="AA127" t="s">
        <v>72</v>
      </c>
      <c r="AB127" t="s">
        <v>9239</v>
      </c>
      <c r="AC127" t="s">
        <v>72</v>
      </c>
      <c r="AD127" t="s">
        <v>72</v>
      </c>
      <c r="AE127" t="s">
        <v>72</v>
      </c>
      <c r="AF127" t="s">
        <v>72</v>
      </c>
      <c r="AG127">
        <v>93</v>
      </c>
      <c r="AH127">
        <v>15</v>
      </c>
      <c r="AI127">
        <v>15</v>
      </c>
      <c r="AJ127">
        <v>2</v>
      </c>
      <c r="AK127">
        <v>6</v>
      </c>
      <c r="AL127" t="s">
        <v>879</v>
      </c>
      <c r="AM127" t="s">
        <v>451</v>
      </c>
      <c r="AN127" t="s">
        <v>880</v>
      </c>
      <c r="AO127" t="s">
        <v>9240</v>
      </c>
      <c r="AP127" t="s">
        <v>9241</v>
      </c>
      <c r="AQ127" t="s">
        <v>72</v>
      </c>
      <c r="AR127" t="s">
        <v>9242</v>
      </c>
      <c r="AS127" t="s">
        <v>9243</v>
      </c>
      <c r="AT127" t="s">
        <v>149</v>
      </c>
      <c r="AU127">
        <v>2020</v>
      </c>
      <c r="AV127">
        <v>18</v>
      </c>
      <c r="AW127">
        <v>2</v>
      </c>
      <c r="AX127" t="s">
        <v>72</v>
      </c>
      <c r="AY127" t="s">
        <v>72</v>
      </c>
      <c r="AZ127" t="s">
        <v>72</v>
      </c>
      <c r="BA127" t="s">
        <v>72</v>
      </c>
      <c r="BB127">
        <v>315</v>
      </c>
      <c r="BC127">
        <v>335</v>
      </c>
      <c r="BD127" t="s">
        <v>72</v>
      </c>
      <c r="BE127" t="s">
        <v>9244</v>
      </c>
      <c r="BF127" t="str">
        <f>HYPERLINK("http://dx.doi.org/10.1093/ser/mwz017","http://dx.doi.org/10.1093/ser/mwz017")</f>
        <v>http://dx.doi.org/10.1093/ser/mwz017</v>
      </c>
      <c r="BG127" t="s">
        <v>72</v>
      </c>
      <c r="BH127" t="s">
        <v>72</v>
      </c>
      <c r="BI127">
        <v>21</v>
      </c>
      <c r="BJ127" t="s">
        <v>9245</v>
      </c>
      <c r="BK127" s="1" t="s">
        <v>17619</v>
      </c>
      <c r="BL127" t="s">
        <v>9246</v>
      </c>
      <c r="BM127" t="s">
        <v>72</v>
      </c>
      <c r="BN127" t="s">
        <v>559</v>
      </c>
      <c r="BO127" t="s">
        <v>72</v>
      </c>
      <c r="BP127" t="s">
        <v>72</v>
      </c>
      <c r="BQ127" t="s">
        <v>100</v>
      </c>
      <c r="BR127" t="s">
        <v>9247</v>
      </c>
      <c r="BS127" t="str">
        <f>HYPERLINK("https%3A%2F%2Fwww.webofscience.com%2Fwos%2Fwoscc%2Ffull-record%2FWOS:000607543500001","View Full Record in Web of Science")</f>
        <v>View Full Record in Web of Science</v>
      </c>
    </row>
    <row r="128" spans="1:71" x14ac:dyDescent="0.2">
      <c r="A128" t="s">
        <v>70</v>
      </c>
      <c r="B128" t="s">
        <v>461</v>
      </c>
      <c r="C128" t="s">
        <v>72</v>
      </c>
      <c r="D128" t="s">
        <v>72</v>
      </c>
      <c r="E128" t="s">
        <v>72</v>
      </c>
      <c r="F128" t="s">
        <v>462</v>
      </c>
      <c r="G128" t="s">
        <v>72</v>
      </c>
      <c r="H128" t="s">
        <v>72</v>
      </c>
      <c r="I128" t="s">
        <v>463</v>
      </c>
      <c r="J128" t="s">
        <v>464</v>
      </c>
      <c r="K128" t="s">
        <v>72</v>
      </c>
      <c r="L128" t="s">
        <v>72</v>
      </c>
      <c r="M128" t="s">
        <v>76</v>
      </c>
      <c r="N128" t="s">
        <v>77</v>
      </c>
      <c r="O128" t="s">
        <v>72</v>
      </c>
      <c r="P128" t="s">
        <v>72</v>
      </c>
      <c r="Q128" t="s">
        <v>72</v>
      </c>
      <c r="R128" t="s">
        <v>72</v>
      </c>
      <c r="S128" t="s">
        <v>72</v>
      </c>
      <c r="T128" t="s">
        <v>465</v>
      </c>
      <c r="U128" t="s">
        <v>466</v>
      </c>
      <c r="V128" t="s">
        <v>467</v>
      </c>
      <c r="W128" t="s">
        <v>468</v>
      </c>
      <c r="X128" t="s">
        <v>469</v>
      </c>
      <c r="Y128" t="s">
        <v>470</v>
      </c>
      <c r="Z128" t="s">
        <v>471</v>
      </c>
      <c r="AA128" t="s">
        <v>72</v>
      </c>
      <c r="AB128" t="s">
        <v>472</v>
      </c>
      <c r="AC128" t="s">
        <v>72</v>
      </c>
      <c r="AD128" t="s">
        <v>72</v>
      </c>
      <c r="AE128" t="s">
        <v>72</v>
      </c>
      <c r="AF128" t="s">
        <v>72</v>
      </c>
      <c r="AG128">
        <v>86</v>
      </c>
      <c r="AH128">
        <v>3</v>
      </c>
      <c r="AI128">
        <v>3</v>
      </c>
      <c r="AJ128">
        <v>5</v>
      </c>
      <c r="AK128">
        <v>14</v>
      </c>
      <c r="AL128" t="s">
        <v>364</v>
      </c>
      <c r="AM128" t="s">
        <v>365</v>
      </c>
      <c r="AN128" t="s">
        <v>366</v>
      </c>
      <c r="AO128" t="s">
        <v>473</v>
      </c>
      <c r="AP128" t="s">
        <v>474</v>
      </c>
      <c r="AQ128" t="s">
        <v>72</v>
      </c>
      <c r="AR128" t="s">
        <v>475</v>
      </c>
      <c r="AS128" t="s">
        <v>476</v>
      </c>
      <c r="AT128" t="s">
        <v>477</v>
      </c>
      <c r="AU128">
        <v>2021</v>
      </c>
      <c r="AV128">
        <v>28</v>
      </c>
      <c r="AW128">
        <v>4</v>
      </c>
      <c r="AX128" t="s">
        <v>72</v>
      </c>
      <c r="AY128" t="s">
        <v>72</v>
      </c>
      <c r="AZ128" t="s">
        <v>478</v>
      </c>
      <c r="BA128" t="s">
        <v>72</v>
      </c>
      <c r="BB128">
        <v>898</v>
      </c>
      <c r="BC128">
        <v>925</v>
      </c>
      <c r="BD128" t="s">
        <v>72</v>
      </c>
      <c r="BE128" t="s">
        <v>479</v>
      </c>
      <c r="BF128" t="str">
        <f>HYPERLINK("http://dx.doi.org/10.1080/09692290.2020.1779781","http://dx.doi.org/10.1080/09692290.2020.1779781")</f>
        <v>http://dx.doi.org/10.1080/09692290.2020.1779781</v>
      </c>
      <c r="BG128" t="s">
        <v>72</v>
      </c>
      <c r="BH128" t="s">
        <v>480</v>
      </c>
      <c r="BI128">
        <v>28</v>
      </c>
      <c r="BJ128" t="s">
        <v>481</v>
      </c>
      <c r="BK128" s="1" t="s">
        <v>17619</v>
      </c>
      <c r="BL128" t="s">
        <v>482</v>
      </c>
      <c r="BM128" t="s">
        <v>72</v>
      </c>
      <c r="BN128" t="s">
        <v>483</v>
      </c>
      <c r="BO128" t="s">
        <v>72</v>
      </c>
      <c r="BP128" t="s">
        <v>72</v>
      </c>
      <c r="BQ128" t="s">
        <v>100</v>
      </c>
      <c r="BR128" t="s">
        <v>484</v>
      </c>
      <c r="BS128" t="str">
        <f>HYPERLINK("https%3A%2F%2Fwww.webofscience.com%2Fwos%2Fwoscc%2Ffull-record%2FWOS:000547529200001","View Full Record in Web of Science")</f>
        <v>View Full Record in Web of Science</v>
      </c>
    </row>
    <row r="129" spans="1:71" x14ac:dyDescent="0.2">
      <c r="A129" t="s">
        <v>70</v>
      </c>
      <c r="B129" t="s">
        <v>5983</v>
      </c>
      <c r="C129" t="s">
        <v>72</v>
      </c>
      <c r="D129" t="s">
        <v>72</v>
      </c>
      <c r="E129" t="s">
        <v>72</v>
      </c>
      <c r="F129" t="s">
        <v>5984</v>
      </c>
      <c r="G129" t="s">
        <v>72</v>
      </c>
      <c r="H129" t="s">
        <v>72</v>
      </c>
      <c r="I129" t="s">
        <v>5985</v>
      </c>
      <c r="J129" t="s">
        <v>5986</v>
      </c>
      <c r="K129" t="s">
        <v>72</v>
      </c>
      <c r="L129" t="s">
        <v>72</v>
      </c>
      <c r="M129" t="s">
        <v>76</v>
      </c>
      <c r="N129" t="s">
        <v>352</v>
      </c>
      <c r="O129" t="s">
        <v>72</v>
      </c>
      <c r="P129" t="s">
        <v>72</v>
      </c>
      <c r="Q129" t="s">
        <v>72</v>
      </c>
      <c r="R129" t="s">
        <v>72</v>
      </c>
      <c r="S129" t="s">
        <v>72</v>
      </c>
      <c r="T129" t="s">
        <v>5987</v>
      </c>
      <c r="U129" t="s">
        <v>5347</v>
      </c>
      <c r="V129" t="s">
        <v>5988</v>
      </c>
      <c r="W129" t="s">
        <v>5989</v>
      </c>
      <c r="X129" t="s">
        <v>2622</v>
      </c>
      <c r="Y129" t="s">
        <v>5990</v>
      </c>
      <c r="Z129" t="s">
        <v>5991</v>
      </c>
      <c r="AA129" t="s">
        <v>72</v>
      </c>
      <c r="AB129" t="s">
        <v>5992</v>
      </c>
      <c r="AC129" t="s">
        <v>5993</v>
      </c>
      <c r="AD129" t="s">
        <v>5994</v>
      </c>
      <c r="AE129" t="s">
        <v>5995</v>
      </c>
      <c r="AF129" t="s">
        <v>72</v>
      </c>
      <c r="AG129">
        <v>42</v>
      </c>
      <c r="AH129">
        <v>0</v>
      </c>
      <c r="AI129">
        <v>0</v>
      </c>
      <c r="AJ129">
        <v>1</v>
      </c>
      <c r="AK129">
        <v>1</v>
      </c>
      <c r="AL129" t="s">
        <v>1260</v>
      </c>
      <c r="AM129" t="s">
        <v>964</v>
      </c>
      <c r="AN129" t="s">
        <v>965</v>
      </c>
      <c r="AO129" t="s">
        <v>5996</v>
      </c>
      <c r="AP129" t="s">
        <v>5997</v>
      </c>
      <c r="AQ129" t="s">
        <v>72</v>
      </c>
      <c r="AR129" t="s">
        <v>5998</v>
      </c>
      <c r="AS129" t="s">
        <v>5999</v>
      </c>
      <c r="AT129" t="s">
        <v>72</v>
      </c>
      <c r="AU129" t="s">
        <v>72</v>
      </c>
      <c r="AV129" t="s">
        <v>72</v>
      </c>
      <c r="AW129" t="s">
        <v>72</v>
      </c>
      <c r="AX129" t="s">
        <v>72</v>
      </c>
      <c r="AY129" t="s">
        <v>72</v>
      </c>
      <c r="AZ129" t="s">
        <v>72</v>
      </c>
      <c r="BA129" t="s">
        <v>72</v>
      </c>
      <c r="BB129" t="s">
        <v>72</v>
      </c>
      <c r="BC129" t="s">
        <v>72</v>
      </c>
      <c r="BD129" t="s">
        <v>72</v>
      </c>
      <c r="BE129" t="s">
        <v>6000</v>
      </c>
      <c r="BF129" t="str">
        <f>HYPERLINK("http://dx.doi.org/10.1111/jcms.13398","http://dx.doi.org/10.1111/jcms.13398")</f>
        <v>http://dx.doi.org/10.1111/jcms.13398</v>
      </c>
      <c r="BG129" t="s">
        <v>72</v>
      </c>
      <c r="BH129" t="s">
        <v>1072</v>
      </c>
      <c r="BI129">
        <v>19</v>
      </c>
      <c r="BJ129" t="s">
        <v>481</v>
      </c>
      <c r="BK129" s="1" t="s">
        <v>17619</v>
      </c>
      <c r="BL129" t="s">
        <v>6001</v>
      </c>
      <c r="BM129" t="s">
        <v>72</v>
      </c>
      <c r="BN129" t="s">
        <v>72</v>
      </c>
      <c r="BO129" t="s">
        <v>72</v>
      </c>
      <c r="BP129" t="s">
        <v>72</v>
      </c>
      <c r="BQ129" t="s">
        <v>100</v>
      </c>
      <c r="BR129" t="s">
        <v>6002</v>
      </c>
      <c r="BS129" t="str">
        <f>HYPERLINK("https%3A%2F%2Fwww.webofscience.com%2Fwos%2Fwoscc%2Ffull-record%2FWOS:000840657100001","View Full Record in Web of Science")</f>
        <v>View Full Record in Web of Science</v>
      </c>
    </row>
    <row r="130" spans="1:71" x14ac:dyDescent="0.2">
      <c r="A130" t="s">
        <v>70</v>
      </c>
      <c r="B130" t="s">
        <v>12080</v>
      </c>
      <c r="C130" t="s">
        <v>72</v>
      </c>
      <c r="D130" t="s">
        <v>72</v>
      </c>
      <c r="E130" t="s">
        <v>72</v>
      </c>
      <c r="F130" t="s">
        <v>12081</v>
      </c>
      <c r="G130" t="s">
        <v>72</v>
      </c>
      <c r="H130" t="s">
        <v>72</v>
      </c>
      <c r="I130" t="s">
        <v>12082</v>
      </c>
      <c r="J130" t="s">
        <v>464</v>
      </c>
      <c r="K130" t="s">
        <v>72</v>
      </c>
      <c r="L130" t="s">
        <v>72</v>
      </c>
      <c r="M130" t="s">
        <v>76</v>
      </c>
      <c r="N130" t="s">
        <v>77</v>
      </c>
      <c r="O130" t="s">
        <v>72</v>
      </c>
      <c r="P130" t="s">
        <v>72</v>
      </c>
      <c r="Q130" t="s">
        <v>72</v>
      </c>
      <c r="R130" t="s">
        <v>72</v>
      </c>
      <c r="S130" t="s">
        <v>72</v>
      </c>
      <c r="T130" t="s">
        <v>12083</v>
      </c>
      <c r="U130" t="s">
        <v>12084</v>
      </c>
      <c r="V130" t="s">
        <v>12085</v>
      </c>
      <c r="W130" t="s">
        <v>12086</v>
      </c>
      <c r="X130" t="s">
        <v>12087</v>
      </c>
      <c r="Y130" t="s">
        <v>12088</v>
      </c>
      <c r="Z130" t="s">
        <v>12089</v>
      </c>
      <c r="AA130" t="s">
        <v>72</v>
      </c>
      <c r="AB130" t="s">
        <v>72</v>
      </c>
      <c r="AC130" t="s">
        <v>72</v>
      </c>
      <c r="AD130" t="s">
        <v>72</v>
      </c>
      <c r="AE130" t="s">
        <v>72</v>
      </c>
      <c r="AF130" t="s">
        <v>72</v>
      </c>
      <c r="AG130">
        <v>110</v>
      </c>
      <c r="AH130">
        <v>4</v>
      </c>
      <c r="AI130">
        <v>4</v>
      </c>
      <c r="AJ130">
        <v>1</v>
      </c>
      <c r="AK130">
        <v>5</v>
      </c>
      <c r="AL130" t="s">
        <v>364</v>
      </c>
      <c r="AM130" t="s">
        <v>365</v>
      </c>
      <c r="AN130" t="s">
        <v>366</v>
      </c>
      <c r="AO130" t="s">
        <v>473</v>
      </c>
      <c r="AP130" t="s">
        <v>474</v>
      </c>
      <c r="AQ130" t="s">
        <v>72</v>
      </c>
      <c r="AR130" t="s">
        <v>475</v>
      </c>
      <c r="AS130" t="s">
        <v>476</v>
      </c>
      <c r="AT130" t="s">
        <v>12090</v>
      </c>
      <c r="AU130">
        <v>2021</v>
      </c>
      <c r="AV130">
        <v>28</v>
      </c>
      <c r="AW130">
        <v>6</v>
      </c>
      <c r="AX130" t="s">
        <v>72</v>
      </c>
      <c r="AY130" t="s">
        <v>72</v>
      </c>
      <c r="AZ130" t="s">
        <v>72</v>
      </c>
      <c r="BA130" t="s">
        <v>72</v>
      </c>
      <c r="BB130">
        <v>1459</v>
      </c>
      <c r="BC130">
        <v>1486</v>
      </c>
      <c r="BD130" t="s">
        <v>72</v>
      </c>
      <c r="BE130" t="s">
        <v>12091</v>
      </c>
      <c r="BF130" t="str">
        <f>HYPERLINK("http://dx.doi.org/10.1080/09692290.2020.1772848","http://dx.doi.org/10.1080/09692290.2020.1772848")</f>
        <v>http://dx.doi.org/10.1080/09692290.2020.1772848</v>
      </c>
      <c r="BG130" t="s">
        <v>72</v>
      </c>
      <c r="BH130" t="s">
        <v>2942</v>
      </c>
      <c r="BI130">
        <v>28</v>
      </c>
      <c r="BJ130" t="s">
        <v>481</v>
      </c>
      <c r="BK130" s="1" t="s">
        <v>17619</v>
      </c>
      <c r="BL130" t="s">
        <v>12092</v>
      </c>
      <c r="BM130" t="s">
        <v>72</v>
      </c>
      <c r="BN130" t="s">
        <v>72</v>
      </c>
      <c r="BO130" t="s">
        <v>72</v>
      </c>
      <c r="BP130" t="s">
        <v>72</v>
      </c>
      <c r="BQ130" t="s">
        <v>100</v>
      </c>
      <c r="BR130" t="s">
        <v>12093</v>
      </c>
      <c r="BS130" t="str">
        <f>HYPERLINK("https%3A%2F%2Fwww.webofscience.com%2Fwos%2Fwoscc%2Ffull-record%2FWOS:000547973800001","View Full Record in Web of Science")</f>
        <v>View Full Record in Web of Science</v>
      </c>
    </row>
    <row r="131" spans="1:71" x14ac:dyDescent="0.2">
      <c r="A131" t="s">
        <v>70</v>
      </c>
      <c r="B131" t="s">
        <v>13551</v>
      </c>
      <c r="C131" t="s">
        <v>72</v>
      </c>
      <c r="D131" t="s">
        <v>72</v>
      </c>
      <c r="E131" t="s">
        <v>72</v>
      </c>
      <c r="F131" t="s">
        <v>13552</v>
      </c>
      <c r="G131" t="s">
        <v>72</v>
      </c>
      <c r="H131" t="s">
        <v>72</v>
      </c>
      <c r="I131" t="s">
        <v>13553</v>
      </c>
      <c r="J131" t="s">
        <v>13554</v>
      </c>
      <c r="K131" t="s">
        <v>72</v>
      </c>
      <c r="L131" t="s">
        <v>72</v>
      </c>
      <c r="M131" t="s">
        <v>76</v>
      </c>
      <c r="N131" t="s">
        <v>77</v>
      </c>
      <c r="O131" t="s">
        <v>72</v>
      </c>
      <c r="P131" t="s">
        <v>72</v>
      </c>
      <c r="Q131" t="s">
        <v>72</v>
      </c>
      <c r="R131" t="s">
        <v>72</v>
      </c>
      <c r="S131" t="s">
        <v>72</v>
      </c>
      <c r="T131" t="s">
        <v>13555</v>
      </c>
      <c r="U131" t="s">
        <v>13556</v>
      </c>
      <c r="V131" t="s">
        <v>13557</v>
      </c>
      <c r="W131" t="s">
        <v>13558</v>
      </c>
      <c r="X131" t="s">
        <v>13559</v>
      </c>
      <c r="Y131" t="s">
        <v>13560</v>
      </c>
      <c r="Z131" t="s">
        <v>13561</v>
      </c>
      <c r="AA131" t="s">
        <v>13562</v>
      </c>
      <c r="AB131" t="s">
        <v>13563</v>
      </c>
      <c r="AC131" t="s">
        <v>13564</v>
      </c>
      <c r="AD131" t="s">
        <v>13565</v>
      </c>
      <c r="AE131" t="s">
        <v>13566</v>
      </c>
      <c r="AF131" t="s">
        <v>72</v>
      </c>
      <c r="AG131">
        <v>64</v>
      </c>
      <c r="AH131">
        <v>7</v>
      </c>
      <c r="AI131">
        <v>7</v>
      </c>
      <c r="AJ131">
        <v>0</v>
      </c>
      <c r="AK131">
        <v>8</v>
      </c>
      <c r="AL131" t="s">
        <v>240</v>
      </c>
      <c r="AM131" t="s">
        <v>241</v>
      </c>
      <c r="AN131" t="s">
        <v>242</v>
      </c>
      <c r="AO131" t="s">
        <v>13567</v>
      </c>
      <c r="AP131" t="s">
        <v>13568</v>
      </c>
      <c r="AQ131" t="s">
        <v>72</v>
      </c>
      <c r="AR131" t="s">
        <v>13569</v>
      </c>
      <c r="AS131" t="s">
        <v>13570</v>
      </c>
      <c r="AT131" t="s">
        <v>1602</v>
      </c>
      <c r="AU131">
        <v>2021</v>
      </c>
      <c r="AV131">
        <v>20</v>
      </c>
      <c r="AW131">
        <v>1</v>
      </c>
      <c r="AX131" t="s">
        <v>72</v>
      </c>
      <c r="AY131" t="s">
        <v>72</v>
      </c>
      <c r="AZ131" t="s">
        <v>72</v>
      </c>
      <c r="BA131" t="s">
        <v>72</v>
      </c>
      <c r="BB131">
        <v>73</v>
      </c>
      <c r="BC131">
        <v>94</v>
      </c>
      <c r="BD131" t="s">
        <v>13571</v>
      </c>
      <c r="BE131" t="s">
        <v>13572</v>
      </c>
      <c r="BF131" t="str">
        <f>HYPERLINK("http://dx.doi.org/10.1017/S147474562000035X","http://dx.doi.org/10.1017/S147474562000035X")</f>
        <v>http://dx.doi.org/10.1017/S147474562000035X</v>
      </c>
      <c r="BG131" t="s">
        <v>72</v>
      </c>
      <c r="BH131" t="s">
        <v>72</v>
      </c>
      <c r="BI131">
        <v>22</v>
      </c>
      <c r="BJ131" t="s">
        <v>13573</v>
      </c>
      <c r="BK131" s="1" t="s">
        <v>17619</v>
      </c>
      <c r="BL131" t="s">
        <v>13574</v>
      </c>
      <c r="BM131" t="s">
        <v>72</v>
      </c>
      <c r="BN131" t="s">
        <v>72</v>
      </c>
      <c r="BO131" t="s">
        <v>72</v>
      </c>
      <c r="BP131" t="s">
        <v>72</v>
      </c>
      <c r="BQ131" t="s">
        <v>100</v>
      </c>
      <c r="BR131" t="s">
        <v>13575</v>
      </c>
      <c r="BS131" t="str">
        <f>HYPERLINK("https%3A%2F%2Fwww.webofscience.com%2Fwos%2Fwoscc%2Ffull-record%2FWOS:000614577000005","View Full Record in Web of Science")</f>
        <v>View Full Record in Web of Science</v>
      </c>
    </row>
    <row r="132" spans="1:71" x14ac:dyDescent="0.2">
      <c r="A132" t="s">
        <v>70</v>
      </c>
      <c r="B132" t="s">
        <v>16062</v>
      </c>
      <c r="C132" t="s">
        <v>72</v>
      </c>
      <c r="D132" t="s">
        <v>72</v>
      </c>
      <c r="E132" t="s">
        <v>72</v>
      </c>
      <c r="F132" t="s">
        <v>16063</v>
      </c>
      <c r="G132" t="s">
        <v>72</v>
      </c>
      <c r="H132" t="s">
        <v>72</v>
      </c>
      <c r="I132" t="s">
        <v>16064</v>
      </c>
      <c r="J132" t="s">
        <v>16065</v>
      </c>
      <c r="K132" t="s">
        <v>72</v>
      </c>
      <c r="L132" t="s">
        <v>72</v>
      </c>
      <c r="M132" t="s">
        <v>76</v>
      </c>
      <c r="N132" t="s">
        <v>77</v>
      </c>
      <c r="O132" t="s">
        <v>72</v>
      </c>
      <c r="P132" t="s">
        <v>72</v>
      </c>
      <c r="Q132" t="s">
        <v>72</v>
      </c>
      <c r="R132" t="s">
        <v>72</v>
      </c>
      <c r="S132" t="s">
        <v>72</v>
      </c>
      <c r="T132" t="s">
        <v>72</v>
      </c>
      <c r="U132" t="s">
        <v>16066</v>
      </c>
      <c r="V132" t="s">
        <v>16067</v>
      </c>
      <c r="W132" t="s">
        <v>16068</v>
      </c>
      <c r="X132" t="s">
        <v>72</v>
      </c>
      <c r="Y132" t="s">
        <v>16069</v>
      </c>
      <c r="Z132" t="s">
        <v>16070</v>
      </c>
      <c r="AA132" t="s">
        <v>72</v>
      </c>
      <c r="AB132" t="s">
        <v>72</v>
      </c>
      <c r="AC132" t="s">
        <v>72</v>
      </c>
      <c r="AD132" t="s">
        <v>72</v>
      </c>
      <c r="AE132" t="s">
        <v>72</v>
      </c>
      <c r="AF132" t="s">
        <v>72</v>
      </c>
      <c r="AG132">
        <v>55</v>
      </c>
      <c r="AH132">
        <v>3</v>
      </c>
      <c r="AI132">
        <v>3</v>
      </c>
      <c r="AJ132">
        <v>1</v>
      </c>
      <c r="AK132">
        <v>20</v>
      </c>
      <c r="AL132" t="s">
        <v>16071</v>
      </c>
      <c r="AM132" t="s">
        <v>16072</v>
      </c>
      <c r="AN132" t="s">
        <v>16073</v>
      </c>
      <c r="AO132" t="s">
        <v>16074</v>
      </c>
      <c r="AP132" t="s">
        <v>16075</v>
      </c>
      <c r="AQ132" t="s">
        <v>72</v>
      </c>
      <c r="AR132" t="s">
        <v>16076</v>
      </c>
      <c r="AS132" t="s">
        <v>16077</v>
      </c>
      <c r="AT132" t="s">
        <v>72</v>
      </c>
      <c r="AU132">
        <v>2019</v>
      </c>
      <c r="AV132">
        <v>53</v>
      </c>
      <c r="AW132">
        <v>5</v>
      </c>
      <c r="AX132" t="s">
        <v>72</v>
      </c>
      <c r="AY132" t="s">
        <v>72</v>
      </c>
      <c r="AZ132" t="s">
        <v>72</v>
      </c>
      <c r="BA132" t="s">
        <v>72</v>
      </c>
      <c r="BB132">
        <v>783</v>
      </c>
      <c r="BC132">
        <v>809</v>
      </c>
      <c r="BD132" t="s">
        <v>72</v>
      </c>
      <c r="BE132" t="s">
        <v>72</v>
      </c>
      <c r="BF132" t="s">
        <v>72</v>
      </c>
      <c r="BG132" t="s">
        <v>72</v>
      </c>
      <c r="BH132" t="s">
        <v>72</v>
      </c>
      <c r="BI132">
        <v>27</v>
      </c>
      <c r="BJ132" t="s">
        <v>13573</v>
      </c>
      <c r="BK132" s="1" t="s">
        <v>17619</v>
      </c>
      <c r="BL132" t="s">
        <v>16078</v>
      </c>
      <c r="BM132" t="s">
        <v>72</v>
      </c>
      <c r="BN132" t="s">
        <v>72</v>
      </c>
      <c r="BO132" t="s">
        <v>72</v>
      </c>
      <c r="BP132" t="s">
        <v>72</v>
      </c>
      <c r="BQ132" t="s">
        <v>100</v>
      </c>
      <c r="BR132" t="s">
        <v>16079</v>
      </c>
      <c r="BS132" t="str">
        <f>HYPERLINK("https%3A%2F%2Fwww.webofscience.com%2Fwos%2Fwoscc%2Ffull-record%2FWOS:000493794300003","View Full Record in Web of Science")</f>
        <v>View Full Record in Web of Science</v>
      </c>
    </row>
    <row r="133" spans="1:71" x14ac:dyDescent="0.2">
      <c r="A133" t="s">
        <v>70</v>
      </c>
      <c r="B133" t="s">
        <v>16379</v>
      </c>
      <c r="C133" t="s">
        <v>72</v>
      </c>
      <c r="D133" t="s">
        <v>72</v>
      </c>
      <c r="E133" t="s">
        <v>72</v>
      </c>
      <c r="F133" t="s">
        <v>16380</v>
      </c>
      <c r="G133" t="s">
        <v>72</v>
      </c>
      <c r="H133" t="s">
        <v>72</v>
      </c>
      <c r="I133" t="s">
        <v>16381</v>
      </c>
      <c r="J133" t="s">
        <v>16382</v>
      </c>
      <c r="K133" t="s">
        <v>72</v>
      </c>
      <c r="L133" t="s">
        <v>72</v>
      </c>
      <c r="M133" t="s">
        <v>76</v>
      </c>
      <c r="N133" t="s">
        <v>16383</v>
      </c>
      <c r="O133" t="s">
        <v>72</v>
      </c>
      <c r="P133" t="s">
        <v>72</v>
      </c>
      <c r="Q133" t="s">
        <v>72</v>
      </c>
      <c r="R133" t="s">
        <v>72</v>
      </c>
      <c r="S133" t="s">
        <v>72</v>
      </c>
      <c r="T133" t="s">
        <v>16384</v>
      </c>
      <c r="U133" t="s">
        <v>16385</v>
      </c>
      <c r="V133" t="s">
        <v>16386</v>
      </c>
      <c r="W133" t="s">
        <v>16387</v>
      </c>
      <c r="X133" t="s">
        <v>16388</v>
      </c>
      <c r="Y133" t="s">
        <v>16389</v>
      </c>
      <c r="Z133" t="s">
        <v>16390</v>
      </c>
      <c r="AA133" t="s">
        <v>16391</v>
      </c>
      <c r="AB133" t="s">
        <v>16392</v>
      </c>
      <c r="AC133" t="s">
        <v>16393</v>
      </c>
      <c r="AD133" t="s">
        <v>16394</v>
      </c>
      <c r="AE133" t="s">
        <v>16395</v>
      </c>
      <c r="AF133" t="s">
        <v>72</v>
      </c>
      <c r="AG133">
        <v>62</v>
      </c>
      <c r="AH133">
        <v>0</v>
      </c>
      <c r="AI133">
        <v>0</v>
      </c>
      <c r="AJ133">
        <v>1</v>
      </c>
      <c r="AK133">
        <v>1</v>
      </c>
      <c r="AL133" t="s">
        <v>88</v>
      </c>
      <c r="AM133" t="s">
        <v>707</v>
      </c>
      <c r="AN133" t="s">
        <v>1987</v>
      </c>
      <c r="AO133" t="s">
        <v>16396</v>
      </c>
      <c r="AP133" t="s">
        <v>16397</v>
      </c>
      <c r="AQ133" t="s">
        <v>72</v>
      </c>
      <c r="AR133" t="s">
        <v>16398</v>
      </c>
      <c r="AS133" t="s">
        <v>16399</v>
      </c>
      <c r="AT133" t="s">
        <v>72</v>
      </c>
      <c r="AU133" t="s">
        <v>72</v>
      </c>
      <c r="AV133" t="s">
        <v>72</v>
      </c>
      <c r="AW133" t="s">
        <v>72</v>
      </c>
      <c r="AX133" t="s">
        <v>72</v>
      </c>
      <c r="AY133" t="s">
        <v>72</v>
      </c>
      <c r="AZ133" t="s">
        <v>72</v>
      </c>
      <c r="BA133" t="s">
        <v>72</v>
      </c>
      <c r="BB133" t="s">
        <v>72</v>
      </c>
      <c r="BC133" t="s">
        <v>72</v>
      </c>
      <c r="BD133" t="s">
        <v>72</v>
      </c>
      <c r="BE133" t="s">
        <v>16400</v>
      </c>
      <c r="BF133" t="str">
        <f>HYPERLINK("http://dx.doi.org/10.1007/s11558-022-09476-y","http://dx.doi.org/10.1007/s11558-022-09476-y")</f>
        <v>http://dx.doi.org/10.1007/s11558-022-09476-y</v>
      </c>
      <c r="BG133" t="s">
        <v>72</v>
      </c>
      <c r="BH133" t="s">
        <v>11392</v>
      </c>
      <c r="BI133">
        <v>19</v>
      </c>
      <c r="BJ133" t="s">
        <v>481</v>
      </c>
      <c r="BK133" s="1" t="s">
        <v>17619</v>
      </c>
      <c r="BL133" t="s">
        <v>16401</v>
      </c>
      <c r="BM133" t="s">
        <v>72</v>
      </c>
      <c r="BN133" t="s">
        <v>280</v>
      </c>
      <c r="BO133" t="s">
        <v>72</v>
      </c>
      <c r="BP133" t="s">
        <v>72</v>
      </c>
      <c r="BQ133" t="s">
        <v>100</v>
      </c>
      <c r="BR133" t="s">
        <v>16402</v>
      </c>
      <c r="BS133" t="str">
        <f>HYPERLINK("https%3A%2F%2Fwww.webofscience.com%2Fwos%2Fwoscc%2Ffull-record%2FWOS:000858959600001","View Full Record in Web of Science")</f>
        <v>View Full Record in Web of Science</v>
      </c>
    </row>
    <row r="134" spans="1:71" x14ac:dyDescent="0.2">
      <c r="A134" t="s">
        <v>70</v>
      </c>
      <c r="B134" t="s">
        <v>16891</v>
      </c>
      <c r="C134" t="s">
        <v>72</v>
      </c>
      <c r="D134" t="s">
        <v>72</v>
      </c>
      <c r="E134" t="s">
        <v>72</v>
      </c>
      <c r="F134" t="s">
        <v>16892</v>
      </c>
      <c r="G134" t="s">
        <v>72</v>
      </c>
      <c r="H134" t="s">
        <v>72</v>
      </c>
      <c r="I134" t="s">
        <v>16893</v>
      </c>
      <c r="J134" t="s">
        <v>16382</v>
      </c>
      <c r="K134" t="s">
        <v>72</v>
      </c>
      <c r="L134" t="s">
        <v>72</v>
      </c>
      <c r="M134" t="s">
        <v>76</v>
      </c>
      <c r="N134" t="s">
        <v>352</v>
      </c>
      <c r="O134" t="s">
        <v>72</v>
      </c>
      <c r="P134" t="s">
        <v>72</v>
      </c>
      <c r="Q134" t="s">
        <v>72</v>
      </c>
      <c r="R134" t="s">
        <v>72</v>
      </c>
      <c r="S134" t="s">
        <v>72</v>
      </c>
      <c r="T134" t="s">
        <v>16894</v>
      </c>
      <c r="U134" t="s">
        <v>16895</v>
      </c>
      <c r="V134" t="s">
        <v>16896</v>
      </c>
      <c r="W134" t="s">
        <v>16897</v>
      </c>
      <c r="X134" t="s">
        <v>16898</v>
      </c>
      <c r="Y134" t="s">
        <v>16899</v>
      </c>
      <c r="Z134" t="s">
        <v>16900</v>
      </c>
      <c r="AA134" t="s">
        <v>72</v>
      </c>
      <c r="AB134" t="s">
        <v>16901</v>
      </c>
      <c r="AC134" t="s">
        <v>72</v>
      </c>
      <c r="AD134" t="s">
        <v>72</v>
      </c>
      <c r="AE134" t="s">
        <v>72</v>
      </c>
      <c r="AF134" t="s">
        <v>72</v>
      </c>
      <c r="AG134">
        <v>80</v>
      </c>
      <c r="AH134">
        <v>0</v>
      </c>
      <c r="AI134">
        <v>0</v>
      </c>
      <c r="AJ134">
        <v>2</v>
      </c>
      <c r="AK134">
        <v>2</v>
      </c>
      <c r="AL134" t="s">
        <v>88</v>
      </c>
      <c r="AM134" t="s">
        <v>707</v>
      </c>
      <c r="AN134" t="s">
        <v>1987</v>
      </c>
      <c r="AO134" t="s">
        <v>16396</v>
      </c>
      <c r="AP134" t="s">
        <v>16397</v>
      </c>
      <c r="AQ134" t="s">
        <v>72</v>
      </c>
      <c r="AR134" t="s">
        <v>16398</v>
      </c>
      <c r="AS134" t="s">
        <v>16399</v>
      </c>
      <c r="AT134" t="s">
        <v>72</v>
      </c>
      <c r="AU134" t="s">
        <v>72</v>
      </c>
      <c r="AV134" t="s">
        <v>72</v>
      </c>
      <c r="AW134" t="s">
        <v>72</v>
      </c>
      <c r="AX134" t="s">
        <v>72</v>
      </c>
      <c r="AY134" t="s">
        <v>72</v>
      </c>
      <c r="AZ134" t="s">
        <v>72</v>
      </c>
      <c r="BA134" t="s">
        <v>72</v>
      </c>
      <c r="BB134" t="s">
        <v>72</v>
      </c>
      <c r="BC134" t="s">
        <v>72</v>
      </c>
      <c r="BD134" t="s">
        <v>72</v>
      </c>
      <c r="BE134" t="s">
        <v>16902</v>
      </c>
      <c r="BF134" t="str">
        <f>HYPERLINK("http://dx.doi.org/10.1007/s11558-022-09470-4","http://dx.doi.org/10.1007/s11558-022-09470-4")</f>
        <v>http://dx.doi.org/10.1007/s11558-022-09470-4</v>
      </c>
      <c r="BG134" t="s">
        <v>72</v>
      </c>
      <c r="BH134" t="s">
        <v>1072</v>
      </c>
      <c r="BI134">
        <v>31</v>
      </c>
      <c r="BJ134" t="s">
        <v>481</v>
      </c>
      <c r="BK134" s="1" t="s">
        <v>17619</v>
      </c>
      <c r="BL134" t="s">
        <v>16903</v>
      </c>
      <c r="BM134" t="s">
        <v>72</v>
      </c>
      <c r="BN134" t="s">
        <v>72</v>
      </c>
      <c r="BO134" t="s">
        <v>72</v>
      </c>
      <c r="BP134" t="s">
        <v>72</v>
      </c>
      <c r="BQ134" t="s">
        <v>100</v>
      </c>
      <c r="BR134" t="s">
        <v>16904</v>
      </c>
      <c r="BS134" t="str">
        <f>HYPERLINK("https%3A%2F%2Fwww.webofscience.com%2Fwos%2Fwoscc%2Ffull-record%2FWOS:000834691300001","View Full Record in Web of Science")</f>
        <v>View Full Record in Web of Science</v>
      </c>
    </row>
    <row r="135" spans="1:71" hidden="1" x14ac:dyDescent="0.2">
      <c r="A135" t="s">
        <v>70</v>
      </c>
      <c r="B135" t="s">
        <v>756</v>
      </c>
      <c r="C135" t="s">
        <v>72</v>
      </c>
      <c r="D135" t="s">
        <v>72</v>
      </c>
      <c r="E135" t="s">
        <v>72</v>
      </c>
      <c r="F135" t="s">
        <v>757</v>
      </c>
      <c r="G135" t="s">
        <v>72</v>
      </c>
      <c r="H135" t="s">
        <v>72</v>
      </c>
      <c r="I135" t="s">
        <v>758</v>
      </c>
      <c r="J135" t="s">
        <v>759</v>
      </c>
      <c r="K135" t="s">
        <v>72</v>
      </c>
      <c r="L135" t="s">
        <v>72</v>
      </c>
      <c r="M135" t="s">
        <v>76</v>
      </c>
      <c r="N135" t="s">
        <v>77</v>
      </c>
      <c r="O135" t="s">
        <v>72</v>
      </c>
      <c r="P135" t="s">
        <v>72</v>
      </c>
      <c r="Q135" t="s">
        <v>72</v>
      </c>
      <c r="R135" t="s">
        <v>72</v>
      </c>
      <c r="S135" t="s">
        <v>72</v>
      </c>
      <c r="T135" t="s">
        <v>72</v>
      </c>
      <c r="U135" t="s">
        <v>760</v>
      </c>
      <c r="V135" t="s">
        <v>761</v>
      </c>
      <c r="W135" t="s">
        <v>762</v>
      </c>
      <c r="X135" t="s">
        <v>763</v>
      </c>
      <c r="Y135" t="s">
        <v>764</v>
      </c>
      <c r="Z135" t="s">
        <v>765</v>
      </c>
      <c r="AA135" t="s">
        <v>72</v>
      </c>
      <c r="AB135" t="s">
        <v>72</v>
      </c>
      <c r="AC135" t="s">
        <v>766</v>
      </c>
      <c r="AD135" t="s">
        <v>767</v>
      </c>
      <c r="AE135" t="s">
        <v>768</v>
      </c>
      <c r="AF135" t="s">
        <v>72</v>
      </c>
      <c r="AG135">
        <v>62</v>
      </c>
      <c r="AH135">
        <v>0</v>
      </c>
      <c r="AI135">
        <v>0</v>
      </c>
      <c r="AJ135">
        <v>1</v>
      </c>
      <c r="AK135">
        <v>1</v>
      </c>
      <c r="AL135" t="s">
        <v>769</v>
      </c>
      <c r="AM135" t="s">
        <v>770</v>
      </c>
      <c r="AN135" t="s">
        <v>771</v>
      </c>
      <c r="AO135" t="s">
        <v>772</v>
      </c>
      <c r="AP135" t="s">
        <v>773</v>
      </c>
      <c r="AQ135" t="s">
        <v>72</v>
      </c>
      <c r="AR135" t="s">
        <v>774</v>
      </c>
      <c r="AS135" t="s">
        <v>775</v>
      </c>
      <c r="AT135" t="s">
        <v>776</v>
      </c>
      <c r="AU135">
        <v>2021</v>
      </c>
      <c r="AV135">
        <v>6</v>
      </c>
      <c r="AW135">
        <v>3</v>
      </c>
      <c r="AX135" t="s">
        <v>72</v>
      </c>
      <c r="AY135" t="s">
        <v>72</v>
      </c>
      <c r="AZ135" t="s">
        <v>72</v>
      </c>
      <c r="BA135" t="s">
        <v>72</v>
      </c>
      <c r="BB135">
        <v>315</v>
      </c>
      <c r="BC135">
        <v>323</v>
      </c>
      <c r="BD135" t="s">
        <v>72</v>
      </c>
      <c r="BE135" t="s">
        <v>777</v>
      </c>
      <c r="BF135" t="str">
        <f>HYPERLINK("http://dx.doi.org/10.1086/714517","http://dx.doi.org/10.1086/714517")</f>
        <v>http://dx.doi.org/10.1086/714517</v>
      </c>
      <c r="BG135" t="s">
        <v>72</v>
      </c>
      <c r="BH135" t="s">
        <v>72</v>
      </c>
      <c r="BI135">
        <v>9</v>
      </c>
      <c r="BJ135" t="s">
        <v>778</v>
      </c>
      <c r="BK135" t="s">
        <v>779</v>
      </c>
      <c r="BL135" t="s">
        <v>780</v>
      </c>
      <c r="BM135">
        <v>36275173</v>
      </c>
      <c r="BN135" t="s">
        <v>559</v>
      </c>
      <c r="BO135" t="s">
        <v>72</v>
      </c>
      <c r="BP135" t="s">
        <v>72</v>
      </c>
      <c r="BQ135" t="s">
        <v>100</v>
      </c>
      <c r="BR135" t="s">
        <v>781</v>
      </c>
      <c r="BS135" t="str">
        <f>HYPERLINK("https%3A%2F%2Fwww.webofscience.com%2Fwos%2Fwoscc%2Ffull-record%2FWOS:000843037200004","View Full Record in Web of Science")</f>
        <v>View Full Record in Web of Science</v>
      </c>
    </row>
    <row r="136" spans="1:71" hidden="1" x14ac:dyDescent="0.2">
      <c r="A136" t="s">
        <v>70</v>
      </c>
      <c r="B136" t="s">
        <v>5772</v>
      </c>
      <c r="C136" t="s">
        <v>72</v>
      </c>
      <c r="D136" t="s">
        <v>72</v>
      </c>
      <c r="E136" t="s">
        <v>72</v>
      </c>
      <c r="F136" t="s">
        <v>5773</v>
      </c>
      <c r="G136" t="s">
        <v>72</v>
      </c>
      <c r="H136" t="s">
        <v>72</v>
      </c>
      <c r="I136" t="s">
        <v>5774</v>
      </c>
      <c r="J136" t="s">
        <v>5775</v>
      </c>
      <c r="K136" t="s">
        <v>72</v>
      </c>
      <c r="L136" t="s">
        <v>72</v>
      </c>
      <c r="M136" t="s">
        <v>76</v>
      </c>
      <c r="N136" t="s">
        <v>77</v>
      </c>
      <c r="O136" t="s">
        <v>72</v>
      </c>
      <c r="P136" t="s">
        <v>72</v>
      </c>
      <c r="Q136" t="s">
        <v>72</v>
      </c>
      <c r="R136" t="s">
        <v>72</v>
      </c>
      <c r="S136" t="s">
        <v>72</v>
      </c>
      <c r="T136" t="s">
        <v>5776</v>
      </c>
      <c r="U136" t="s">
        <v>5777</v>
      </c>
      <c r="V136" t="s">
        <v>5778</v>
      </c>
      <c r="W136" t="s">
        <v>5779</v>
      </c>
      <c r="X136" t="s">
        <v>1549</v>
      </c>
      <c r="Y136" t="s">
        <v>5780</v>
      </c>
      <c r="Z136" t="s">
        <v>5781</v>
      </c>
      <c r="AA136" t="s">
        <v>72</v>
      </c>
      <c r="AB136" t="s">
        <v>5782</v>
      </c>
      <c r="AC136" t="s">
        <v>72</v>
      </c>
      <c r="AD136" t="s">
        <v>72</v>
      </c>
      <c r="AE136" t="s">
        <v>72</v>
      </c>
      <c r="AF136" t="s">
        <v>72</v>
      </c>
      <c r="AG136">
        <v>46</v>
      </c>
      <c r="AH136">
        <v>27</v>
      </c>
      <c r="AI136">
        <v>28</v>
      </c>
      <c r="AJ136">
        <v>26</v>
      </c>
      <c r="AK136">
        <v>139</v>
      </c>
      <c r="AL136" t="s">
        <v>1260</v>
      </c>
      <c r="AM136" t="s">
        <v>964</v>
      </c>
      <c r="AN136" t="s">
        <v>965</v>
      </c>
      <c r="AO136" t="s">
        <v>5783</v>
      </c>
      <c r="AP136" t="s">
        <v>5784</v>
      </c>
      <c r="AQ136" t="s">
        <v>72</v>
      </c>
      <c r="AR136" t="s">
        <v>5785</v>
      </c>
      <c r="AS136" t="s">
        <v>5786</v>
      </c>
      <c r="AT136" t="s">
        <v>247</v>
      </c>
      <c r="AU136">
        <v>2021</v>
      </c>
      <c r="AV136">
        <v>38</v>
      </c>
      <c r="AW136">
        <v>1</v>
      </c>
      <c r="AX136" t="s">
        <v>72</v>
      </c>
      <c r="AY136" t="s">
        <v>72</v>
      </c>
      <c r="AZ136" t="s">
        <v>72</v>
      </c>
      <c r="BA136" t="s">
        <v>72</v>
      </c>
      <c r="BB136">
        <v>101</v>
      </c>
      <c r="BC136">
        <v>112</v>
      </c>
      <c r="BD136" t="s">
        <v>72</v>
      </c>
      <c r="BE136" t="s">
        <v>5787</v>
      </c>
      <c r="BF136" t="str">
        <f>HYPERLINK("http://dx.doi.org/10.1002/mar.21419","http://dx.doi.org/10.1002/mar.21419")</f>
        <v>http://dx.doi.org/10.1002/mar.21419</v>
      </c>
      <c r="BG136" t="s">
        <v>72</v>
      </c>
      <c r="BH136" t="s">
        <v>5788</v>
      </c>
      <c r="BI136">
        <v>12</v>
      </c>
      <c r="BJ136" t="s">
        <v>778</v>
      </c>
      <c r="BK136" t="s">
        <v>779</v>
      </c>
      <c r="BL136" t="s">
        <v>5789</v>
      </c>
      <c r="BM136" t="s">
        <v>72</v>
      </c>
      <c r="BN136" t="s">
        <v>72</v>
      </c>
      <c r="BO136" t="s">
        <v>72</v>
      </c>
      <c r="BP136" t="s">
        <v>72</v>
      </c>
      <c r="BQ136" t="s">
        <v>100</v>
      </c>
      <c r="BR136" t="s">
        <v>5790</v>
      </c>
      <c r="BS136" t="str">
        <f>HYPERLINK("https%3A%2F%2Fwww.webofscience.com%2Fwos%2Fwoscc%2Ffull-record%2FWOS:000578537400001","View Full Record in Web of Science")</f>
        <v>View Full Record in Web of Science</v>
      </c>
    </row>
    <row r="137" spans="1:71" hidden="1" x14ac:dyDescent="0.2">
      <c r="A137" t="s">
        <v>70</v>
      </c>
      <c r="B137" t="s">
        <v>15366</v>
      </c>
      <c r="C137" t="s">
        <v>72</v>
      </c>
      <c r="D137" t="s">
        <v>72</v>
      </c>
      <c r="E137" t="s">
        <v>72</v>
      </c>
      <c r="F137" t="s">
        <v>15367</v>
      </c>
      <c r="G137" t="s">
        <v>72</v>
      </c>
      <c r="H137" t="s">
        <v>72</v>
      </c>
      <c r="I137" t="s">
        <v>15368</v>
      </c>
      <c r="J137" t="s">
        <v>15369</v>
      </c>
      <c r="K137" t="s">
        <v>72</v>
      </c>
      <c r="L137" t="s">
        <v>72</v>
      </c>
      <c r="M137" t="s">
        <v>76</v>
      </c>
      <c r="N137" t="s">
        <v>77</v>
      </c>
      <c r="O137" t="s">
        <v>72</v>
      </c>
      <c r="P137" t="s">
        <v>72</v>
      </c>
      <c r="Q137" t="s">
        <v>72</v>
      </c>
      <c r="R137" t="s">
        <v>72</v>
      </c>
      <c r="S137" t="s">
        <v>72</v>
      </c>
      <c r="T137" t="s">
        <v>72</v>
      </c>
      <c r="U137" t="s">
        <v>15370</v>
      </c>
      <c r="V137" t="s">
        <v>15371</v>
      </c>
      <c r="W137" t="s">
        <v>15372</v>
      </c>
      <c r="X137" t="s">
        <v>3001</v>
      </c>
      <c r="Y137" t="s">
        <v>4027</v>
      </c>
      <c r="Z137" t="s">
        <v>4028</v>
      </c>
      <c r="AA137" t="s">
        <v>3543</v>
      </c>
      <c r="AB137" t="s">
        <v>3544</v>
      </c>
      <c r="AC137" t="s">
        <v>72</v>
      </c>
      <c r="AD137" t="s">
        <v>72</v>
      </c>
      <c r="AE137" t="s">
        <v>72</v>
      </c>
      <c r="AF137" t="s">
        <v>72</v>
      </c>
      <c r="AG137">
        <v>61</v>
      </c>
      <c r="AH137">
        <v>2</v>
      </c>
      <c r="AI137">
        <v>2</v>
      </c>
      <c r="AJ137">
        <v>3</v>
      </c>
      <c r="AK137">
        <v>9</v>
      </c>
      <c r="AL137" t="s">
        <v>879</v>
      </c>
      <c r="AM137" t="s">
        <v>451</v>
      </c>
      <c r="AN137" t="s">
        <v>880</v>
      </c>
      <c r="AO137" t="s">
        <v>15373</v>
      </c>
      <c r="AP137" t="s">
        <v>15374</v>
      </c>
      <c r="AQ137" t="s">
        <v>72</v>
      </c>
      <c r="AR137" t="s">
        <v>15375</v>
      </c>
      <c r="AS137" t="s">
        <v>15376</v>
      </c>
      <c r="AT137" t="s">
        <v>395</v>
      </c>
      <c r="AU137">
        <v>2021</v>
      </c>
      <c r="AV137">
        <v>7</v>
      </c>
      <c r="AW137">
        <v>4</v>
      </c>
      <c r="AX137" t="s">
        <v>72</v>
      </c>
      <c r="AY137" t="s">
        <v>72</v>
      </c>
      <c r="AZ137" t="s">
        <v>72</v>
      </c>
      <c r="BA137" t="s">
        <v>72</v>
      </c>
      <c r="BB137">
        <v>288</v>
      </c>
      <c r="BC137">
        <v>302</v>
      </c>
      <c r="BD137" t="s">
        <v>72</v>
      </c>
      <c r="BE137" t="s">
        <v>15377</v>
      </c>
      <c r="BF137" t="str">
        <f>HYPERLINK("http://dx.doi.org/10.1093/workar/waaa026","http://dx.doi.org/10.1093/workar/waaa026")</f>
        <v>http://dx.doi.org/10.1093/workar/waaa026</v>
      </c>
      <c r="BG137" t="s">
        <v>72</v>
      </c>
      <c r="BH137" t="s">
        <v>3201</v>
      </c>
      <c r="BI137">
        <v>15</v>
      </c>
      <c r="BJ137" t="s">
        <v>15378</v>
      </c>
      <c r="BK137" t="s">
        <v>779</v>
      </c>
      <c r="BL137" t="s">
        <v>15379</v>
      </c>
      <c r="BM137" t="s">
        <v>72</v>
      </c>
      <c r="BN137" t="s">
        <v>346</v>
      </c>
      <c r="BO137" t="s">
        <v>72</v>
      </c>
      <c r="BP137" t="s">
        <v>72</v>
      </c>
      <c r="BQ137" t="s">
        <v>100</v>
      </c>
      <c r="BR137" t="s">
        <v>15380</v>
      </c>
      <c r="BS137" t="str">
        <f>HYPERLINK("https%3A%2F%2Fwww.webofscience.com%2Fwos%2Fwoscc%2Ffull-record%2FWOS:000713819100003","View Full Record in Web of Science")</f>
        <v>View Full Record in Web of Science</v>
      </c>
    </row>
    <row r="138" spans="1:71" hidden="1" x14ac:dyDescent="0.2">
      <c r="A138" t="s">
        <v>561</v>
      </c>
      <c r="B138" t="s">
        <v>15728</v>
      </c>
      <c r="C138" t="s">
        <v>72</v>
      </c>
      <c r="D138" t="s">
        <v>15729</v>
      </c>
      <c r="E138" t="s">
        <v>72</v>
      </c>
      <c r="F138" t="s">
        <v>15730</v>
      </c>
      <c r="G138" t="s">
        <v>72</v>
      </c>
      <c r="H138" t="s">
        <v>72</v>
      </c>
      <c r="I138" t="s">
        <v>15731</v>
      </c>
      <c r="J138" t="s">
        <v>15732</v>
      </c>
      <c r="K138" t="s">
        <v>72</v>
      </c>
      <c r="L138" t="s">
        <v>72</v>
      </c>
      <c r="M138" t="s">
        <v>76</v>
      </c>
      <c r="N138" t="s">
        <v>567</v>
      </c>
      <c r="O138" t="s">
        <v>72</v>
      </c>
      <c r="P138" t="s">
        <v>72</v>
      </c>
      <c r="Q138" t="s">
        <v>72</v>
      </c>
      <c r="R138" t="s">
        <v>72</v>
      </c>
      <c r="S138" t="s">
        <v>72</v>
      </c>
      <c r="T138" t="s">
        <v>72</v>
      </c>
      <c r="U138" t="s">
        <v>15733</v>
      </c>
      <c r="V138" t="s">
        <v>15734</v>
      </c>
      <c r="W138" t="s">
        <v>15735</v>
      </c>
      <c r="X138" t="s">
        <v>15736</v>
      </c>
      <c r="Y138" t="s">
        <v>15737</v>
      </c>
      <c r="Z138" t="s">
        <v>72</v>
      </c>
      <c r="AA138" t="s">
        <v>72</v>
      </c>
      <c r="AB138" t="s">
        <v>72</v>
      </c>
      <c r="AC138" t="s">
        <v>72</v>
      </c>
      <c r="AD138" t="s">
        <v>72</v>
      </c>
      <c r="AE138" t="s">
        <v>72</v>
      </c>
      <c r="AF138" t="s">
        <v>72</v>
      </c>
      <c r="AG138">
        <v>62</v>
      </c>
      <c r="AH138">
        <v>1</v>
      </c>
      <c r="AI138">
        <v>1</v>
      </c>
      <c r="AJ138">
        <v>0</v>
      </c>
      <c r="AK138">
        <v>1</v>
      </c>
      <c r="AL138" t="s">
        <v>15738</v>
      </c>
      <c r="AM138" t="s">
        <v>365</v>
      </c>
      <c r="AN138" t="s">
        <v>15739</v>
      </c>
      <c r="AO138" t="s">
        <v>72</v>
      </c>
      <c r="AP138" t="s">
        <v>72</v>
      </c>
      <c r="AQ138" t="s">
        <v>15740</v>
      </c>
      <c r="AR138" t="s">
        <v>72</v>
      </c>
      <c r="AS138" t="s">
        <v>72</v>
      </c>
      <c r="AT138" t="s">
        <v>72</v>
      </c>
      <c r="AU138">
        <v>2019</v>
      </c>
      <c r="AV138" t="s">
        <v>72</v>
      </c>
      <c r="AW138" t="s">
        <v>72</v>
      </c>
      <c r="AX138" t="s">
        <v>72</v>
      </c>
      <c r="AY138" t="s">
        <v>72</v>
      </c>
      <c r="AZ138" t="s">
        <v>72</v>
      </c>
      <c r="BA138" t="s">
        <v>72</v>
      </c>
      <c r="BB138">
        <v>385</v>
      </c>
      <c r="BC138">
        <v>402</v>
      </c>
      <c r="BD138" t="s">
        <v>72</v>
      </c>
      <c r="BE138" t="s">
        <v>72</v>
      </c>
      <c r="BF138" t="s">
        <v>72</v>
      </c>
      <c r="BG138" t="s">
        <v>72</v>
      </c>
      <c r="BH138" t="s">
        <v>72</v>
      </c>
      <c r="BI138">
        <v>18</v>
      </c>
      <c r="BJ138" t="s">
        <v>15741</v>
      </c>
      <c r="BK138" t="s">
        <v>779</v>
      </c>
      <c r="BL138" t="s">
        <v>15742</v>
      </c>
      <c r="BM138" t="s">
        <v>72</v>
      </c>
      <c r="BN138" t="s">
        <v>72</v>
      </c>
      <c r="BO138" t="s">
        <v>72</v>
      </c>
      <c r="BP138" t="s">
        <v>72</v>
      </c>
      <c r="BQ138" t="s">
        <v>100</v>
      </c>
      <c r="BR138" t="s">
        <v>15743</v>
      </c>
      <c r="BS138" t="str">
        <f>HYPERLINK("https%3A%2F%2Fwww.webofscience.com%2Fwos%2Fwoscc%2Ffull-record%2FWOS:000509553400022","View Full Record in Web of Science")</f>
        <v>View Full Record in Web of Science</v>
      </c>
    </row>
    <row r="139" spans="1:71" hidden="1" x14ac:dyDescent="0.2">
      <c r="A139" t="s">
        <v>70</v>
      </c>
      <c r="B139" t="s">
        <v>3735</v>
      </c>
      <c r="C139" t="s">
        <v>72</v>
      </c>
      <c r="D139" t="s">
        <v>72</v>
      </c>
      <c r="E139" t="s">
        <v>72</v>
      </c>
      <c r="F139" t="s">
        <v>3736</v>
      </c>
      <c r="G139" t="s">
        <v>72</v>
      </c>
      <c r="H139" t="s">
        <v>72</v>
      </c>
      <c r="I139" t="s">
        <v>3737</v>
      </c>
      <c r="J139" t="s">
        <v>3738</v>
      </c>
      <c r="K139" t="s">
        <v>72</v>
      </c>
      <c r="L139" t="s">
        <v>72</v>
      </c>
      <c r="M139" t="s">
        <v>76</v>
      </c>
      <c r="N139" t="s">
        <v>352</v>
      </c>
      <c r="O139" t="s">
        <v>72</v>
      </c>
      <c r="P139" t="s">
        <v>72</v>
      </c>
      <c r="Q139" t="s">
        <v>72</v>
      </c>
      <c r="R139" t="s">
        <v>72</v>
      </c>
      <c r="S139" t="s">
        <v>72</v>
      </c>
      <c r="T139" t="s">
        <v>3739</v>
      </c>
      <c r="U139" t="s">
        <v>3740</v>
      </c>
      <c r="V139" t="s">
        <v>3741</v>
      </c>
      <c r="W139" t="s">
        <v>3742</v>
      </c>
      <c r="X139" t="s">
        <v>3743</v>
      </c>
      <c r="Y139" t="s">
        <v>3744</v>
      </c>
      <c r="Z139" t="s">
        <v>3745</v>
      </c>
      <c r="AA139" t="s">
        <v>3746</v>
      </c>
      <c r="AB139" t="s">
        <v>3747</v>
      </c>
      <c r="AC139" t="s">
        <v>3748</v>
      </c>
      <c r="AD139" t="s">
        <v>3748</v>
      </c>
      <c r="AE139" t="s">
        <v>3749</v>
      </c>
      <c r="AF139" t="s">
        <v>72</v>
      </c>
      <c r="AG139">
        <v>59</v>
      </c>
      <c r="AH139">
        <v>0</v>
      </c>
      <c r="AI139">
        <v>0</v>
      </c>
      <c r="AJ139">
        <v>6</v>
      </c>
      <c r="AK139">
        <v>12</v>
      </c>
      <c r="AL139" t="s">
        <v>364</v>
      </c>
      <c r="AM139" t="s">
        <v>365</v>
      </c>
      <c r="AN139" t="s">
        <v>366</v>
      </c>
      <c r="AO139" t="s">
        <v>3750</v>
      </c>
      <c r="AP139" t="s">
        <v>3751</v>
      </c>
      <c r="AQ139" t="s">
        <v>72</v>
      </c>
      <c r="AR139" t="s">
        <v>3752</v>
      </c>
      <c r="AS139" t="s">
        <v>3753</v>
      </c>
      <c r="AT139" t="s">
        <v>72</v>
      </c>
      <c r="AU139" t="s">
        <v>72</v>
      </c>
      <c r="AV139" t="s">
        <v>72</v>
      </c>
      <c r="AW139" t="s">
        <v>72</v>
      </c>
      <c r="AX139" t="s">
        <v>72</v>
      </c>
      <c r="AY139" t="s">
        <v>72</v>
      </c>
      <c r="AZ139" t="s">
        <v>72</v>
      </c>
      <c r="BA139" t="s">
        <v>72</v>
      </c>
      <c r="BB139" t="s">
        <v>72</v>
      </c>
      <c r="BC139" t="s">
        <v>72</v>
      </c>
      <c r="BD139" t="s">
        <v>72</v>
      </c>
      <c r="BE139" t="s">
        <v>3754</v>
      </c>
      <c r="BF139" t="str">
        <f>HYPERLINK("http://dx.doi.org/10.1080/14719037.2021.2003107","http://dx.doi.org/10.1080/14719037.2021.2003107")</f>
        <v>http://dx.doi.org/10.1080/14719037.2021.2003107</v>
      </c>
      <c r="BG139" t="s">
        <v>72</v>
      </c>
      <c r="BH139" t="s">
        <v>1792</v>
      </c>
      <c r="BI139">
        <v>24</v>
      </c>
      <c r="BJ139" t="s">
        <v>3755</v>
      </c>
      <c r="BK139" t="s">
        <v>3756</v>
      </c>
      <c r="BL139" t="s">
        <v>3757</v>
      </c>
      <c r="BM139" t="s">
        <v>72</v>
      </c>
      <c r="BN139" t="s">
        <v>72</v>
      </c>
      <c r="BO139" t="s">
        <v>72</v>
      </c>
      <c r="BP139" t="s">
        <v>72</v>
      </c>
      <c r="BQ139" t="s">
        <v>100</v>
      </c>
      <c r="BR139" t="s">
        <v>3758</v>
      </c>
      <c r="BS139" t="str">
        <f>HYPERLINK("https%3A%2F%2Fwww.webofscience.com%2Fwos%2Fwoscc%2Ffull-record%2FWOS:000722767100001","View Full Record in Web of Science")</f>
        <v>View Full Record in Web of Science</v>
      </c>
    </row>
    <row r="140" spans="1:71" hidden="1" x14ac:dyDescent="0.2">
      <c r="A140" t="s">
        <v>70</v>
      </c>
      <c r="B140" t="s">
        <v>3802</v>
      </c>
      <c r="C140" t="s">
        <v>72</v>
      </c>
      <c r="D140" t="s">
        <v>72</v>
      </c>
      <c r="E140" t="s">
        <v>72</v>
      </c>
      <c r="F140" t="s">
        <v>3803</v>
      </c>
      <c r="G140" t="s">
        <v>72</v>
      </c>
      <c r="H140" t="s">
        <v>72</v>
      </c>
      <c r="I140" t="s">
        <v>3804</v>
      </c>
      <c r="J140" t="s">
        <v>3805</v>
      </c>
      <c r="K140" t="s">
        <v>72</v>
      </c>
      <c r="L140" t="s">
        <v>72</v>
      </c>
      <c r="M140" t="s">
        <v>76</v>
      </c>
      <c r="N140" t="s">
        <v>77</v>
      </c>
      <c r="O140" t="s">
        <v>72</v>
      </c>
      <c r="P140" t="s">
        <v>72</v>
      </c>
      <c r="Q140" t="s">
        <v>72</v>
      </c>
      <c r="R140" t="s">
        <v>72</v>
      </c>
      <c r="S140" t="s">
        <v>72</v>
      </c>
      <c r="T140" t="s">
        <v>3806</v>
      </c>
      <c r="U140" t="s">
        <v>3807</v>
      </c>
      <c r="V140" t="s">
        <v>3808</v>
      </c>
      <c r="W140" t="s">
        <v>3809</v>
      </c>
      <c r="X140" t="s">
        <v>3810</v>
      </c>
      <c r="Y140" t="s">
        <v>3811</v>
      </c>
      <c r="Z140" t="s">
        <v>3812</v>
      </c>
      <c r="AA140" t="s">
        <v>72</v>
      </c>
      <c r="AB140" t="s">
        <v>3813</v>
      </c>
      <c r="AC140" t="s">
        <v>72</v>
      </c>
      <c r="AD140" t="s">
        <v>72</v>
      </c>
      <c r="AE140" t="s">
        <v>72</v>
      </c>
      <c r="AF140" t="s">
        <v>72</v>
      </c>
      <c r="AG140">
        <v>72</v>
      </c>
      <c r="AH140">
        <v>3</v>
      </c>
      <c r="AI140">
        <v>3</v>
      </c>
      <c r="AJ140">
        <v>0</v>
      </c>
      <c r="AK140">
        <v>16</v>
      </c>
      <c r="AL140" t="s">
        <v>3814</v>
      </c>
      <c r="AM140" t="s">
        <v>3815</v>
      </c>
      <c r="AN140" t="s">
        <v>3816</v>
      </c>
      <c r="AO140" t="s">
        <v>3817</v>
      </c>
      <c r="AP140" t="s">
        <v>3818</v>
      </c>
      <c r="AQ140" t="s">
        <v>72</v>
      </c>
      <c r="AR140" t="s">
        <v>3819</v>
      </c>
      <c r="AS140" t="s">
        <v>3820</v>
      </c>
      <c r="AT140" t="s">
        <v>95</v>
      </c>
      <c r="AU140">
        <v>2021</v>
      </c>
      <c r="AV140">
        <v>32</v>
      </c>
      <c r="AW140">
        <v>1</v>
      </c>
      <c r="AX140" t="s">
        <v>72</v>
      </c>
      <c r="AY140" t="s">
        <v>72</v>
      </c>
      <c r="AZ140" t="s">
        <v>72</v>
      </c>
      <c r="BA140" t="s">
        <v>72</v>
      </c>
      <c r="BB140">
        <v>29</v>
      </c>
      <c r="BC140">
        <v>53</v>
      </c>
      <c r="BD140" t="s">
        <v>72</v>
      </c>
      <c r="BE140" t="s">
        <v>3821</v>
      </c>
      <c r="BF140" t="str">
        <f>HYPERLINK("http://dx.doi.org/10.1002/nml.21467","http://dx.doi.org/10.1002/nml.21467")</f>
        <v>http://dx.doi.org/10.1002/nml.21467</v>
      </c>
      <c r="BG140" t="s">
        <v>72</v>
      </c>
      <c r="BH140" t="s">
        <v>1013</v>
      </c>
      <c r="BI140">
        <v>25</v>
      </c>
      <c r="BJ140" t="s">
        <v>3755</v>
      </c>
      <c r="BK140" t="s">
        <v>3756</v>
      </c>
      <c r="BL140" t="s">
        <v>3822</v>
      </c>
      <c r="BM140" t="s">
        <v>72</v>
      </c>
      <c r="BN140" t="s">
        <v>72</v>
      </c>
      <c r="BO140" t="s">
        <v>72</v>
      </c>
      <c r="BP140" t="s">
        <v>72</v>
      </c>
      <c r="BQ140" t="s">
        <v>100</v>
      </c>
      <c r="BR140" t="s">
        <v>3823</v>
      </c>
      <c r="BS140" t="str">
        <f>HYPERLINK("https%3A%2F%2Fwww.webofscience.com%2Fwos%2Fwoscc%2Ffull-record%2FWOS:000643142200001","View Full Record in Web of Science")</f>
        <v>View Full Record in Web of Science</v>
      </c>
    </row>
    <row r="141" spans="1:71" hidden="1" x14ac:dyDescent="0.2">
      <c r="A141" t="s">
        <v>70</v>
      </c>
      <c r="B141" t="s">
        <v>7755</v>
      </c>
      <c r="C141" t="s">
        <v>72</v>
      </c>
      <c r="D141" t="s">
        <v>72</v>
      </c>
      <c r="E141" t="s">
        <v>72</v>
      </c>
      <c r="F141" t="s">
        <v>7756</v>
      </c>
      <c r="G141" t="s">
        <v>72</v>
      </c>
      <c r="H141" t="s">
        <v>72</v>
      </c>
      <c r="I141" t="s">
        <v>7757</v>
      </c>
      <c r="J141" t="s">
        <v>7758</v>
      </c>
      <c r="K141" t="s">
        <v>72</v>
      </c>
      <c r="L141" t="s">
        <v>72</v>
      </c>
      <c r="M141" t="s">
        <v>76</v>
      </c>
      <c r="N141" t="s">
        <v>77</v>
      </c>
      <c r="O141" t="s">
        <v>72</v>
      </c>
      <c r="P141" t="s">
        <v>72</v>
      </c>
      <c r="Q141" t="s">
        <v>72</v>
      </c>
      <c r="R141" t="s">
        <v>72</v>
      </c>
      <c r="S141" t="s">
        <v>72</v>
      </c>
      <c r="T141" t="s">
        <v>7759</v>
      </c>
      <c r="U141" t="s">
        <v>7760</v>
      </c>
      <c r="V141" t="s">
        <v>7761</v>
      </c>
      <c r="W141" t="s">
        <v>7762</v>
      </c>
      <c r="X141" t="s">
        <v>7763</v>
      </c>
      <c r="Y141" t="s">
        <v>7764</v>
      </c>
      <c r="Z141" t="s">
        <v>72</v>
      </c>
      <c r="AA141" t="s">
        <v>7765</v>
      </c>
      <c r="AB141" t="s">
        <v>7766</v>
      </c>
      <c r="AC141" t="s">
        <v>7767</v>
      </c>
      <c r="AD141" t="s">
        <v>7768</v>
      </c>
      <c r="AE141" t="s">
        <v>7769</v>
      </c>
      <c r="AF141" t="s">
        <v>72</v>
      </c>
      <c r="AG141">
        <v>97</v>
      </c>
      <c r="AH141">
        <v>1</v>
      </c>
      <c r="AI141">
        <v>1</v>
      </c>
      <c r="AJ141">
        <v>13</v>
      </c>
      <c r="AK141">
        <v>13</v>
      </c>
      <c r="AL141" t="s">
        <v>7770</v>
      </c>
      <c r="AM141" t="s">
        <v>2317</v>
      </c>
      <c r="AN141" t="s">
        <v>7771</v>
      </c>
      <c r="AO141" t="s">
        <v>7772</v>
      </c>
      <c r="AP141" t="s">
        <v>7773</v>
      </c>
      <c r="AQ141" t="s">
        <v>72</v>
      </c>
      <c r="AR141" t="s">
        <v>7774</v>
      </c>
      <c r="AS141" t="s">
        <v>7775</v>
      </c>
      <c r="AT141" t="s">
        <v>3449</v>
      </c>
      <c r="AU141">
        <v>2022</v>
      </c>
      <c r="AV141">
        <v>48</v>
      </c>
      <c r="AW141">
        <v>2</v>
      </c>
      <c r="AX141" t="s">
        <v>72</v>
      </c>
      <c r="AY141" t="s">
        <v>72</v>
      </c>
      <c r="AZ141" t="s">
        <v>72</v>
      </c>
      <c r="BA141" t="s">
        <v>72</v>
      </c>
      <c r="BB141">
        <v>322</v>
      </c>
      <c r="BC141">
        <v>342</v>
      </c>
      <c r="BD141" t="s">
        <v>7776</v>
      </c>
      <c r="BE141" t="s">
        <v>7777</v>
      </c>
      <c r="BF141" t="str">
        <f>HYPERLINK("http://dx.doi.org/10.3138/cpp.2021-018","http://dx.doi.org/10.3138/cpp.2021-018")</f>
        <v>http://dx.doi.org/10.3138/cpp.2021-018</v>
      </c>
      <c r="BG141" t="s">
        <v>72</v>
      </c>
      <c r="BH141" t="s">
        <v>1770</v>
      </c>
      <c r="BI141">
        <v>21</v>
      </c>
      <c r="BJ141" t="s">
        <v>7778</v>
      </c>
      <c r="BK141" t="s">
        <v>3756</v>
      </c>
      <c r="BL141" t="s">
        <v>7779</v>
      </c>
      <c r="BM141">
        <v>36039356</v>
      </c>
      <c r="BN141" t="s">
        <v>1128</v>
      </c>
      <c r="BO141" t="s">
        <v>72</v>
      </c>
      <c r="BP141" t="s">
        <v>72</v>
      </c>
      <c r="BQ141" t="s">
        <v>100</v>
      </c>
      <c r="BR141" t="s">
        <v>7780</v>
      </c>
      <c r="BS141" t="str">
        <f>HYPERLINK("https%3A%2F%2Fwww.webofscience.com%2Fwos%2Fwoscc%2Ffull-record%2FWOS:000797213000001","View Full Record in Web of Science")</f>
        <v>View Full Record in Web of Science</v>
      </c>
    </row>
    <row r="142" spans="1:71" hidden="1" x14ac:dyDescent="0.2">
      <c r="A142" t="s">
        <v>70</v>
      </c>
      <c r="B142" t="s">
        <v>16749</v>
      </c>
      <c r="C142" t="s">
        <v>72</v>
      </c>
      <c r="D142" t="s">
        <v>72</v>
      </c>
      <c r="E142" t="s">
        <v>72</v>
      </c>
      <c r="F142" t="s">
        <v>16750</v>
      </c>
      <c r="G142" t="s">
        <v>72</v>
      </c>
      <c r="H142" t="s">
        <v>72</v>
      </c>
      <c r="I142" t="s">
        <v>16751</v>
      </c>
      <c r="J142" t="s">
        <v>16752</v>
      </c>
      <c r="K142" t="s">
        <v>72</v>
      </c>
      <c r="L142" t="s">
        <v>72</v>
      </c>
      <c r="M142" t="s">
        <v>76</v>
      </c>
      <c r="N142" t="s">
        <v>77</v>
      </c>
      <c r="O142" t="s">
        <v>72</v>
      </c>
      <c r="P142" t="s">
        <v>72</v>
      </c>
      <c r="Q142" t="s">
        <v>72</v>
      </c>
      <c r="R142" t="s">
        <v>72</v>
      </c>
      <c r="S142" t="s">
        <v>72</v>
      </c>
      <c r="T142" t="s">
        <v>16753</v>
      </c>
      <c r="U142" t="s">
        <v>16754</v>
      </c>
      <c r="V142" t="s">
        <v>16755</v>
      </c>
      <c r="W142" t="s">
        <v>16756</v>
      </c>
      <c r="X142" t="s">
        <v>16757</v>
      </c>
      <c r="Y142" t="s">
        <v>16758</v>
      </c>
      <c r="Z142" t="s">
        <v>16759</v>
      </c>
      <c r="AA142" t="s">
        <v>72</v>
      </c>
      <c r="AB142" t="s">
        <v>72</v>
      </c>
      <c r="AC142" t="s">
        <v>72</v>
      </c>
      <c r="AD142" t="s">
        <v>72</v>
      </c>
      <c r="AE142" t="s">
        <v>72</v>
      </c>
      <c r="AF142" t="s">
        <v>72</v>
      </c>
      <c r="AG142">
        <v>65</v>
      </c>
      <c r="AH142">
        <v>21</v>
      </c>
      <c r="AI142">
        <v>21</v>
      </c>
      <c r="AJ142">
        <v>14</v>
      </c>
      <c r="AK142">
        <v>73</v>
      </c>
      <c r="AL142" t="s">
        <v>1698</v>
      </c>
      <c r="AM142" t="s">
        <v>707</v>
      </c>
      <c r="AN142" t="s">
        <v>1699</v>
      </c>
      <c r="AO142" t="s">
        <v>16760</v>
      </c>
      <c r="AP142" t="s">
        <v>16761</v>
      </c>
      <c r="AQ142" t="s">
        <v>72</v>
      </c>
      <c r="AR142" t="s">
        <v>16762</v>
      </c>
      <c r="AS142" t="s">
        <v>16763</v>
      </c>
      <c r="AT142" t="s">
        <v>639</v>
      </c>
      <c r="AU142">
        <v>2019</v>
      </c>
      <c r="AV142">
        <v>145</v>
      </c>
      <c r="AW142" t="s">
        <v>72</v>
      </c>
      <c r="AX142" t="s">
        <v>72</v>
      </c>
      <c r="AY142" t="s">
        <v>72</v>
      </c>
      <c r="AZ142" t="s">
        <v>72</v>
      </c>
      <c r="BA142" t="s">
        <v>72</v>
      </c>
      <c r="BB142">
        <v>258</v>
      </c>
      <c r="BC142">
        <v>272</v>
      </c>
      <c r="BD142" t="s">
        <v>72</v>
      </c>
      <c r="BE142" t="s">
        <v>16764</v>
      </c>
      <c r="BF142" t="str">
        <f>HYPERLINK("http://dx.doi.org/10.1016/j.techfore.2018.04.033","http://dx.doi.org/10.1016/j.techfore.2018.04.033")</f>
        <v>http://dx.doi.org/10.1016/j.techfore.2018.04.033</v>
      </c>
      <c r="BG142" t="s">
        <v>72</v>
      </c>
      <c r="BH142" t="s">
        <v>72</v>
      </c>
      <c r="BI142">
        <v>15</v>
      </c>
      <c r="BJ142" t="s">
        <v>16765</v>
      </c>
      <c r="BK142" t="s">
        <v>3756</v>
      </c>
      <c r="BL142" t="s">
        <v>16766</v>
      </c>
      <c r="BM142" t="s">
        <v>72</v>
      </c>
      <c r="BN142" t="s">
        <v>1497</v>
      </c>
      <c r="BO142" t="s">
        <v>72</v>
      </c>
      <c r="BP142" t="s">
        <v>72</v>
      </c>
      <c r="BQ142" t="s">
        <v>100</v>
      </c>
      <c r="BR142" t="s">
        <v>16767</v>
      </c>
      <c r="BS142" t="str">
        <f>HYPERLINK("https%3A%2F%2Fwww.webofscience.com%2Fwos%2Fwoscc%2Ffull-record%2FWOS:000474678600025","View Full Record in Web of Science")</f>
        <v>View Full Record in Web of Science</v>
      </c>
    </row>
    <row r="143" spans="1:71" x14ac:dyDescent="0.2">
      <c r="A143" t="s">
        <v>70</v>
      </c>
      <c r="B143" t="s">
        <v>1291</v>
      </c>
      <c r="C143" t="s">
        <v>72</v>
      </c>
      <c r="D143" t="s">
        <v>72</v>
      </c>
      <c r="E143" t="s">
        <v>72</v>
      </c>
      <c r="F143" t="s">
        <v>1292</v>
      </c>
      <c r="G143" t="s">
        <v>72</v>
      </c>
      <c r="H143" t="s">
        <v>72</v>
      </c>
      <c r="I143" t="s">
        <v>1293</v>
      </c>
      <c r="J143" t="s">
        <v>1294</v>
      </c>
      <c r="K143" t="s">
        <v>72</v>
      </c>
      <c r="L143" t="s">
        <v>72</v>
      </c>
      <c r="M143" t="s">
        <v>76</v>
      </c>
      <c r="N143" t="s">
        <v>77</v>
      </c>
      <c r="O143" t="s">
        <v>72</v>
      </c>
      <c r="P143" t="s">
        <v>72</v>
      </c>
      <c r="Q143" t="s">
        <v>72</v>
      </c>
      <c r="R143" t="s">
        <v>72</v>
      </c>
      <c r="S143" t="s">
        <v>72</v>
      </c>
      <c r="T143" t="s">
        <v>1295</v>
      </c>
      <c r="U143" t="s">
        <v>1296</v>
      </c>
      <c r="V143" t="s">
        <v>1297</v>
      </c>
      <c r="W143" t="s">
        <v>1298</v>
      </c>
      <c r="X143" t="s">
        <v>1299</v>
      </c>
      <c r="Y143" t="s">
        <v>1300</v>
      </c>
      <c r="Z143" t="s">
        <v>1301</v>
      </c>
      <c r="AA143" t="s">
        <v>1302</v>
      </c>
      <c r="AB143" t="s">
        <v>1303</v>
      </c>
      <c r="AC143" t="s">
        <v>72</v>
      </c>
      <c r="AD143" t="s">
        <v>72</v>
      </c>
      <c r="AE143" t="s">
        <v>72</v>
      </c>
      <c r="AF143" t="s">
        <v>72</v>
      </c>
      <c r="AG143">
        <v>61</v>
      </c>
      <c r="AH143">
        <v>4</v>
      </c>
      <c r="AI143">
        <v>4</v>
      </c>
      <c r="AJ143">
        <v>4</v>
      </c>
      <c r="AK143">
        <v>18</v>
      </c>
      <c r="AL143" t="s">
        <v>1260</v>
      </c>
      <c r="AM143" t="s">
        <v>964</v>
      </c>
      <c r="AN143" t="s">
        <v>965</v>
      </c>
      <c r="AO143" t="s">
        <v>1304</v>
      </c>
      <c r="AP143" t="s">
        <v>1305</v>
      </c>
      <c r="AQ143" t="s">
        <v>72</v>
      </c>
      <c r="AR143" t="s">
        <v>1306</v>
      </c>
      <c r="AS143" t="s">
        <v>1307</v>
      </c>
      <c r="AT143" t="s">
        <v>197</v>
      </c>
      <c r="AU143">
        <v>2021</v>
      </c>
      <c r="AV143">
        <v>38</v>
      </c>
      <c r="AW143">
        <v>3</v>
      </c>
      <c r="AX143" t="s">
        <v>72</v>
      </c>
      <c r="AY143" t="s">
        <v>72</v>
      </c>
      <c r="AZ143" t="s">
        <v>478</v>
      </c>
      <c r="BA143" t="s">
        <v>72</v>
      </c>
      <c r="BB143">
        <v>377</v>
      </c>
      <c r="BC143">
        <v>385</v>
      </c>
      <c r="BD143" t="s">
        <v>72</v>
      </c>
      <c r="BE143" t="s">
        <v>1308</v>
      </c>
      <c r="BF143" t="str">
        <f>HYPERLINK("http://dx.doi.org/10.1002/sres.2790","http://dx.doi.org/10.1002/sres.2790")</f>
        <v>http://dx.doi.org/10.1002/sres.2790</v>
      </c>
      <c r="BG143" t="s">
        <v>72</v>
      </c>
      <c r="BH143" t="s">
        <v>1013</v>
      </c>
      <c r="BI143">
        <v>9</v>
      </c>
      <c r="BJ143" t="s">
        <v>1309</v>
      </c>
      <c r="BK143" t="s">
        <v>1310</v>
      </c>
      <c r="BL143" t="s">
        <v>1311</v>
      </c>
      <c r="BM143" t="s">
        <v>72</v>
      </c>
      <c r="BN143" t="s">
        <v>72</v>
      </c>
      <c r="BO143" t="s">
        <v>72</v>
      </c>
      <c r="BP143" t="s">
        <v>72</v>
      </c>
      <c r="BQ143" t="s">
        <v>100</v>
      </c>
      <c r="BR143" t="s">
        <v>1312</v>
      </c>
      <c r="BS143" t="str">
        <f>HYPERLINK("https%3A%2F%2Fwww.webofscience.com%2Fwos%2Fwoscc%2Ffull-record%2FWOS:000637221400001","View Full Record in Web of Science")</f>
        <v>View Full Record in Web of Science</v>
      </c>
    </row>
    <row r="144" spans="1:71" x14ac:dyDescent="0.2">
      <c r="A144" t="s">
        <v>70</v>
      </c>
      <c r="B144" t="s">
        <v>7034</v>
      </c>
      <c r="C144" t="s">
        <v>72</v>
      </c>
      <c r="D144" t="s">
        <v>72</v>
      </c>
      <c r="E144" t="s">
        <v>72</v>
      </c>
      <c r="F144" t="s">
        <v>7035</v>
      </c>
      <c r="G144" t="s">
        <v>72</v>
      </c>
      <c r="H144" t="s">
        <v>72</v>
      </c>
      <c r="I144" t="s">
        <v>7036</v>
      </c>
      <c r="J144" t="s">
        <v>7037</v>
      </c>
      <c r="K144" t="s">
        <v>72</v>
      </c>
      <c r="L144" t="s">
        <v>72</v>
      </c>
      <c r="M144" t="s">
        <v>76</v>
      </c>
      <c r="N144" t="s">
        <v>77</v>
      </c>
      <c r="O144" t="s">
        <v>72</v>
      </c>
      <c r="P144" t="s">
        <v>72</v>
      </c>
      <c r="Q144" t="s">
        <v>72</v>
      </c>
      <c r="R144" t="s">
        <v>72</v>
      </c>
      <c r="S144" t="s">
        <v>72</v>
      </c>
      <c r="T144" t="s">
        <v>7038</v>
      </c>
      <c r="U144" t="s">
        <v>7039</v>
      </c>
      <c r="V144" t="s">
        <v>7040</v>
      </c>
      <c r="W144" t="s">
        <v>7041</v>
      </c>
      <c r="X144" t="s">
        <v>7042</v>
      </c>
      <c r="Y144" t="s">
        <v>7043</v>
      </c>
      <c r="Z144" t="s">
        <v>4802</v>
      </c>
      <c r="AA144" t="s">
        <v>1163</v>
      </c>
      <c r="AB144" t="s">
        <v>7044</v>
      </c>
      <c r="AC144" t="s">
        <v>72</v>
      </c>
      <c r="AD144" t="s">
        <v>72</v>
      </c>
      <c r="AE144" t="s">
        <v>72</v>
      </c>
      <c r="AF144" t="s">
        <v>72</v>
      </c>
      <c r="AG144">
        <v>57</v>
      </c>
      <c r="AH144">
        <v>6</v>
      </c>
      <c r="AI144">
        <v>6</v>
      </c>
      <c r="AJ144">
        <v>4</v>
      </c>
      <c r="AK144">
        <v>17</v>
      </c>
      <c r="AL144" t="s">
        <v>364</v>
      </c>
      <c r="AM144" t="s">
        <v>365</v>
      </c>
      <c r="AN144" t="s">
        <v>366</v>
      </c>
      <c r="AO144" t="s">
        <v>7045</v>
      </c>
      <c r="AP144" t="s">
        <v>7046</v>
      </c>
      <c r="AQ144" t="s">
        <v>72</v>
      </c>
      <c r="AR144" t="s">
        <v>7047</v>
      </c>
      <c r="AS144" t="s">
        <v>7048</v>
      </c>
      <c r="AT144" t="s">
        <v>7049</v>
      </c>
      <c r="AU144">
        <v>2021</v>
      </c>
      <c r="AV144">
        <v>30</v>
      </c>
      <c r="AW144">
        <v>2</v>
      </c>
      <c r="AX144" t="s">
        <v>72</v>
      </c>
      <c r="AY144" t="s">
        <v>72</v>
      </c>
      <c r="AZ144" t="s">
        <v>72</v>
      </c>
      <c r="BA144" t="s">
        <v>72</v>
      </c>
      <c r="BB144">
        <v>258</v>
      </c>
      <c r="BC144">
        <v>275</v>
      </c>
      <c r="BD144" t="s">
        <v>72</v>
      </c>
      <c r="BE144" t="s">
        <v>7050</v>
      </c>
      <c r="BF144" t="str">
        <f>HYPERLINK("http://dx.doi.org/10.1080/19368623.2020.1781733","http://dx.doi.org/10.1080/19368623.2020.1781733")</f>
        <v>http://dx.doi.org/10.1080/19368623.2020.1781733</v>
      </c>
      <c r="BG144" t="s">
        <v>72</v>
      </c>
      <c r="BH144" t="s">
        <v>480</v>
      </c>
      <c r="BI144">
        <v>18</v>
      </c>
      <c r="BJ144" t="s">
        <v>7051</v>
      </c>
      <c r="BK144" t="s">
        <v>1310</v>
      </c>
      <c r="BL144" t="s">
        <v>7052</v>
      </c>
      <c r="BM144" t="s">
        <v>72</v>
      </c>
      <c r="BN144" t="s">
        <v>251</v>
      </c>
      <c r="BO144" t="s">
        <v>72</v>
      </c>
      <c r="BP144" t="s">
        <v>72</v>
      </c>
      <c r="BQ144" t="s">
        <v>100</v>
      </c>
      <c r="BR144" t="s">
        <v>7053</v>
      </c>
      <c r="BS144" t="str">
        <f>HYPERLINK("https%3A%2F%2Fwww.webofscience.com%2Fwos%2Fwoscc%2Ffull-record%2FWOS:000547100400001","View Full Record in Web of Science")</f>
        <v>View Full Record in Web of Science</v>
      </c>
    </row>
    <row r="145" spans="1:71" x14ac:dyDescent="0.2">
      <c r="A145" t="s">
        <v>70</v>
      </c>
      <c r="B145" t="s">
        <v>13198</v>
      </c>
      <c r="C145" t="s">
        <v>72</v>
      </c>
      <c r="D145" t="s">
        <v>72</v>
      </c>
      <c r="E145" t="s">
        <v>72</v>
      </c>
      <c r="F145" t="s">
        <v>13199</v>
      </c>
      <c r="G145" t="s">
        <v>72</v>
      </c>
      <c r="H145" t="s">
        <v>72</v>
      </c>
      <c r="I145" t="s">
        <v>13200</v>
      </c>
      <c r="J145" t="s">
        <v>13201</v>
      </c>
      <c r="K145" t="s">
        <v>72</v>
      </c>
      <c r="L145" t="s">
        <v>72</v>
      </c>
      <c r="M145" t="s">
        <v>76</v>
      </c>
      <c r="N145" t="s">
        <v>77</v>
      </c>
      <c r="O145" t="s">
        <v>72</v>
      </c>
      <c r="P145" t="s">
        <v>72</v>
      </c>
      <c r="Q145" t="s">
        <v>72</v>
      </c>
      <c r="R145" t="s">
        <v>72</v>
      </c>
      <c r="S145" t="s">
        <v>72</v>
      </c>
      <c r="T145" t="s">
        <v>13202</v>
      </c>
      <c r="U145" t="s">
        <v>13203</v>
      </c>
      <c r="V145" t="s">
        <v>13204</v>
      </c>
      <c r="W145" t="s">
        <v>13205</v>
      </c>
      <c r="X145" t="s">
        <v>13206</v>
      </c>
      <c r="Y145" t="s">
        <v>13207</v>
      </c>
      <c r="Z145" t="s">
        <v>13208</v>
      </c>
      <c r="AA145" t="s">
        <v>13209</v>
      </c>
      <c r="AB145" t="s">
        <v>13210</v>
      </c>
      <c r="AC145" t="s">
        <v>13211</v>
      </c>
      <c r="AD145" t="s">
        <v>13212</v>
      </c>
      <c r="AE145" t="s">
        <v>13213</v>
      </c>
      <c r="AF145" t="s">
        <v>72</v>
      </c>
      <c r="AG145">
        <v>66</v>
      </c>
      <c r="AH145">
        <v>3</v>
      </c>
      <c r="AI145">
        <v>3</v>
      </c>
      <c r="AJ145">
        <v>5</v>
      </c>
      <c r="AK145">
        <v>31</v>
      </c>
      <c r="AL145" t="s">
        <v>336</v>
      </c>
      <c r="AM145" t="s">
        <v>337</v>
      </c>
      <c r="AN145" t="s">
        <v>338</v>
      </c>
      <c r="AO145" t="s">
        <v>13214</v>
      </c>
      <c r="AP145" t="s">
        <v>13215</v>
      </c>
      <c r="AQ145" t="s">
        <v>72</v>
      </c>
      <c r="AR145" t="s">
        <v>13216</v>
      </c>
      <c r="AS145" t="s">
        <v>13217</v>
      </c>
      <c r="AT145" t="s">
        <v>247</v>
      </c>
      <c r="AU145">
        <v>2021</v>
      </c>
      <c r="AV145">
        <v>27</v>
      </c>
      <c r="AW145">
        <v>1</v>
      </c>
      <c r="AX145" t="s">
        <v>72</v>
      </c>
      <c r="AY145" t="s">
        <v>72</v>
      </c>
      <c r="AZ145" t="s">
        <v>72</v>
      </c>
      <c r="BA145" t="s">
        <v>72</v>
      </c>
      <c r="BB145">
        <v>17</v>
      </c>
      <c r="BC145">
        <v>31</v>
      </c>
      <c r="BD145">
        <v>1356766720950345</v>
      </c>
      <c r="BE145" t="s">
        <v>13218</v>
      </c>
      <c r="BF145" t="str">
        <f>HYPERLINK("http://dx.doi.org/10.1177/1356766720950345","http://dx.doi.org/10.1177/1356766720950345")</f>
        <v>http://dx.doi.org/10.1177/1356766720950345</v>
      </c>
      <c r="BG145" t="s">
        <v>72</v>
      </c>
      <c r="BH145" t="s">
        <v>5360</v>
      </c>
      <c r="BI145">
        <v>15</v>
      </c>
      <c r="BJ145" t="s">
        <v>13219</v>
      </c>
      <c r="BK145" t="s">
        <v>1310</v>
      </c>
      <c r="BL145" t="s">
        <v>13220</v>
      </c>
      <c r="BM145" t="s">
        <v>72</v>
      </c>
      <c r="BN145" t="s">
        <v>72</v>
      </c>
      <c r="BO145" t="s">
        <v>72</v>
      </c>
      <c r="BP145" t="s">
        <v>72</v>
      </c>
      <c r="BQ145" t="s">
        <v>100</v>
      </c>
      <c r="BR145" t="s">
        <v>13221</v>
      </c>
      <c r="BS145" t="str">
        <f>HYPERLINK("https%3A%2F%2Fwww.webofscience.com%2Fwos%2Fwoscc%2Ffull-record%2FWOS:000561829900001","View Full Record in Web of Science")</f>
        <v>View Full Record in Web of Science</v>
      </c>
    </row>
    <row r="146" spans="1:71" hidden="1" x14ac:dyDescent="0.2">
      <c r="A146" t="s">
        <v>70</v>
      </c>
      <c r="B146" t="s">
        <v>14172</v>
      </c>
      <c r="C146" t="s">
        <v>72</v>
      </c>
      <c r="D146" t="s">
        <v>72</v>
      </c>
      <c r="E146" t="s">
        <v>72</v>
      </c>
      <c r="F146" t="s">
        <v>14173</v>
      </c>
      <c r="G146" t="s">
        <v>72</v>
      </c>
      <c r="H146" t="s">
        <v>72</v>
      </c>
      <c r="I146" t="s">
        <v>14174</v>
      </c>
      <c r="J146" t="s">
        <v>14175</v>
      </c>
      <c r="K146" t="s">
        <v>72</v>
      </c>
      <c r="L146" t="s">
        <v>72</v>
      </c>
      <c r="M146" t="s">
        <v>76</v>
      </c>
      <c r="N146" t="s">
        <v>1503</v>
      </c>
      <c r="O146" t="s">
        <v>72</v>
      </c>
      <c r="P146" t="s">
        <v>72</v>
      </c>
      <c r="Q146" t="s">
        <v>72</v>
      </c>
      <c r="R146" t="s">
        <v>72</v>
      </c>
      <c r="S146" t="s">
        <v>72</v>
      </c>
      <c r="T146" t="s">
        <v>14176</v>
      </c>
      <c r="U146" t="s">
        <v>14177</v>
      </c>
      <c r="V146" t="s">
        <v>14178</v>
      </c>
      <c r="W146" t="s">
        <v>14179</v>
      </c>
      <c r="X146" t="s">
        <v>72</v>
      </c>
      <c r="Y146" t="s">
        <v>14180</v>
      </c>
      <c r="Z146" t="s">
        <v>14181</v>
      </c>
      <c r="AA146" t="s">
        <v>14182</v>
      </c>
      <c r="AB146" t="s">
        <v>14183</v>
      </c>
      <c r="AC146" t="s">
        <v>72</v>
      </c>
      <c r="AD146" t="s">
        <v>72</v>
      </c>
      <c r="AE146" t="s">
        <v>72</v>
      </c>
      <c r="AF146" t="s">
        <v>72</v>
      </c>
      <c r="AG146">
        <v>60</v>
      </c>
      <c r="AH146">
        <v>16</v>
      </c>
      <c r="AI146">
        <v>16</v>
      </c>
      <c r="AJ146">
        <v>0</v>
      </c>
      <c r="AK146">
        <v>14</v>
      </c>
      <c r="AL146" t="s">
        <v>1596</v>
      </c>
      <c r="AM146" t="s">
        <v>451</v>
      </c>
      <c r="AN146" t="s">
        <v>1597</v>
      </c>
      <c r="AO146" t="s">
        <v>14184</v>
      </c>
      <c r="AP146" t="s">
        <v>14185</v>
      </c>
      <c r="AQ146" t="s">
        <v>72</v>
      </c>
      <c r="AR146" t="s">
        <v>14175</v>
      </c>
      <c r="AS146" t="s">
        <v>14186</v>
      </c>
      <c r="AT146" t="s">
        <v>929</v>
      </c>
      <c r="AU146">
        <v>2019</v>
      </c>
      <c r="AV146">
        <v>84</v>
      </c>
      <c r="AW146" t="s">
        <v>72</v>
      </c>
      <c r="AX146" t="s">
        <v>72</v>
      </c>
      <c r="AY146" t="s">
        <v>72</v>
      </c>
      <c r="AZ146" t="s">
        <v>72</v>
      </c>
      <c r="BA146" t="s">
        <v>72</v>
      </c>
      <c r="BB146">
        <v>50</v>
      </c>
      <c r="BC146">
        <v>72</v>
      </c>
      <c r="BD146" t="s">
        <v>72</v>
      </c>
      <c r="BE146" t="s">
        <v>14187</v>
      </c>
      <c r="BF146" t="str">
        <f>HYPERLINK("http://dx.doi.org/10.1016/j.tranpol.2018.11.011","http://dx.doi.org/10.1016/j.tranpol.2018.11.011")</f>
        <v>http://dx.doi.org/10.1016/j.tranpol.2018.11.011</v>
      </c>
      <c r="BG146" t="s">
        <v>72</v>
      </c>
      <c r="BH146" t="s">
        <v>72</v>
      </c>
      <c r="BI146">
        <v>23</v>
      </c>
      <c r="BJ146" t="s">
        <v>14188</v>
      </c>
      <c r="BK146" t="s">
        <v>14189</v>
      </c>
      <c r="BL146" t="s">
        <v>14190</v>
      </c>
      <c r="BM146" t="s">
        <v>72</v>
      </c>
      <c r="BN146" t="s">
        <v>1497</v>
      </c>
      <c r="BO146" t="s">
        <v>72</v>
      </c>
      <c r="BP146" t="s">
        <v>72</v>
      </c>
      <c r="BQ146" t="s">
        <v>100</v>
      </c>
      <c r="BR146" t="s">
        <v>14191</v>
      </c>
      <c r="BS146" t="str">
        <f>HYPERLINK("https%3A%2F%2Fwww.webofscience.com%2Fwos%2Fwoscc%2Ffull-record%2FWOS:000500383800006","View Full Record in Web of Science")</f>
        <v>View Full Record in Web of Science</v>
      </c>
    </row>
    <row r="147" spans="1:71" hidden="1" x14ac:dyDescent="0.2">
      <c r="A147" t="s">
        <v>70</v>
      </c>
      <c r="B147" t="s">
        <v>13449</v>
      </c>
      <c r="C147" t="s">
        <v>72</v>
      </c>
      <c r="D147" t="s">
        <v>72</v>
      </c>
      <c r="E147" t="s">
        <v>72</v>
      </c>
      <c r="F147" t="s">
        <v>13450</v>
      </c>
      <c r="G147" t="s">
        <v>72</v>
      </c>
      <c r="H147" t="s">
        <v>72</v>
      </c>
      <c r="I147" t="s">
        <v>13451</v>
      </c>
      <c r="J147" t="s">
        <v>13452</v>
      </c>
      <c r="K147" t="s">
        <v>72</v>
      </c>
      <c r="L147" t="s">
        <v>72</v>
      </c>
      <c r="M147" t="s">
        <v>76</v>
      </c>
      <c r="N147" t="s">
        <v>77</v>
      </c>
      <c r="O147" t="s">
        <v>72</v>
      </c>
      <c r="P147" t="s">
        <v>72</v>
      </c>
      <c r="Q147" t="s">
        <v>72</v>
      </c>
      <c r="R147" t="s">
        <v>72</v>
      </c>
      <c r="S147" t="s">
        <v>72</v>
      </c>
      <c r="T147" t="s">
        <v>13453</v>
      </c>
      <c r="U147" t="s">
        <v>13454</v>
      </c>
      <c r="V147" t="s">
        <v>13455</v>
      </c>
      <c r="W147" t="s">
        <v>13456</v>
      </c>
      <c r="X147" t="s">
        <v>13457</v>
      </c>
      <c r="Y147" t="s">
        <v>13458</v>
      </c>
      <c r="Z147" t="s">
        <v>13459</v>
      </c>
      <c r="AA147" t="s">
        <v>13460</v>
      </c>
      <c r="AB147" t="s">
        <v>13461</v>
      </c>
      <c r="AC147" t="s">
        <v>72</v>
      </c>
      <c r="AD147" t="s">
        <v>72</v>
      </c>
      <c r="AE147" t="s">
        <v>72</v>
      </c>
      <c r="AF147" t="s">
        <v>72</v>
      </c>
      <c r="AG147">
        <v>46</v>
      </c>
      <c r="AH147">
        <v>12</v>
      </c>
      <c r="AI147">
        <v>12</v>
      </c>
      <c r="AJ147">
        <v>0</v>
      </c>
      <c r="AK147">
        <v>12</v>
      </c>
      <c r="AL147" t="s">
        <v>1260</v>
      </c>
      <c r="AM147" t="s">
        <v>964</v>
      </c>
      <c r="AN147" t="s">
        <v>965</v>
      </c>
      <c r="AO147" t="s">
        <v>13462</v>
      </c>
      <c r="AP147" t="s">
        <v>13463</v>
      </c>
      <c r="AQ147" t="s">
        <v>72</v>
      </c>
      <c r="AR147" t="s">
        <v>13464</v>
      </c>
      <c r="AS147" t="s">
        <v>13465</v>
      </c>
      <c r="AT147" t="s">
        <v>929</v>
      </c>
      <c r="AU147">
        <v>2012</v>
      </c>
      <c r="AV147">
        <v>1</v>
      </c>
      <c r="AW147">
        <v>12</v>
      </c>
      <c r="AX147" t="s">
        <v>72</v>
      </c>
      <c r="AY147" t="s">
        <v>72</v>
      </c>
      <c r="AZ147" t="s">
        <v>72</v>
      </c>
      <c r="BA147" t="s">
        <v>72</v>
      </c>
      <c r="BB147">
        <v>909</v>
      </c>
      <c r="BC147">
        <v>920</v>
      </c>
      <c r="BD147" t="s">
        <v>72</v>
      </c>
      <c r="BE147" t="s">
        <v>13466</v>
      </c>
      <c r="BF147" t="str">
        <f>HYPERLINK("http://dx.doi.org/10.5966/sctm.2012-0038","http://dx.doi.org/10.5966/sctm.2012-0038")</f>
        <v>http://dx.doi.org/10.5966/sctm.2012-0038</v>
      </c>
      <c r="BG147" t="s">
        <v>72</v>
      </c>
      <c r="BH147" t="s">
        <v>72</v>
      </c>
      <c r="BI147">
        <v>12</v>
      </c>
      <c r="BJ147" s="6" t="s">
        <v>13467</v>
      </c>
      <c r="BK147" t="s">
        <v>13468</v>
      </c>
      <c r="BL147" t="s">
        <v>13469</v>
      </c>
      <c r="BM147">
        <v>23283552</v>
      </c>
      <c r="BN147" t="s">
        <v>910</v>
      </c>
      <c r="BO147" t="s">
        <v>72</v>
      </c>
      <c r="BP147" t="s">
        <v>72</v>
      </c>
      <c r="BQ147" t="s">
        <v>100</v>
      </c>
      <c r="BR147" t="s">
        <v>13470</v>
      </c>
      <c r="BS147" t="str">
        <f>HYPERLINK("https%3A%2F%2Fwww.webofscience.com%2Fwos%2Fwoscc%2Ffull-record%2FWOS:000312823200006","View Full Record in Web of Science")</f>
        <v>View Full Record in Web of Science</v>
      </c>
    </row>
    <row r="148" spans="1:71" hidden="1" x14ac:dyDescent="0.2">
      <c r="A148" t="s">
        <v>70</v>
      </c>
      <c r="B148" t="s">
        <v>155</v>
      </c>
      <c r="C148" t="s">
        <v>72</v>
      </c>
      <c r="D148" t="s">
        <v>72</v>
      </c>
      <c r="E148" t="s">
        <v>72</v>
      </c>
      <c r="F148" t="s">
        <v>156</v>
      </c>
      <c r="G148" t="s">
        <v>72</v>
      </c>
      <c r="H148" t="s">
        <v>72</v>
      </c>
      <c r="I148" t="s">
        <v>157</v>
      </c>
      <c r="J148" t="s">
        <v>158</v>
      </c>
      <c r="K148" t="s">
        <v>72</v>
      </c>
      <c r="L148" t="s">
        <v>72</v>
      </c>
      <c r="M148" t="s">
        <v>159</v>
      </c>
      <c r="N148" t="s">
        <v>77</v>
      </c>
      <c r="O148" t="s">
        <v>72</v>
      </c>
      <c r="P148" t="s">
        <v>72</v>
      </c>
      <c r="Q148" t="s">
        <v>72</v>
      </c>
      <c r="R148" t="s">
        <v>72</v>
      </c>
      <c r="S148" t="s">
        <v>72</v>
      </c>
      <c r="T148" t="s">
        <v>160</v>
      </c>
      <c r="U148" t="s">
        <v>161</v>
      </c>
      <c r="V148" t="s">
        <v>162</v>
      </c>
      <c r="W148" t="s">
        <v>163</v>
      </c>
      <c r="X148" t="s">
        <v>164</v>
      </c>
      <c r="Y148" t="s">
        <v>165</v>
      </c>
      <c r="Z148" t="s">
        <v>166</v>
      </c>
      <c r="AA148" t="s">
        <v>72</v>
      </c>
      <c r="AB148" t="s">
        <v>72</v>
      </c>
      <c r="AC148" t="s">
        <v>72</v>
      </c>
      <c r="AD148" t="s">
        <v>72</v>
      </c>
      <c r="AE148" t="s">
        <v>72</v>
      </c>
      <c r="AF148" t="s">
        <v>72</v>
      </c>
      <c r="AG148">
        <v>60</v>
      </c>
      <c r="AH148">
        <v>1</v>
      </c>
      <c r="AI148">
        <v>1</v>
      </c>
      <c r="AJ148">
        <v>1</v>
      </c>
      <c r="AK148">
        <v>8</v>
      </c>
      <c r="AL148" t="s">
        <v>167</v>
      </c>
      <c r="AM148" t="s">
        <v>168</v>
      </c>
      <c r="AN148" t="s">
        <v>169</v>
      </c>
      <c r="AO148" t="s">
        <v>170</v>
      </c>
      <c r="AP148" t="s">
        <v>72</v>
      </c>
      <c r="AQ148" t="s">
        <v>72</v>
      </c>
      <c r="AR148" t="s">
        <v>171</v>
      </c>
      <c r="AS148" t="s">
        <v>172</v>
      </c>
      <c r="AT148" t="s">
        <v>72</v>
      </c>
      <c r="AU148">
        <v>2018</v>
      </c>
      <c r="AV148">
        <v>46</v>
      </c>
      <c r="AW148">
        <v>1</v>
      </c>
      <c r="AX148" t="s">
        <v>72</v>
      </c>
      <c r="AY148" t="s">
        <v>72</v>
      </c>
      <c r="AZ148" t="s">
        <v>72</v>
      </c>
      <c r="BA148" t="s">
        <v>72</v>
      </c>
      <c r="BB148">
        <v>5</v>
      </c>
      <c r="BC148" t="s">
        <v>173</v>
      </c>
      <c r="BD148" t="s">
        <v>72</v>
      </c>
      <c r="BE148" t="s">
        <v>72</v>
      </c>
      <c r="BF148" t="s">
        <v>72</v>
      </c>
      <c r="BG148" t="s">
        <v>72</v>
      </c>
      <c r="BH148" t="s">
        <v>72</v>
      </c>
      <c r="BI148">
        <v>21</v>
      </c>
      <c r="BJ148" t="s">
        <v>174</v>
      </c>
      <c r="BK148" t="s">
        <v>174</v>
      </c>
      <c r="BL148" t="s">
        <v>175</v>
      </c>
      <c r="BM148" t="s">
        <v>72</v>
      </c>
      <c r="BN148" t="s">
        <v>72</v>
      </c>
      <c r="BO148" t="s">
        <v>72</v>
      </c>
      <c r="BP148" t="s">
        <v>72</v>
      </c>
      <c r="BQ148" t="s">
        <v>100</v>
      </c>
      <c r="BR148" t="s">
        <v>176</v>
      </c>
      <c r="BS148" t="str">
        <f>HYPERLINK("https%3A%2F%2Fwww.webofscience.com%2Fwos%2Fwoscc%2Ffull-record%2FWOS:000428590600002","View Full Record in Web of Science")</f>
        <v>View Full Record in Web of Science</v>
      </c>
    </row>
    <row r="149" spans="1:71" hidden="1" x14ac:dyDescent="0.2">
      <c r="A149" t="s">
        <v>70</v>
      </c>
      <c r="B149" t="s">
        <v>581</v>
      </c>
      <c r="C149" t="s">
        <v>72</v>
      </c>
      <c r="D149" t="s">
        <v>72</v>
      </c>
      <c r="E149" t="s">
        <v>72</v>
      </c>
      <c r="F149" t="s">
        <v>582</v>
      </c>
      <c r="G149" t="s">
        <v>72</v>
      </c>
      <c r="H149" t="s">
        <v>72</v>
      </c>
      <c r="I149" t="s">
        <v>583</v>
      </c>
      <c r="J149" t="s">
        <v>584</v>
      </c>
      <c r="K149" t="s">
        <v>72</v>
      </c>
      <c r="L149" t="s">
        <v>72</v>
      </c>
      <c r="M149" t="s">
        <v>76</v>
      </c>
      <c r="N149" t="s">
        <v>77</v>
      </c>
      <c r="O149" t="s">
        <v>72</v>
      </c>
      <c r="P149" t="s">
        <v>72</v>
      </c>
      <c r="Q149" t="s">
        <v>72</v>
      </c>
      <c r="R149" t="s">
        <v>72</v>
      </c>
      <c r="S149" t="s">
        <v>72</v>
      </c>
      <c r="T149" t="s">
        <v>585</v>
      </c>
      <c r="U149" t="s">
        <v>586</v>
      </c>
      <c r="V149" t="s">
        <v>587</v>
      </c>
      <c r="W149" t="s">
        <v>588</v>
      </c>
      <c r="X149" t="s">
        <v>589</v>
      </c>
      <c r="Y149" t="s">
        <v>590</v>
      </c>
      <c r="Z149" t="s">
        <v>591</v>
      </c>
      <c r="AA149" t="s">
        <v>592</v>
      </c>
      <c r="AB149" t="s">
        <v>593</v>
      </c>
      <c r="AC149" t="s">
        <v>72</v>
      </c>
      <c r="AD149" t="s">
        <v>72</v>
      </c>
      <c r="AE149" t="s">
        <v>72</v>
      </c>
      <c r="AF149" t="s">
        <v>72</v>
      </c>
      <c r="AG149">
        <v>53</v>
      </c>
      <c r="AH149">
        <v>75</v>
      </c>
      <c r="AI149">
        <v>75</v>
      </c>
      <c r="AJ149">
        <v>3</v>
      </c>
      <c r="AK149">
        <v>63</v>
      </c>
      <c r="AL149" t="s">
        <v>594</v>
      </c>
      <c r="AM149" t="s">
        <v>595</v>
      </c>
      <c r="AN149" t="s">
        <v>596</v>
      </c>
      <c r="AO149" t="s">
        <v>597</v>
      </c>
      <c r="AP149" t="s">
        <v>72</v>
      </c>
      <c r="AQ149" t="s">
        <v>72</v>
      </c>
      <c r="AR149" t="s">
        <v>598</v>
      </c>
      <c r="AS149" t="s">
        <v>599</v>
      </c>
      <c r="AT149" t="s">
        <v>72</v>
      </c>
      <c r="AU149">
        <v>2017</v>
      </c>
      <c r="AV149">
        <v>11</v>
      </c>
      <c r="AW149" t="s">
        <v>72</v>
      </c>
      <c r="AX149" t="s">
        <v>72</v>
      </c>
      <c r="AY149" t="s">
        <v>72</v>
      </c>
      <c r="AZ149" t="s">
        <v>72</v>
      </c>
      <c r="BA149" t="s">
        <v>72</v>
      </c>
      <c r="BB149">
        <v>967</v>
      </c>
      <c r="BC149">
        <v>991</v>
      </c>
      <c r="BD149" t="s">
        <v>72</v>
      </c>
      <c r="BE149" t="s">
        <v>72</v>
      </c>
      <c r="BF149" t="s">
        <v>72</v>
      </c>
      <c r="BG149" t="s">
        <v>72</v>
      </c>
      <c r="BH149" t="s">
        <v>72</v>
      </c>
      <c r="BI149">
        <v>25</v>
      </c>
      <c r="BJ149" t="s">
        <v>174</v>
      </c>
      <c r="BK149" t="s">
        <v>174</v>
      </c>
      <c r="BL149" t="s">
        <v>600</v>
      </c>
      <c r="BM149" t="s">
        <v>72</v>
      </c>
      <c r="BN149" t="s">
        <v>72</v>
      </c>
      <c r="BO149" t="s">
        <v>72</v>
      </c>
      <c r="BP149" t="s">
        <v>72</v>
      </c>
      <c r="BQ149" t="s">
        <v>100</v>
      </c>
      <c r="BR149" t="s">
        <v>601</v>
      </c>
      <c r="BS149" t="str">
        <f>HYPERLINK("https%3A%2F%2Fwww.webofscience.com%2Fwos%2Fwoscc%2Ffull-record%2FWOS:000395529400001","View Full Record in Web of Science")</f>
        <v>View Full Record in Web of Science</v>
      </c>
    </row>
    <row r="150" spans="1:71" hidden="1" x14ac:dyDescent="0.2">
      <c r="A150" t="s">
        <v>70</v>
      </c>
      <c r="B150" t="s">
        <v>797</v>
      </c>
      <c r="C150" t="s">
        <v>72</v>
      </c>
      <c r="D150" t="s">
        <v>72</v>
      </c>
      <c r="E150" t="s">
        <v>72</v>
      </c>
      <c r="F150" t="s">
        <v>798</v>
      </c>
      <c r="G150" t="s">
        <v>72</v>
      </c>
      <c r="H150" t="s">
        <v>72</v>
      </c>
      <c r="I150" t="s">
        <v>799</v>
      </c>
      <c r="J150" t="s">
        <v>800</v>
      </c>
      <c r="K150" t="s">
        <v>72</v>
      </c>
      <c r="L150" t="s">
        <v>72</v>
      </c>
      <c r="M150" t="s">
        <v>76</v>
      </c>
      <c r="N150" t="s">
        <v>77</v>
      </c>
      <c r="O150" t="s">
        <v>72</v>
      </c>
      <c r="P150" t="s">
        <v>72</v>
      </c>
      <c r="Q150" t="s">
        <v>72</v>
      </c>
      <c r="R150" t="s">
        <v>72</v>
      </c>
      <c r="S150" t="s">
        <v>72</v>
      </c>
      <c r="T150" t="s">
        <v>801</v>
      </c>
      <c r="U150" t="s">
        <v>802</v>
      </c>
      <c r="V150" t="s">
        <v>803</v>
      </c>
      <c r="W150" t="s">
        <v>804</v>
      </c>
      <c r="X150" t="s">
        <v>805</v>
      </c>
      <c r="Y150" t="s">
        <v>806</v>
      </c>
      <c r="Z150" t="s">
        <v>807</v>
      </c>
      <c r="AA150" t="s">
        <v>808</v>
      </c>
      <c r="AB150" t="s">
        <v>809</v>
      </c>
      <c r="AC150" t="s">
        <v>72</v>
      </c>
      <c r="AD150" t="s">
        <v>72</v>
      </c>
      <c r="AE150" t="s">
        <v>72</v>
      </c>
      <c r="AF150" t="s">
        <v>72</v>
      </c>
      <c r="AG150">
        <v>33</v>
      </c>
      <c r="AH150">
        <v>38</v>
      </c>
      <c r="AI150">
        <v>39</v>
      </c>
      <c r="AJ150">
        <v>1</v>
      </c>
      <c r="AK150">
        <v>28</v>
      </c>
      <c r="AL150" t="s">
        <v>364</v>
      </c>
      <c r="AM150" t="s">
        <v>365</v>
      </c>
      <c r="AN150" t="s">
        <v>366</v>
      </c>
      <c r="AO150" t="s">
        <v>810</v>
      </c>
      <c r="AP150" t="s">
        <v>811</v>
      </c>
      <c r="AQ150" t="s">
        <v>72</v>
      </c>
      <c r="AR150" t="s">
        <v>812</v>
      </c>
      <c r="AS150" t="s">
        <v>813</v>
      </c>
      <c r="AT150" t="s">
        <v>72</v>
      </c>
      <c r="AU150">
        <v>2016</v>
      </c>
      <c r="AV150">
        <v>4</v>
      </c>
      <c r="AW150">
        <v>1</v>
      </c>
      <c r="AX150" t="s">
        <v>72</v>
      </c>
      <c r="AY150" t="s">
        <v>72</v>
      </c>
      <c r="AZ150" t="s">
        <v>72</v>
      </c>
      <c r="BA150" t="s">
        <v>72</v>
      </c>
      <c r="BB150">
        <v>75</v>
      </c>
      <c r="BC150">
        <v>88</v>
      </c>
      <c r="BD150" t="s">
        <v>72</v>
      </c>
      <c r="BE150" t="s">
        <v>814</v>
      </c>
      <c r="BF150" t="str">
        <f>HYPERLINK("http://dx.doi.org/10.1080/21670811.2015.1093270","http://dx.doi.org/10.1080/21670811.2015.1093270")</f>
        <v>http://dx.doi.org/10.1080/21670811.2015.1093270</v>
      </c>
      <c r="BG150" t="s">
        <v>72</v>
      </c>
      <c r="BH150" t="s">
        <v>72</v>
      </c>
      <c r="BI150">
        <v>14</v>
      </c>
      <c r="BJ150" t="s">
        <v>174</v>
      </c>
      <c r="BK150" t="s">
        <v>174</v>
      </c>
      <c r="BL150" t="s">
        <v>815</v>
      </c>
      <c r="BM150" t="s">
        <v>72</v>
      </c>
      <c r="BN150" t="s">
        <v>72</v>
      </c>
      <c r="BO150" t="s">
        <v>72</v>
      </c>
      <c r="BP150" t="s">
        <v>72</v>
      </c>
      <c r="BQ150" t="s">
        <v>100</v>
      </c>
      <c r="BR150" t="s">
        <v>816</v>
      </c>
      <c r="BS150" t="str">
        <f>HYPERLINK("https%3A%2F%2Fwww.webofscience.com%2Fwos%2Fwoscc%2Ffull-record%2FWOS:000387221400007","View Full Record in Web of Science")</f>
        <v>View Full Record in Web of Science</v>
      </c>
    </row>
    <row r="151" spans="1:71" hidden="1" x14ac:dyDescent="0.2">
      <c r="A151" t="s">
        <v>70</v>
      </c>
      <c r="B151" t="s">
        <v>1560</v>
      </c>
      <c r="C151" t="s">
        <v>72</v>
      </c>
      <c r="D151" t="s">
        <v>72</v>
      </c>
      <c r="E151" t="s">
        <v>72</v>
      </c>
      <c r="F151" t="s">
        <v>1561</v>
      </c>
      <c r="G151" t="s">
        <v>72</v>
      </c>
      <c r="H151" t="s">
        <v>72</v>
      </c>
      <c r="I151" t="s">
        <v>1562</v>
      </c>
      <c r="J151" t="s">
        <v>1563</v>
      </c>
      <c r="K151" t="s">
        <v>72</v>
      </c>
      <c r="L151" t="s">
        <v>72</v>
      </c>
      <c r="M151" t="s">
        <v>76</v>
      </c>
      <c r="N151" t="s">
        <v>77</v>
      </c>
      <c r="O151" t="s">
        <v>72</v>
      </c>
      <c r="P151" t="s">
        <v>72</v>
      </c>
      <c r="Q151" t="s">
        <v>72</v>
      </c>
      <c r="R151" t="s">
        <v>72</v>
      </c>
      <c r="S151" t="s">
        <v>72</v>
      </c>
      <c r="T151" t="s">
        <v>1564</v>
      </c>
      <c r="U151" t="s">
        <v>1565</v>
      </c>
      <c r="V151" t="s">
        <v>1566</v>
      </c>
      <c r="W151" t="s">
        <v>1567</v>
      </c>
      <c r="X151" t="s">
        <v>1568</v>
      </c>
      <c r="Y151" t="s">
        <v>1569</v>
      </c>
      <c r="Z151" t="s">
        <v>1570</v>
      </c>
      <c r="AA151" t="s">
        <v>1571</v>
      </c>
      <c r="AB151" t="s">
        <v>1572</v>
      </c>
      <c r="AC151" t="s">
        <v>1573</v>
      </c>
      <c r="AD151" t="s">
        <v>1574</v>
      </c>
      <c r="AE151" t="s">
        <v>1575</v>
      </c>
      <c r="AF151" t="s">
        <v>72</v>
      </c>
      <c r="AG151">
        <v>70</v>
      </c>
      <c r="AH151">
        <v>75</v>
      </c>
      <c r="AI151">
        <v>75</v>
      </c>
      <c r="AJ151">
        <v>4</v>
      </c>
      <c r="AK151">
        <v>80</v>
      </c>
      <c r="AL151" t="s">
        <v>142</v>
      </c>
      <c r="AM151" t="s">
        <v>143</v>
      </c>
      <c r="AN151" t="s">
        <v>144</v>
      </c>
      <c r="AO151" t="s">
        <v>1576</v>
      </c>
      <c r="AP151" t="s">
        <v>1577</v>
      </c>
      <c r="AQ151" t="s">
        <v>72</v>
      </c>
      <c r="AR151" t="s">
        <v>1578</v>
      </c>
      <c r="AS151" t="s">
        <v>1579</v>
      </c>
      <c r="AT151" t="s">
        <v>929</v>
      </c>
      <c r="AU151">
        <v>2016</v>
      </c>
      <c r="AV151">
        <v>66</v>
      </c>
      <c r="AW151">
        <v>6</v>
      </c>
      <c r="AX151" t="s">
        <v>72</v>
      </c>
      <c r="AY151" t="s">
        <v>72</v>
      </c>
      <c r="AZ151" t="s">
        <v>72</v>
      </c>
      <c r="BA151" t="s">
        <v>72</v>
      </c>
      <c r="BB151">
        <v>1007</v>
      </c>
      <c r="BC151">
        <v>1031</v>
      </c>
      <c r="BD151" t="s">
        <v>72</v>
      </c>
      <c r="BE151" t="s">
        <v>1580</v>
      </c>
      <c r="BF151" t="str">
        <f>HYPERLINK("http://dx.doi.org/10.1111/jcom.12259","http://dx.doi.org/10.1111/jcom.12259")</f>
        <v>http://dx.doi.org/10.1111/jcom.12259</v>
      </c>
      <c r="BG151" t="s">
        <v>72</v>
      </c>
      <c r="BH151" t="s">
        <v>72</v>
      </c>
      <c r="BI151">
        <v>25</v>
      </c>
      <c r="BJ151" t="s">
        <v>174</v>
      </c>
      <c r="BK151" t="s">
        <v>174</v>
      </c>
      <c r="BL151" t="s">
        <v>1581</v>
      </c>
      <c r="BM151" t="s">
        <v>72</v>
      </c>
      <c r="BN151" t="s">
        <v>559</v>
      </c>
      <c r="BO151" t="s">
        <v>72</v>
      </c>
      <c r="BP151" t="s">
        <v>72</v>
      </c>
      <c r="BQ151" t="s">
        <v>100</v>
      </c>
      <c r="BR151" t="s">
        <v>1582</v>
      </c>
      <c r="BS151" t="str">
        <f>HYPERLINK("https%3A%2F%2Fwww.webofscience.com%2Fwos%2Fwoscc%2Ffull-record%2FWOS:000393127300012","View Full Record in Web of Science")</f>
        <v>View Full Record in Web of Science</v>
      </c>
    </row>
    <row r="152" spans="1:71" hidden="1" x14ac:dyDescent="0.2">
      <c r="A152" t="s">
        <v>70</v>
      </c>
      <c r="B152" t="s">
        <v>1667</v>
      </c>
      <c r="C152" t="s">
        <v>72</v>
      </c>
      <c r="D152" t="s">
        <v>72</v>
      </c>
      <c r="E152" t="s">
        <v>72</v>
      </c>
      <c r="F152" t="s">
        <v>1668</v>
      </c>
      <c r="G152" t="s">
        <v>72</v>
      </c>
      <c r="H152" t="s">
        <v>72</v>
      </c>
      <c r="I152" t="s">
        <v>1669</v>
      </c>
      <c r="J152" t="s">
        <v>1670</v>
      </c>
      <c r="K152" t="s">
        <v>72</v>
      </c>
      <c r="L152" t="s">
        <v>72</v>
      </c>
      <c r="M152" t="s">
        <v>76</v>
      </c>
      <c r="N152" t="s">
        <v>352</v>
      </c>
      <c r="O152" t="s">
        <v>72</v>
      </c>
      <c r="P152" t="s">
        <v>72</v>
      </c>
      <c r="Q152" t="s">
        <v>72</v>
      </c>
      <c r="R152" t="s">
        <v>72</v>
      </c>
      <c r="S152" t="s">
        <v>72</v>
      </c>
      <c r="T152" t="s">
        <v>1671</v>
      </c>
      <c r="U152" t="s">
        <v>1672</v>
      </c>
      <c r="V152" t="s">
        <v>1673</v>
      </c>
      <c r="W152" t="s">
        <v>1674</v>
      </c>
      <c r="X152" t="s">
        <v>1675</v>
      </c>
      <c r="Y152" t="s">
        <v>1676</v>
      </c>
      <c r="Z152" t="s">
        <v>1677</v>
      </c>
      <c r="AA152" t="s">
        <v>72</v>
      </c>
      <c r="AB152" t="s">
        <v>1678</v>
      </c>
      <c r="AC152" t="s">
        <v>1679</v>
      </c>
      <c r="AD152" t="s">
        <v>1679</v>
      </c>
      <c r="AE152" t="s">
        <v>1680</v>
      </c>
      <c r="AF152" t="s">
        <v>72</v>
      </c>
      <c r="AG152">
        <v>90</v>
      </c>
      <c r="AH152">
        <v>0</v>
      </c>
      <c r="AI152">
        <v>0</v>
      </c>
      <c r="AJ152">
        <v>12</v>
      </c>
      <c r="AK152">
        <v>12</v>
      </c>
      <c r="AL152" t="s">
        <v>336</v>
      </c>
      <c r="AM152" t="s">
        <v>337</v>
      </c>
      <c r="AN152" t="s">
        <v>338</v>
      </c>
      <c r="AO152" t="s">
        <v>1681</v>
      </c>
      <c r="AP152" t="s">
        <v>1682</v>
      </c>
      <c r="AQ152" t="s">
        <v>72</v>
      </c>
      <c r="AR152" t="s">
        <v>1683</v>
      </c>
      <c r="AS152" t="s">
        <v>1684</v>
      </c>
      <c r="AT152" t="s">
        <v>72</v>
      </c>
      <c r="AU152" t="s">
        <v>72</v>
      </c>
      <c r="AV152" t="s">
        <v>72</v>
      </c>
      <c r="AW152" t="s">
        <v>72</v>
      </c>
      <c r="AX152" t="s">
        <v>72</v>
      </c>
      <c r="AY152" t="s">
        <v>72</v>
      </c>
      <c r="AZ152" t="s">
        <v>72</v>
      </c>
      <c r="BA152" t="s">
        <v>72</v>
      </c>
      <c r="BB152" t="s">
        <v>72</v>
      </c>
      <c r="BC152" t="s">
        <v>72</v>
      </c>
      <c r="BD152" t="s">
        <v>72</v>
      </c>
      <c r="BE152" t="s">
        <v>1685</v>
      </c>
      <c r="BF152" t="str">
        <f>HYPERLINK("http://dx.doi.org/10.1177/14614448221111009","http://dx.doi.org/10.1177/14614448221111009")</f>
        <v>http://dx.doi.org/10.1177/14614448221111009</v>
      </c>
      <c r="BG152" t="s">
        <v>72</v>
      </c>
      <c r="BH152" t="s">
        <v>372</v>
      </c>
      <c r="BI152">
        <v>25</v>
      </c>
      <c r="BJ152" t="s">
        <v>174</v>
      </c>
      <c r="BK152" t="s">
        <v>174</v>
      </c>
      <c r="BL152" t="s">
        <v>1686</v>
      </c>
      <c r="BM152" t="s">
        <v>72</v>
      </c>
      <c r="BN152" t="s">
        <v>280</v>
      </c>
      <c r="BO152" t="s">
        <v>72</v>
      </c>
      <c r="BP152" t="s">
        <v>72</v>
      </c>
      <c r="BQ152" t="s">
        <v>100</v>
      </c>
      <c r="BR152" t="s">
        <v>1687</v>
      </c>
      <c r="BS152" t="str">
        <f>HYPERLINK("https%3A%2F%2Fwww.webofscience.com%2Fwos%2Fwoscc%2Ffull-record%2FWOS:000830757600001","View Full Record in Web of Science")</f>
        <v>View Full Record in Web of Science</v>
      </c>
    </row>
    <row r="153" spans="1:71" hidden="1" x14ac:dyDescent="0.2">
      <c r="A153" t="s">
        <v>70</v>
      </c>
      <c r="B153" t="s">
        <v>1709</v>
      </c>
      <c r="C153" t="s">
        <v>72</v>
      </c>
      <c r="D153" t="s">
        <v>72</v>
      </c>
      <c r="E153" t="s">
        <v>72</v>
      </c>
      <c r="F153" t="s">
        <v>1710</v>
      </c>
      <c r="G153" t="s">
        <v>72</v>
      </c>
      <c r="H153" t="s">
        <v>72</v>
      </c>
      <c r="I153" t="s">
        <v>1711</v>
      </c>
      <c r="J153" t="s">
        <v>1712</v>
      </c>
      <c r="K153" t="s">
        <v>72</v>
      </c>
      <c r="L153" t="s">
        <v>72</v>
      </c>
      <c r="M153" t="s">
        <v>76</v>
      </c>
      <c r="N153" t="s">
        <v>77</v>
      </c>
      <c r="O153" t="s">
        <v>72</v>
      </c>
      <c r="P153" t="s">
        <v>72</v>
      </c>
      <c r="Q153" t="s">
        <v>72</v>
      </c>
      <c r="R153" t="s">
        <v>72</v>
      </c>
      <c r="S153" t="s">
        <v>72</v>
      </c>
      <c r="T153" t="s">
        <v>1713</v>
      </c>
      <c r="U153" t="s">
        <v>1714</v>
      </c>
      <c r="V153" t="s">
        <v>1715</v>
      </c>
      <c r="W153" t="s">
        <v>1716</v>
      </c>
      <c r="X153" t="s">
        <v>1717</v>
      </c>
      <c r="Y153" t="s">
        <v>1718</v>
      </c>
      <c r="Z153" t="s">
        <v>1719</v>
      </c>
      <c r="AA153" t="s">
        <v>72</v>
      </c>
      <c r="AB153" t="s">
        <v>72</v>
      </c>
      <c r="AC153" t="s">
        <v>72</v>
      </c>
      <c r="AD153" t="s">
        <v>72</v>
      </c>
      <c r="AE153" t="s">
        <v>72</v>
      </c>
      <c r="AF153" t="s">
        <v>72</v>
      </c>
      <c r="AG153">
        <v>88</v>
      </c>
      <c r="AH153">
        <v>0</v>
      </c>
      <c r="AI153">
        <v>0</v>
      </c>
      <c r="AJ153">
        <v>18</v>
      </c>
      <c r="AK153">
        <v>37</v>
      </c>
      <c r="AL153" t="s">
        <v>364</v>
      </c>
      <c r="AM153" t="s">
        <v>365</v>
      </c>
      <c r="AN153" t="s">
        <v>366</v>
      </c>
      <c r="AO153" t="s">
        <v>1720</v>
      </c>
      <c r="AP153" t="s">
        <v>1721</v>
      </c>
      <c r="AQ153" t="s">
        <v>72</v>
      </c>
      <c r="AR153" t="s">
        <v>1722</v>
      </c>
      <c r="AS153" t="s">
        <v>1723</v>
      </c>
      <c r="AT153" t="s">
        <v>477</v>
      </c>
      <c r="AU153">
        <v>2022</v>
      </c>
      <c r="AV153">
        <v>32</v>
      </c>
      <c r="AW153">
        <v>4</v>
      </c>
      <c r="AX153" t="s">
        <v>72</v>
      </c>
      <c r="AY153" t="s">
        <v>72</v>
      </c>
      <c r="AZ153" t="s">
        <v>72</v>
      </c>
      <c r="BA153" t="s">
        <v>72</v>
      </c>
      <c r="BB153">
        <v>327</v>
      </c>
      <c r="BC153">
        <v>345</v>
      </c>
      <c r="BD153" t="s">
        <v>72</v>
      </c>
      <c r="BE153" t="s">
        <v>1724</v>
      </c>
      <c r="BF153" t="str">
        <f>HYPERLINK("http://dx.doi.org/10.1080/01292986.2022.2034901","http://dx.doi.org/10.1080/01292986.2022.2034901")</f>
        <v>http://dx.doi.org/10.1080/01292986.2022.2034901</v>
      </c>
      <c r="BG153" t="s">
        <v>72</v>
      </c>
      <c r="BH153" t="s">
        <v>1212</v>
      </c>
      <c r="BI153">
        <v>19</v>
      </c>
      <c r="BJ153" t="s">
        <v>174</v>
      </c>
      <c r="BK153" t="s">
        <v>174</v>
      </c>
      <c r="BL153" t="s">
        <v>1725</v>
      </c>
      <c r="BM153" t="s">
        <v>72</v>
      </c>
      <c r="BN153" t="s">
        <v>72</v>
      </c>
      <c r="BO153" t="s">
        <v>72</v>
      </c>
      <c r="BP153" t="s">
        <v>72</v>
      </c>
      <c r="BQ153" t="s">
        <v>100</v>
      </c>
      <c r="BR153" t="s">
        <v>1726</v>
      </c>
      <c r="BS153" t="str">
        <f>HYPERLINK("https%3A%2F%2Fwww.webofscience.com%2Fwos%2Fwoscc%2Ffull-record%2FWOS:000753897100001","View Full Record in Web of Science")</f>
        <v>View Full Record in Web of Science</v>
      </c>
    </row>
    <row r="154" spans="1:71" hidden="1" x14ac:dyDescent="0.2">
      <c r="A154" t="s">
        <v>70</v>
      </c>
      <c r="B154" t="s">
        <v>1752</v>
      </c>
      <c r="C154" t="s">
        <v>72</v>
      </c>
      <c r="D154" t="s">
        <v>72</v>
      </c>
      <c r="E154" t="s">
        <v>72</v>
      </c>
      <c r="F154" t="s">
        <v>1753</v>
      </c>
      <c r="G154" t="s">
        <v>72</v>
      </c>
      <c r="H154" t="s">
        <v>72</v>
      </c>
      <c r="I154" t="s">
        <v>1754</v>
      </c>
      <c r="J154" t="s">
        <v>1755</v>
      </c>
      <c r="K154" t="s">
        <v>72</v>
      </c>
      <c r="L154" t="s">
        <v>72</v>
      </c>
      <c r="M154" t="s">
        <v>76</v>
      </c>
      <c r="N154" t="s">
        <v>352</v>
      </c>
      <c r="O154" t="s">
        <v>72</v>
      </c>
      <c r="P154" t="s">
        <v>72</v>
      </c>
      <c r="Q154" t="s">
        <v>72</v>
      </c>
      <c r="R154" t="s">
        <v>72</v>
      </c>
      <c r="S154" t="s">
        <v>72</v>
      </c>
      <c r="T154" t="s">
        <v>1756</v>
      </c>
      <c r="U154" t="s">
        <v>1757</v>
      </c>
      <c r="V154" t="s">
        <v>1758</v>
      </c>
      <c r="W154" t="s">
        <v>1759</v>
      </c>
      <c r="X154" t="s">
        <v>1760</v>
      </c>
      <c r="Y154" t="s">
        <v>1761</v>
      </c>
      <c r="Z154" t="s">
        <v>1762</v>
      </c>
      <c r="AA154" t="s">
        <v>72</v>
      </c>
      <c r="AB154" t="s">
        <v>1763</v>
      </c>
      <c r="AC154" t="s">
        <v>1764</v>
      </c>
      <c r="AD154" t="s">
        <v>1764</v>
      </c>
      <c r="AE154" t="s">
        <v>1764</v>
      </c>
      <c r="AF154" t="s">
        <v>72</v>
      </c>
      <c r="AG154">
        <v>51</v>
      </c>
      <c r="AH154">
        <v>0</v>
      </c>
      <c r="AI154">
        <v>0</v>
      </c>
      <c r="AJ154">
        <v>0</v>
      </c>
      <c r="AK154">
        <v>0</v>
      </c>
      <c r="AL154" t="s">
        <v>364</v>
      </c>
      <c r="AM154" t="s">
        <v>365</v>
      </c>
      <c r="AN154" t="s">
        <v>366</v>
      </c>
      <c r="AO154" t="s">
        <v>1765</v>
      </c>
      <c r="AP154" t="s">
        <v>1766</v>
      </c>
      <c r="AQ154" t="s">
        <v>72</v>
      </c>
      <c r="AR154" t="s">
        <v>1767</v>
      </c>
      <c r="AS154" t="s">
        <v>1768</v>
      </c>
      <c r="AT154" t="s">
        <v>72</v>
      </c>
      <c r="AU154" t="s">
        <v>72</v>
      </c>
      <c r="AV154" t="s">
        <v>72</v>
      </c>
      <c r="AW154" t="s">
        <v>72</v>
      </c>
      <c r="AX154" t="s">
        <v>72</v>
      </c>
      <c r="AY154" t="s">
        <v>72</v>
      </c>
      <c r="AZ154" t="s">
        <v>72</v>
      </c>
      <c r="BA154" t="s">
        <v>72</v>
      </c>
      <c r="BB154" t="s">
        <v>72</v>
      </c>
      <c r="BC154" t="s">
        <v>72</v>
      </c>
      <c r="BD154" t="s">
        <v>72</v>
      </c>
      <c r="BE154" t="s">
        <v>1769</v>
      </c>
      <c r="BF154" t="str">
        <f>HYPERLINK("http://dx.doi.org/10.1080/17512786.2022.2065337","http://dx.doi.org/10.1080/17512786.2022.2065337")</f>
        <v>http://dx.doi.org/10.1080/17512786.2022.2065337</v>
      </c>
      <c r="BG154" t="s">
        <v>72</v>
      </c>
      <c r="BH154" t="s">
        <v>1770</v>
      </c>
      <c r="BI154">
        <v>16</v>
      </c>
      <c r="BJ154" t="s">
        <v>174</v>
      </c>
      <c r="BK154" t="s">
        <v>174</v>
      </c>
      <c r="BL154" t="s">
        <v>1771</v>
      </c>
      <c r="BM154" t="s">
        <v>72</v>
      </c>
      <c r="BN154" t="s">
        <v>72</v>
      </c>
      <c r="BO154" t="s">
        <v>72</v>
      </c>
      <c r="BP154" t="s">
        <v>72</v>
      </c>
      <c r="BQ154" t="s">
        <v>100</v>
      </c>
      <c r="BR154" t="s">
        <v>1772</v>
      </c>
      <c r="BS154" t="str">
        <f>HYPERLINK("https%3A%2F%2Fwww.webofscience.com%2Fwos%2Fwoscc%2Ffull-record%2FWOS:000785966400001","View Full Record in Web of Science")</f>
        <v>View Full Record in Web of Science</v>
      </c>
    </row>
    <row r="155" spans="1:71" hidden="1" x14ac:dyDescent="0.2">
      <c r="A155" t="s">
        <v>70</v>
      </c>
      <c r="B155" t="s">
        <v>1877</v>
      </c>
      <c r="C155" t="s">
        <v>72</v>
      </c>
      <c r="D155" t="s">
        <v>72</v>
      </c>
      <c r="E155" t="s">
        <v>72</v>
      </c>
      <c r="F155" t="s">
        <v>1878</v>
      </c>
      <c r="G155" t="s">
        <v>72</v>
      </c>
      <c r="H155" t="s">
        <v>72</v>
      </c>
      <c r="I155" t="s">
        <v>1879</v>
      </c>
      <c r="J155" t="s">
        <v>1880</v>
      </c>
      <c r="K155" t="s">
        <v>72</v>
      </c>
      <c r="L155" t="s">
        <v>72</v>
      </c>
      <c r="M155" t="s">
        <v>76</v>
      </c>
      <c r="N155" t="s">
        <v>77</v>
      </c>
      <c r="O155" t="s">
        <v>72</v>
      </c>
      <c r="P155" t="s">
        <v>72</v>
      </c>
      <c r="Q155" t="s">
        <v>72</v>
      </c>
      <c r="R155" t="s">
        <v>72</v>
      </c>
      <c r="S155" t="s">
        <v>72</v>
      </c>
      <c r="T155" t="s">
        <v>1881</v>
      </c>
      <c r="U155" t="s">
        <v>1882</v>
      </c>
      <c r="V155" t="s">
        <v>1883</v>
      </c>
      <c r="W155" t="s">
        <v>1884</v>
      </c>
      <c r="X155" t="s">
        <v>1885</v>
      </c>
      <c r="Y155" t="s">
        <v>1886</v>
      </c>
      <c r="Z155" t="s">
        <v>1887</v>
      </c>
      <c r="AA155" t="s">
        <v>72</v>
      </c>
      <c r="AB155" t="s">
        <v>1888</v>
      </c>
      <c r="AC155" t="s">
        <v>1889</v>
      </c>
      <c r="AD155" t="s">
        <v>1889</v>
      </c>
      <c r="AE155" t="s">
        <v>1890</v>
      </c>
      <c r="AF155" t="s">
        <v>72</v>
      </c>
      <c r="AG155">
        <v>56</v>
      </c>
      <c r="AH155">
        <v>16</v>
      </c>
      <c r="AI155">
        <v>16</v>
      </c>
      <c r="AJ155">
        <v>4</v>
      </c>
      <c r="AK155">
        <v>37</v>
      </c>
      <c r="AL155" t="s">
        <v>190</v>
      </c>
      <c r="AM155" t="s">
        <v>191</v>
      </c>
      <c r="AN155" t="s">
        <v>192</v>
      </c>
      <c r="AO155" t="s">
        <v>1891</v>
      </c>
      <c r="AP155" t="s">
        <v>1892</v>
      </c>
      <c r="AQ155" t="s">
        <v>72</v>
      </c>
      <c r="AR155" t="s">
        <v>1880</v>
      </c>
      <c r="AS155" t="s">
        <v>1893</v>
      </c>
      <c r="AT155" t="s">
        <v>247</v>
      </c>
      <c r="AU155">
        <v>2020</v>
      </c>
      <c r="AV155">
        <v>21</v>
      </c>
      <c r="AW155">
        <v>1</v>
      </c>
      <c r="AX155" t="s">
        <v>72</v>
      </c>
      <c r="AY155" t="s">
        <v>72</v>
      </c>
      <c r="AZ155" t="s">
        <v>72</v>
      </c>
      <c r="BA155" t="s">
        <v>72</v>
      </c>
      <c r="BB155">
        <v>112</v>
      </c>
      <c r="BC155">
        <v>129</v>
      </c>
      <c r="BD155" t="s">
        <v>72</v>
      </c>
      <c r="BE155" t="s">
        <v>1894</v>
      </c>
      <c r="BF155" t="str">
        <f>HYPERLINK("http://dx.doi.org/10.1177/1464884917716699","http://dx.doi.org/10.1177/1464884917716699")</f>
        <v>http://dx.doi.org/10.1177/1464884917716699</v>
      </c>
      <c r="BG155" t="s">
        <v>72</v>
      </c>
      <c r="BH155" t="s">
        <v>72</v>
      </c>
      <c r="BI155">
        <v>18</v>
      </c>
      <c r="BJ155" t="s">
        <v>174</v>
      </c>
      <c r="BK155" t="s">
        <v>174</v>
      </c>
      <c r="BL155" t="s">
        <v>1895</v>
      </c>
      <c r="BM155" t="s">
        <v>72</v>
      </c>
      <c r="BN155" t="s">
        <v>1128</v>
      </c>
      <c r="BO155" t="s">
        <v>72</v>
      </c>
      <c r="BP155" t="s">
        <v>72</v>
      </c>
      <c r="BQ155" t="s">
        <v>100</v>
      </c>
      <c r="BR155" t="s">
        <v>1896</v>
      </c>
      <c r="BS155" t="str">
        <f>HYPERLINK("https%3A%2F%2Fwww.webofscience.com%2Fwos%2Fwoscc%2Ffull-record%2FWOS:000506236000007","View Full Record in Web of Science")</f>
        <v>View Full Record in Web of Science</v>
      </c>
    </row>
    <row r="156" spans="1:71" hidden="1" x14ac:dyDescent="0.2">
      <c r="A156" t="s">
        <v>70</v>
      </c>
      <c r="B156" t="s">
        <v>2284</v>
      </c>
      <c r="C156" t="s">
        <v>72</v>
      </c>
      <c r="D156" t="s">
        <v>72</v>
      </c>
      <c r="E156" t="s">
        <v>72</v>
      </c>
      <c r="F156" t="s">
        <v>2285</v>
      </c>
      <c r="G156" t="s">
        <v>72</v>
      </c>
      <c r="H156" t="s">
        <v>72</v>
      </c>
      <c r="I156" t="s">
        <v>2286</v>
      </c>
      <c r="J156" t="s">
        <v>2287</v>
      </c>
      <c r="K156" t="s">
        <v>72</v>
      </c>
      <c r="L156" t="s">
        <v>72</v>
      </c>
      <c r="M156" t="s">
        <v>76</v>
      </c>
      <c r="N156" t="s">
        <v>77</v>
      </c>
      <c r="O156" t="s">
        <v>72</v>
      </c>
      <c r="P156" t="s">
        <v>72</v>
      </c>
      <c r="Q156" t="s">
        <v>72</v>
      </c>
      <c r="R156" t="s">
        <v>72</v>
      </c>
      <c r="S156" t="s">
        <v>72</v>
      </c>
      <c r="T156" t="s">
        <v>2288</v>
      </c>
      <c r="U156" t="s">
        <v>2289</v>
      </c>
      <c r="V156" t="s">
        <v>2290</v>
      </c>
      <c r="W156" t="s">
        <v>2291</v>
      </c>
      <c r="X156" t="s">
        <v>1885</v>
      </c>
      <c r="Y156" t="s">
        <v>2292</v>
      </c>
      <c r="Z156" t="s">
        <v>2293</v>
      </c>
      <c r="AA156" t="s">
        <v>72</v>
      </c>
      <c r="AB156" t="s">
        <v>72</v>
      </c>
      <c r="AC156" t="s">
        <v>72</v>
      </c>
      <c r="AD156" t="s">
        <v>72</v>
      </c>
      <c r="AE156" t="s">
        <v>72</v>
      </c>
      <c r="AF156" t="s">
        <v>72</v>
      </c>
      <c r="AG156">
        <v>48</v>
      </c>
      <c r="AH156">
        <v>3</v>
      </c>
      <c r="AI156">
        <v>3</v>
      </c>
      <c r="AJ156">
        <v>1</v>
      </c>
      <c r="AK156">
        <v>5</v>
      </c>
      <c r="AL156" t="s">
        <v>2294</v>
      </c>
      <c r="AM156" t="s">
        <v>549</v>
      </c>
      <c r="AN156" t="s">
        <v>2295</v>
      </c>
      <c r="AO156" t="s">
        <v>2296</v>
      </c>
      <c r="AP156" t="s">
        <v>2297</v>
      </c>
      <c r="AQ156" t="s">
        <v>72</v>
      </c>
      <c r="AR156" t="s">
        <v>2298</v>
      </c>
      <c r="AS156" t="s">
        <v>2299</v>
      </c>
      <c r="AT156" t="s">
        <v>951</v>
      </c>
      <c r="AU156">
        <v>2020</v>
      </c>
      <c r="AV156">
        <v>45</v>
      </c>
      <c r="AW156" t="s">
        <v>72</v>
      </c>
      <c r="AX156" t="s">
        <v>72</v>
      </c>
      <c r="AY156">
        <v>1</v>
      </c>
      <c r="AZ156" t="s">
        <v>72</v>
      </c>
      <c r="BA156" t="s">
        <v>72</v>
      </c>
      <c r="BB156">
        <v>744</v>
      </c>
      <c r="BC156">
        <v>764</v>
      </c>
      <c r="BD156" t="s">
        <v>72</v>
      </c>
      <c r="BE156" t="s">
        <v>2300</v>
      </c>
      <c r="BF156" t="str">
        <f>HYPERLINK("http://dx.doi.org/10.1515/commun-2019-2069","http://dx.doi.org/10.1515/commun-2019-2069")</f>
        <v>http://dx.doi.org/10.1515/commun-2019-2069</v>
      </c>
      <c r="BG156" t="s">
        <v>72</v>
      </c>
      <c r="BH156" t="s">
        <v>72</v>
      </c>
      <c r="BI156">
        <v>21</v>
      </c>
      <c r="BJ156" t="s">
        <v>174</v>
      </c>
      <c r="BK156" t="s">
        <v>174</v>
      </c>
      <c r="BL156" t="s">
        <v>2301</v>
      </c>
      <c r="BM156" t="s">
        <v>72</v>
      </c>
      <c r="BN156" t="s">
        <v>795</v>
      </c>
      <c r="BO156" t="s">
        <v>72</v>
      </c>
      <c r="BP156" t="s">
        <v>72</v>
      </c>
      <c r="BQ156" t="s">
        <v>100</v>
      </c>
      <c r="BR156" t="s">
        <v>2302</v>
      </c>
      <c r="BS156" t="str">
        <f>HYPERLINK("https%3A%2F%2Fwww.webofscience.com%2Fwos%2Fwoscc%2Ffull-record%2FWOS:000601398900011","View Full Record in Web of Science")</f>
        <v>View Full Record in Web of Science</v>
      </c>
    </row>
    <row r="157" spans="1:71" hidden="1" x14ac:dyDescent="0.2">
      <c r="A157" t="s">
        <v>70</v>
      </c>
      <c r="B157" t="s">
        <v>2582</v>
      </c>
      <c r="C157" t="s">
        <v>72</v>
      </c>
      <c r="D157" t="s">
        <v>72</v>
      </c>
      <c r="E157" t="s">
        <v>72</v>
      </c>
      <c r="F157" t="s">
        <v>2583</v>
      </c>
      <c r="G157" t="s">
        <v>72</v>
      </c>
      <c r="H157" t="s">
        <v>72</v>
      </c>
      <c r="I157" t="s">
        <v>2584</v>
      </c>
      <c r="J157" t="s">
        <v>800</v>
      </c>
      <c r="K157" t="s">
        <v>72</v>
      </c>
      <c r="L157" t="s">
        <v>72</v>
      </c>
      <c r="M157" t="s">
        <v>76</v>
      </c>
      <c r="N157" t="s">
        <v>77</v>
      </c>
      <c r="O157" t="s">
        <v>72</v>
      </c>
      <c r="P157" t="s">
        <v>72</v>
      </c>
      <c r="Q157" t="s">
        <v>72</v>
      </c>
      <c r="R157" t="s">
        <v>72</v>
      </c>
      <c r="S157" t="s">
        <v>72</v>
      </c>
      <c r="T157" t="s">
        <v>2585</v>
      </c>
      <c r="U157" t="s">
        <v>72</v>
      </c>
      <c r="V157" t="s">
        <v>2586</v>
      </c>
      <c r="W157" t="s">
        <v>2587</v>
      </c>
      <c r="X157" t="s">
        <v>2588</v>
      </c>
      <c r="Y157" t="s">
        <v>806</v>
      </c>
      <c r="Z157" t="s">
        <v>2589</v>
      </c>
      <c r="AA157" t="s">
        <v>72</v>
      </c>
      <c r="AB157" t="s">
        <v>72</v>
      </c>
      <c r="AC157" t="s">
        <v>72</v>
      </c>
      <c r="AD157" t="s">
        <v>72</v>
      </c>
      <c r="AE157" t="s">
        <v>72</v>
      </c>
      <c r="AF157" t="s">
        <v>72</v>
      </c>
      <c r="AG157">
        <v>38</v>
      </c>
      <c r="AH157">
        <v>5</v>
      </c>
      <c r="AI157">
        <v>5</v>
      </c>
      <c r="AJ157">
        <v>0</v>
      </c>
      <c r="AK157">
        <v>2</v>
      </c>
      <c r="AL157" t="s">
        <v>364</v>
      </c>
      <c r="AM157" t="s">
        <v>365</v>
      </c>
      <c r="AN157" t="s">
        <v>366</v>
      </c>
      <c r="AO157" t="s">
        <v>810</v>
      </c>
      <c r="AP157" t="s">
        <v>811</v>
      </c>
      <c r="AQ157" t="s">
        <v>72</v>
      </c>
      <c r="AR157" t="s">
        <v>812</v>
      </c>
      <c r="AS157" t="s">
        <v>813</v>
      </c>
      <c r="AT157" t="s">
        <v>72</v>
      </c>
      <c r="AU157">
        <v>2014</v>
      </c>
      <c r="AV157">
        <v>2</v>
      </c>
      <c r="AW157">
        <v>4</v>
      </c>
      <c r="AX157" t="s">
        <v>72</v>
      </c>
      <c r="AY157" t="s">
        <v>72</v>
      </c>
      <c r="AZ157" t="s">
        <v>72</v>
      </c>
      <c r="BA157" t="s">
        <v>72</v>
      </c>
      <c r="BB157">
        <v>524</v>
      </c>
      <c r="BC157">
        <v>541</v>
      </c>
      <c r="BD157" t="s">
        <v>72</v>
      </c>
      <c r="BE157" t="s">
        <v>2590</v>
      </c>
      <c r="BF157" t="str">
        <f>HYPERLINK("http://dx.doi.org/10.1080/21670811.2013.850207","http://dx.doi.org/10.1080/21670811.2013.850207")</f>
        <v>http://dx.doi.org/10.1080/21670811.2013.850207</v>
      </c>
      <c r="BG157" t="s">
        <v>72</v>
      </c>
      <c r="BH157" t="s">
        <v>72</v>
      </c>
      <c r="BI157">
        <v>18</v>
      </c>
      <c r="BJ157" t="s">
        <v>174</v>
      </c>
      <c r="BK157" t="s">
        <v>174</v>
      </c>
      <c r="BL157" t="s">
        <v>2591</v>
      </c>
      <c r="BM157" t="s">
        <v>72</v>
      </c>
      <c r="BN157" t="s">
        <v>72</v>
      </c>
      <c r="BO157" t="s">
        <v>72</v>
      </c>
      <c r="BP157" t="s">
        <v>72</v>
      </c>
      <c r="BQ157" t="s">
        <v>100</v>
      </c>
      <c r="BR157" t="s">
        <v>2592</v>
      </c>
      <c r="BS157" t="str">
        <f>HYPERLINK("https%3A%2F%2Fwww.webofscience.com%2Fwos%2Fwoscc%2Ffull-record%2FWOS:000214772800005","View Full Record in Web of Science")</f>
        <v>View Full Record in Web of Science</v>
      </c>
    </row>
    <row r="158" spans="1:71" hidden="1" x14ac:dyDescent="0.2">
      <c r="A158" t="s">
        <v>70</v>
      </c>
      <c r="B158" t="s">
        <v>2844</v>
      </c>
      <c r="C158" t="s">
        <v>72</v>
      </c>
      <c r="D158" t="s">
        <v>72</v>
      </c>
      <c r="E158" t="s">
        <v>72</v>
      </c>
      <c r="F158" t="s">
        <v>2845</v>
      </c>
      <c r="G158" t="s">
        <v>72</v>
      </c>
      <c r="H158" t="s">
        <v>72</v>
      </c>
      <c r="I158" t="s">
        <v>2846</v>
      </c>
      <c r="J158" t="s">
        <v>1670</v>
      </c>
      <c r="K158" t="s">
        <v>72</v>
      </c>
      <c r="L158" t="s">
        <v>72</v>
      </c>
      <c r="M158" t="s">
        <v>76</v>
      </c>
      <c r="N158" t="s">
        <v>442</v>
      </c>
      <c r="O158" t="s">
        <v>72</v>
      </c>
      <c r="P158" t="s">
        <v>72</v>
      </c>
      <c r="Q158" t="s">
        <v>72</v>
      </c>
      <c r="R158" t="s">
        <v>72</v>
      </c>
      <c r="S158" t="s">
        <v>72</v>
      </c>
      <c r="T158" t="s">
        <v>72</v>
      </c>
      <c r="U158" t="s">
        <v>72</v>
      </c>
      <c r="V158" t="s">
        <v>72</v>
      </c>
      <c r="W158" t="s">
        <v>2847</v>
      </c>
      <c r="X158" t="s">
        <v>2848</v>
      </c>
      <c r="Y158" t="s">
        <v>2849</v>
      </c>
      <c r="Z158" t="s">
        <v>72</v>
      </c>
      <c r="AA158" t="s">
        <v>72</v>
      </c>
      <c r="AB158" t="s">
        <v>2850</v>
      </c>
      <c r="AC158" t="s">
        <v>2851</v>
      </c>
      <c r="AD158" t="s">
        <v>2852</v>
      </c>
      <c r="AE158" t="s">
        <v>2853</v>
      </c>
      <c r="AF158" t="s">
        <v>72</v>
      </c>
      <c r="AG158">
        <v>1</v>
      </c>
      <c r="AH158">
        <v>0</v>
      </c>
      <c r="AI158">
        <v>0</v>
      </c>
      <c r="AJ158">
        <v>2</v>
      </c>
      <c r="AK158">
        <v>2</v>
      </c>
      <c r="AL158" t="s">
        <v>336</v>
      </c>
      <c r="AM158" t="s">
        <v>337</v>
      </c>
      <c r="AN158" t="s">
        <v>338</v>
      </c>
      <c r="AO158" t="s">
        <v>1681</v>
      </c>
      <c r="AP158" t="s">
        <v>1682</v>
      </c>
      <c r="AQ158" t="s">
        <v>72</v>
      </c>
      <c r="AR158" t="s">
        <v>1683</v>
      </c>
      <c r="AS158" t="s">
        <v>1684</v>
      </c>
      <c r="AT158" t="s">
        <v>95</v>
      </c>
      <c r="AU158">
        <v>2022</v>
      </c>
      <c r="AV158">
        <v>24</v>
      </c>
      <c r="AW158">
        <v>9</v>
      </c>
      <c r="AX158" t="s">
        <v>72</v>
      </c>
      <c r="AY158" t="s">
        <v>72</v>
      </c>
      <c r="AZ158" t="s">
        <v>72</v>
      </c>
      <c r="BA158" t="s">
        <v>72</v>
      </c>
      <c r="BB158">
        <v>2186</v>
      </c>
      <c r="BC158">
        <v>2188</v>
      </c>
      <c r="BD158">
        <v>1.461444822110155E+16</v>
      </c>
      <c r="BE158" t="s">
        <v>2854</v>
      </c>
      <c r="BF158" t="str">
        <f>HYPERLINK("http://dx.doi.org/10.1177/14614448221101550","http://dx.doi.org/10.1177/14614448221101550")</f>
        <v>http://dx.doi.org/10.1177/14614448221101550</v>
      </c>
      <c r="BG158" t="s">
        <v>72</v>
      </c>
      <c r="BH158" t="s">
        <v>988</v>
      </c>
      <c r="BI158">
        <v>3</v>
      </c>
      <c r="BJ158" t="s">
        <v>174</v>
      </c>
      <c r="BK158" t="s">
        <v>174</v>
      </c>
      <c r="BL158" t="s">
        <v>2855</v>
      </c>
      <c r="BM158" t="s">
        <v>72</v>
      </c>
      <c r="BN158" t="s">
        <v>72</v>
      </c>
      <c r="BO158" t="s">
        <v>72</v>
      </c>
      <c r="BP158" t="s">
        <v>72</v>
      </c>
      <c r="BQ158" t="s">
        <v>100</v>
      </c>
      <c r="BR158" t="s">
        <v>2856</v>
      </c>
      <c r="BS158" t="str">
        <f>HYPERLINK("https%3A%2F%2Fwww.webofscience.com%2Fwos%2Fwoscc%2Ffull-record%2FWOS:000811609100001","View Full Record in Web of Science")</f>
        <v>View Full Record in Web of Science</v>
      </c>
    </row>
    <row r="159" spans="1:71" hidden="1" x14ac:dyDescent="0.2">
      <c r="A159" t="s">
        <v>70</v>
      </c>
      <c r="B159" t="s">
        <v>3071</v>
      </c>
      <c r="C159" t="s">
        <v>72</v>
      </c>
      <c r="D159" t="s">
        <v>72</v>
      </c>
      <c r="E159" t="s">
        <v>72</v>
      </c>
      <c r="F159" t="s">
        <v>3072</v>
      </c>
      <c r="G159" t="s">
        <v>72</v>
      </c>
      <c r="H159" t="s">
        <v>72</v>
      </c>
      <c r="I159" t="s">
        <v>3073</v>
      </c>
      <c r="J159" t="s">
        <v>584</v>
      </c>
      <c r="K159" t="s">
        <v>72</v>
      </c>
      <c r="L159" t="s">
        <v>72</v>
      </c>
      <c r="M159" t="s">
        <v>76</v>
      </c>
      <c r="N159" t="s">
        <v>77</v>
      </c>
      <c r="O159" t="s">
        <v>72</v>
      </c>
      <c r="P159" t="s">
        <v>72</v>
      </c>
      <c r="Q159" t="s">
        <v>72</v>
      </c>
      <c r="R159" t="s">
        <v>72</v>
      </c>
      <c r="S159" t="s">
        <v>72</v>
      </c>
      <c r="T159" t="s">
        <v>3074</v>
      </c>
      <c r="U159" t="s">
        <v>3075</v>
      </c>
      <c r="V159" t="s">
        <v>3076</v>
      </c>
      <c r="W159" t="s">
        <v>3077</v>
      </c>
      <c r="X159" t="s">
        <v>3078</v>
      </c>
      <c r="Y159" t="s">
        <v>3079</v>
      </c>
      <c r="Z159" t="s">
        <v>3080</v>
      </c>
      <c r="AA159" t="s">
        <v>72</v>
      </c>
      <c r="AB159" t="s">
        <v>72</v>
      </c>
      <c r="AC159" t="s">
        <v>72</v>
      </c>
      <c r="AD159" t="s">
        <v>72</v>
      </c>
      <c r="AE159" t="s">
        <v>72</v>
      </c>
      <c r="AF159" t="s">
        <v>72</v>
      </c>
      <c r="AG159">
        <v>46</v>
      </c>
      <c r="AH159">
        <v>0</v>
      </c>
      <c r="AI159">
        <v>0</v>
      </c>
      <c r="AJ159">
        <v>1</v>
      </c>
      <c r="AK159">
        <v>1</v>
      </c>
      <c r="AL159" t="s">
        <v>594</v>
      </c>
      <c r="AM159" t="s">
        <v>595</v>
      </c>
      <c r="AN159" t="s">
        <v>596</v>
      </c>
      <c r="AO159" t="s">
        <v>597</v>
      </c>
      <c r="AP159" t="s">
        <v>72</v>
      </c>
      <c r="AQ159" t="s">
        <v>72</v>
      </c>
      <c r="AR159" t="s">
        <v>598</v>
      </c>
      <c r="AS159" t="s">
        <v>599</v>
      </c>
      <c r="AT159" t="s">
        <v>72</v>
      </c>
      <c r="AU159">
        <v>2022</v>
      </c>
      <c r="AV159">
        <v>16</v>
      </c>
      <c r="AW159" t="s">
        <v>72</v>
      </c>
      <c r="AX159" t="s">
        <v>72</v>
      </c>
      <c r="AY159" t="s">
        <v>72</v>
      </c>
      <c r="AZ159" t="s">
        <v>72</v>
      </c>
      <c r="BA159" t="s">
        <v>72</v>
      </c>
      <c r="BB159">
        <v>1169</v>
      </c>
      <c r="BC159">
        <v>1196</v>
      </c>
      <c r="BD159" t="s">
        <v>72</v>
      </c>
      <c r="BE159" t="s">
        <v>72</v>
      </c>
      <c r="BF159" t="s">
        <v>72</v>
      </c>
      <c r="BG159" t="s">
        <v>72</v>
      </c>
      <c r="BH159" t="s">
        <v>72</v>
      </c>
      <c r="BI159">
        <v>28</v>
      </c>
      <c r="BJ159" t="s">
        <v>174</v>
      </c>
      <c r="BK159" t="s">
        <v>174</v>
      </c>
      <c r="BL159" t="s">
        <v>3081</v>
      </c>
      <c r="BM159" t="s">
        <v>72</v>
      </c>
      <c r="BN159" t="s">
        <v>72</v>
      </c>
      <c r="BO159" t="s">
        <v>72</v>
      </c>
      <c r="BP159" t="s">
        <v>72</v>
      </c>
      <c r="BQ159" t="s">
        <v>100</v>
      </c>
      <c r="BR159" t="s">
        <v>3082</v>
      </c>
      <c r="BS159" t="str">
        <f>HYPERLINK("https%3A%2F%2Fwww.webofscience.com%2Fwos%2Fwoscc%2Ffull-record%2FWOS:000789589100072","View Full Record in Web of Science")</f>
        <v>View Full Record in Web of Science</v>
      </c>
    </row>
    <row r="160" spans="1:71" hidden="1" x14ac:dyDescent="0.2">
      <c r="A160" t="s">
        <v>70</v>
      </c>
      <c r="B160" t="s">
        <v>3083</v>
      </c>
      <c r="C160" t="s">
        <v>72</v>
      </c>
      <c r="D160" t="s">
        <v>72</v>
      </c>
      <c r="E160" t="s">
        <v>72</v>
      </c>
      <c r="F160" t="s">
        <v>3084</v>
      </c>
      <c r="G160" t="s">
        <v>72</v>
      </c>
      <c r="H160" t="s">
        <v>72</v>
      </c>
      <c r="I160" t="s">
        <v>3085</v>
      </c>
      <c r="J160" t="s">
        <v>3086</v>
      </c>
      <c r="K160" t="s">
        <v>72</v>
      </c>
      <c r="L160" t="s">
        <v>72</v>
      </c>
      <c r="M160" t="s">
        <v>76</v>
      </c>
      <c r="N160" t="s">
        <v>77</v>
      </c>
      <c r="O160" t="s">
        <v>72</v>
      </c>
      <c r="P160" t="s">
        <v>72</v>
      </c>
      <c r="Q160" t="s">
        <v>72</v>
      </c>
      <c r="R160" t="s">
        <v>72</v>
      </c>
      <c r="S160" t="s">
        <v>72</v>
      </c>
      <c r="T160" t="s">
        <v>72</v>
      </c>
      <c r="U160" t="s">
        <v>3087</v>
      </c>
      <c r="V160" t="s">
        <v>3088</v>
      </c>
      <c r="W160" t="s">
        <v>3089</v>
      </c>
      <c r="X160" t="s">
        <v>3090</v>
      </c>
      <c r="Y160" t="s">
        <v>3091</v>
      </c>
      <c r="Z160" t="s">
        <v>3092</v>
      </c>
      <c r="AA160" t="s">
        <v>3093</v>
      </c>
      <c r="AB160" t="s">
        <v>3094</v>
      </c>
      <c r="AC160" t="s">
        <v>3090</v>
      </c>
      <c r="AD160" t="s">
        <v>3090</v>
      </c>
      <c r="AE160" t="s">
        <v>3095</v>
      </c>
      <c r="AF160" t="s">
        <v>72</v>
      </c>
      <c r="AG160">
        <v>65</v>
      </c>
      <c r="AH160">
        <v>11</v>
      </c>
      <c r="AI160">
        <v>11</v>
      </c>
      <c r="AJ160">
        <v>3</v>
      </c>
      <c r="AK160">
        <v>22</v>
      </c>
      <c r="AL160" t="s">
        <v>364</v>
      </c>
      <c r="AM160" t="s">
        <v>365</v>
      </c>
      <c r="AN160" t="s">
        <v>366</v>
      </c>
      <c r="AO160" t="s">
        <v>3096</v>
      </c>
      <c r="AP160" t="s">
        <v>3097</v>
      </c>
      <c r="AQ160" t="s">
        <v>72</v>
      </c>
      <c r="AR160" t="s">
        <v>3098</v>
      </c>
      <c r="AS160" t="s">
        <v>3099</v>
      </c>
      <c r="AT160" t="s">
        <v>3100</v>
      </c>
      <c r="AU160">
        <v>2019</v>
      </c>
      <c r="AV160">
        <v>13</v>
      </c>
      <c r="AW160">
        <v>4</v>
      </c>
      <c r="AX160" t="s">
        <v>72</v>
      </c>
      <c r="AY160" t="s">
        <v>72</v>
      </c>
      <c r="AZ160" t="s">
        <v>72</v>
      </c>
      <c r="BA160" t="s">
        <v>72</v>
      </c>
      <c r="BB160">
        <v>287</v>
      </c>
      <c r="BC160">
        <v>304</v>
      </c>
      <c r="BD160" t="s">
        <v>72</v>
      </c>
      <c r="BE160" t="s">
        <v>3101</v>
      </c>
      <c r="BF160" t="str">
        <f>HYPERLINK("http://dx.doi.org/10.1080/19312458.2019.1650166","http://dx.doi.org/10.1080/19312458.2019.1650166")</f>
        <v>http://dx.doi.org/10.1080/19312458.2019.1650166</v>
      </c>
      <c r="BG160" t="s">
        <v>72</v>
      </c>
      <c r="BH160" t="s">
        <v>3102</v>
      </c>
      <c r="BI160">
        <v>18</v>
      </c>
      <c r="BJ160" t="s">
        <v>174</v>
      </c>
      <c r="BK160" t="s">
        <v>174</v>
      </c>
      <c r="BL160" t="s">
        <v>3103</v>
      </c>
      <c r="BM160" t="s">
        <v>72</v>
      </c>
      <c r="BN160" t="s">
        <v>72</v>
      </c>
      <c r="BO160" t="s">
        <v>72</v>
      </c>
      <c r="BP160" t="s">
        <v>72</v>
      </c>
      <c r="BQ160" t="s">
        <v>100</v>
      </c>
      <c r="BR160" t="s">
        <v>3104</v>
      </c>
      <c r="BS160" t="str">
        <f>HYPERLINK("https%3A%2F%2Fwww.webofscience.com%2Fwos%2Fwoscc%2Ffull-record%2FWOS:000480276200001","View Full Record in Web of Science")</f>
        <v>View Full Record in Web of Science</v>
      </c>
    </row>
    <row r="161" spans="1:71" hidden="1" x14ac:dyDescent="0.2">
      <c r="A161" t="s">
        <v>70</v>
      </c>
      <c r="B161" t="s">
        <v>3123</v>
      </c>
      <c r="C161" t="s">
        <v>72</v>
      </c>
      <c r="D161" t="s">
        <v>72</v>
      </c>
      <c r="E161" t="s">
        <v>72</v>
      </c>
      <c r="F161" t="s">
        <v>3124</v>
      </c>
      <c r="G161" t="s">
        <v>72</v>
      </c>
      <c r="H161" t="s">
        <v>72</v>
      </c>
      <c r="I161" t="s">
        <v>3125</v>
      </c>
      <c r="J161" t="s">
        <v>584</v>
      </c>
      <c r="K161" t="s">
        <v>72</v>
      </c>
      <c r="L161" t="s">
        <v>72</v>
      </c>
      <c r="M161" t="s">
        <v>76</v>
      </c>
      <c r="N161" t="s">
        <v>77</v>
      </c>
      <c r="O161" t="s">
        <v>72</v>
      </c>
      <c r="P161" t="s">
        <v>72</v>
      </c>
      <c r="Q161" t="s">
        <v>72</v>
      </c>
      <c r="R161" t="s">
        <v>72</v>
      </c>
      <c r="S161" t="s">
        <v>72</v>
      </c>
      <c r="T161" t="s">
        <v>3126</v>
      </c>
      <c r="U161" t="s">
        <v>3127</v>
      </c>
      <c r="V161" t="s">
        <v>3128</v>
      </c>
      <c r="W161" t="s">
        <v>3129</v>
      </c>
      <c r="X161" t="s">
        <v>2020</v>
      </c>
      <c r="Y161" t="s">
        <v>3130</v>
      </c>
      <c r="Z161" t="s">
        <v>3131</v>
      </c>
      <c r="AA161" t="s">
        <v>72</v>
      </c>
      <c r="AB161" t="s">
        <v>3132</v>
      </c>
      <c r="AC161" t="s">
        <v>72</v>
      </c>
      <c r="AD161" t="s">
        <v>72</v>
      </c>
      <c r="AE161" t="s">
        <v>72</v>
      </c>
      <c r="AF161" t="s">
        <v>72</v>
      </c>
      <c r="AG161">
        <v>70</v>
      </c>
      <c r="AH161">
        <v>7</v>
      </c>
      <c r="AI161">
        <v>7</v>
      </c>
      <c r="AJ161">
        <v>1</v>
      </c>
      <c r="AK161">
        <v>2</v>
      </c>
      <c r="AL161" t="s">
        <v>594</v>
      </c>
      <c r="AM161" t="s">
        <v>595</v>
      </c>
      <c r="AN161" t="s">
        <v>596</v>
      </c>
      <c r="AO161" t="s">
        <v>597</v>
      </c>
      <c r="AP161" t="s">
        <v>72</v>
      </c>
      <c r="AQ161" t="s">
        <v>72</v>
      </c>
      <c r="AR161" t="s">
        <v>598</v>
      </c>
      <c r="AS161" t="s">
        <v>599</v>
      </c>
      <c r="AT161" t="s">
        <v>72</v>
      </c>
      <c r="AU161">
        <v>2020</v>
      </c>
      <c r="AV161">
        <v>14</v>
      </c>
      <c r="AW161" t="s">
        <v>72</v>
      </c>
      <c r="AX161" t="s">
        <v>72</v>
      </c>
      <c r="AY161" t="s">
        <v>72</v>
      </c>
      <c r="AZ161" t="s">
        <v>72</v>
      </c>
      <c r="BA161" t="s">
        <v>72</v>
      </c>
      <c r="BB161">
        <v>3143</v>
      </c>
      <c r="BC161">
        <v>3164</v>
      </c>
      <c r="BD161" t="s">
        <v>72</v>
      </c>
      <c r="BE161" t="s">
        <v>72</v>
      </c>
      <c r="BF161" t="s">
        <v>72</v>
      </c>
      <c r="BG161" t="s">
        <v>72</v>
      </c>
      <c r="BH161" t="s">
        <v>72</v>
      </c>
      <c r="BI161">
        <v>22</v>
      </c>
      <c r="BJ161" t="s">
        <v>174</v>
      </c>
      <c r="BK161" t="s">
        <v>174</v>
      </c>
      <c r="BL161" t="s">
        <v>3133</v>
      </c>
      <c r="BM161" t="s">
        <v>72</v>
      </c>
      <c r="BN161" t="s">
        <v>72</v>
      </c>
      <c r="BO161" t="s">
        <v>72</v>
      </c>
      <c r="BP161" t="s">
        <v>72</v>
      </c>
      <c r="BQ161" t="s">
        <v>100</v>
      </c>
      <c r="BR161" t="s">
        <v>3134</v>
      </c>
      <c r="BS161" t="str">
        <f>HYPERLINK("https%3A%2F%2Fwww.webofscience.com%2Fwos%2Fwoscc%2Ffull-record%2FWOS:000616658300046","View Full Record in Web of Science")</f>
        <v>View Full Record in Web of Science</v>
      </c>
    </row>
    <row r="162" spans="1:71" hidden="1" x14ac:dyDescent="0.2">
      <c r="A162" t="s">
        <v>70</v>
      </c>
      <c r="B162" t="s">
        <v>3411</v>
      </c>
      <c r="C162" t="s">
        <v>72</v>
      </c>
      <c r="D162" t="s">
        <v>72</v>
      </c>
      <c r="E162" t="s">
        <v>72</v>
      </c>
      <c r="F162" t="s">
        <v>3412</v>
      </c>
      <c r="G162" t="s">
        <v>72</v>
      </c>
      <c r="H162" t="s">
        <v>72</v>
      </c>
      <c r="I162" t="s">
        <v>3413</v>
      </c>
      <c r="J162" t="s">
        <v>3414</v>
      </c>
      <c r="K162" t="s">
        <v>72</v>
      </c>
      <c r="L162" t="s">
        <v>72</v>
      </c>
      <c r="M162" t="s">
        <v>76</v>
      </c>
      <c r="N162" t="s">
        <v>77</v>
      </c>
      <c r="O162" t="s">
        <v>72</v>
      </c>
      <c r="P162" t="s">
        <v>72</v>
      </c>
      <c r="Q162" t="s">
        <v>72</v>
      </c>
      <c r="R162" t="s">
        <v>72</v>
      </c>
      <c r="S162" t="s">
        <v>72</v>
      </c>
      <c r="T162" t="s">
        <v>3415</v>
      </c>
      <c r="U162" t="s">
        <v>3416</v>
      </c>
      <c r="V162" t="s">
        <v>3417</v>
      </c>
      <c r="W162" t="s">
        <v>3418</v>
      </c>
      <c r="X162" t="s">
        <v>3419</v>
      </c>
      <c r="Y162" t="s">
        <v>3420</v>
      </c>
      <c r="Z162" t="s">
        <v>3421</v>
      </c>
      <c r="AA162" t="s">
        <v>72</v>
      </c>
      <c r="AB162" t="s">
        <v>3422</v>
      </c>
      <c r="AC162" t="s">
        <v>3423</v>
      </c>
      <c r="AD162" t="s">
        <v>3424</v>
      </c>
      <c r="AE162" t="s">
        <v>3425</v>
      </c>
      <c r="AF162" t="s">
        <v>72</v>
      </c>
      <c r="AG162">
        <v>55</v>
      </c>
      <c r="AH162">
        <v>0</v>
      </c>
      <c r="AI162">
        <v>0</v>
      </c>
      <c r="AJ162">
        <v>1</v>
      </c>
      <c r="AK162">
        <v>1</v>
      </c>
      <c r="AL162" t="s">
        <v>190</v>
      </c>
      <c r="AM162" t="s">
        <v>191</v>
      </c>
      <c r="AN162" t="s">
        <v>192</v>
      </c>
      <c r="AO162" t="s">
        <v>3426</v>
      </c>
      <c r="AP162" t="s">
        <v>3427</v>
      </c>
      <c r="AQ162" t="s">
        <v>72</v>
      </c>
      <c r="AR162" t="s">
        <v>3428</v>
      </c>
      <c r="AS162" t="s">
        <v>3429</v>
      </c>
      <c r="AT162" t="s">
        <v>951</v>
      </c>
      <c r="AU162">
        <v>2022</v>
      </c>
      <c r="AV162">
        <v>84</v>
      </c>
      <c r="AW162" t="s">
        <v>3430</v>
      </c>
      <c r="AX162" t="s">
        <v>72</v>
      </c>
      <c r="AY162" t="s">
        <v>72</v>
      </c>
      <c r="AZ162" t="s">
        <v>72</v>
      </c>
      <c r="BA162" t="s">
        <v>72</v>
      </c>
      <c r="BB162">
        <v>721</v>
      </c>
      <c r="BC162">
        <v>748</v>
      </c>
      <c r="BD162">
        <v>1.7480485221097968E+16</v>
      </c>
      <c r="BE162" t="s">
        <v>3431</v>
      </c>
      <c r="BF162" t="str">
        <f>HYPERLINK("http://dx.doi.org/10.1177/17480485221097967","http://dx.doi.org/10.1177/17480485221097967")</f>
        <v>http://dx.doi.org/10.1177/17480485221097967</v>
      </c>
      <c r="BG162" t="s">
        <v>72</v>
      </c>
      <c r="BH162" t="s">
        <v>988</v>
      </c>
      <c r="BI162">
        <v>28</v>
      </c>
      <c r="BJ162" t="s">
        <v>174</v>
      </c>
      <c r="BK162" t="s">
        <v>174</v>
      </c>
      <c r="BL162" t="s">
        <v>3432</v>
      </c>
      <c r="BM162" t="s">
        <v>72</v>
      </c>
      <c r="BN162" t="s">
        <v>280</v>
      </c>
      <c r="BO162" t="s">
        <v>72</v>
      </c>
      <c r="BP162" t="s">
        <v>72</v>
      </c>
      <c r="BQ162" t="s">
        <v>100</v>
      </c>
      <c r="BR162" t="s">
        <v>3433</v>
      </c>
      <c r="BS162" t="str">
        <f>HYPERLINK("https%3A%2F%2Fwww.webofscience.com%2Fwos%2Fwoscc%2Ffull-record%2FWOS:000808555600001","View Full Record in Web of Science")</f>
        <v>View Full Record in Web of Science</v>
      </c>
    </row>
    <row r="163" spans="1:71" hidden="1" x14ac:dyDescent="0.2">
      <c r="A163" t="s">
        <v>70</v>
      </c>
      <c r="B163" t="s">
        <v>3455</v>
      </c>
      <c r="C163" t="s">
        <v>72</v>
      </c>
      <c r="D163" t="s">
        <v>72</v>
      </c>
      <c r="E163" t="s">
        <v>72</v>
      </c>
      <c r="F163" t="s">
        <v>3456</v>
      </c>
      <c r="G163" t="s">
        <v>72</v>
      </c>
      <c r="H163" t="s">
        <v>72</v>
      </c>
      <c r="I163" t="s">
        <v>3457</v>
      </c>
      <c r="J163" t="s">
        <v>584</v>
      </c>
      <c r="K163" t="s">
        <v>72</v>
      </c>
      <c r="L163" t="s">
        <v>72</v>
      </c>
      <c r="M163" t="s">
        <v>76</v>
      </c>
      <c r="N163" t="s">
        <v>77</v>
      </c>
      <c r="O163" t="s">
        <v>72</v>
      </c>
      <c r="P163" t="s">
        <v>72</v>
      </c>
      <c r="Q163" t="s">
        <v>72</v>
      </c>
      <c r="R163" t="s">
        <v>72</v>
      </c>
      <c r="S163" t="s">
        <v>72</v>
      </c>
      <c r="T163" t="s">
        <v>3458</v>
      </c>
      <c r="U163" t="s">
        <v>3459</v>
      </c>
      <c r="V163" t="s">
        <v>3460</v>
      </c>
      <c r="W163" t="s">
        <v>3461</v>
      </c>
      <c r="X163" t="s">
        <v>3462</v>
      </c>
      <c r="Y163" t="s">
        <v>3463</v>
      </c>
      <c r="Z163" t="s">
        <v>3464</v>
      </c>
      <c r="AA163" t="s">
        <v>72</v>
      </c>
      <c r="AB163" t="s">
        <v>72</v>
      </c>
      <c r="AC163" t="s">
        <v>72</v>
      </c>
      <c r="AD163" t="s">
        <v>72</v>
      </c>
      <c r="AE163" t="s">
        <v>72</v>
      </c>
      <c r="AF163" t="s">
        <v>72</v>
      </c>
      <c r="AG163">
        <v>59</v>
      </c>
      <c r="AH163">
        <v>37</v>
      </c>
      <c r="AI163">
        <v>37</v>
      </c>
      <c r="AJ163">
        <v>2</v>
      </c>
      <c r="AK163">
        <v>15</v>
      </c>
      <c r="AL163" t="s">
        <v>594</v>
      </c>
      <c r="AM163" t="s">
        <v>595</v>
      </c>
      <c r="AN163" t="s">
        <v>596</v>
      </c>
      <c r="AO163" t="s">
        <v>597</v>
      </c>
      <c r="AP163" t="s">
        <v>72</v>
      </c>
      <c r="AQ163" t="s">
        <v>72</v>
      </c>
      <c r="AR163" t="s">
        <v>598</v>
      </c>
      <c r="AS163" t="s">
        <v>599</v>
      </c>
      <c r="AT163" t="s">
        <v>72</v>
      </c>
      <c r="AU163">
        <v>2017</v>
      </c>
      <c r="AV163">
        <v>11</v>
      </c>
      <c r="AW163" t="s">
        <v>72</v>
      </c>
      <c r="AX163" t="s">
        <v>72</v>
      </c>
      <c r="AY163" t="s">
        <v>72</v>
      </c>
      <c r="AZ163" t="s">
        <v>72</v>
      </c>
      <c r="BA163" t="s">
        <v>72</v>
      </c>
      <c r="BB163">
        <v>3051</v>
      </c>
      <c r="BC163">
        <v>3071</v>
      </c>
      <c r="BD163" t="s">
        <v>72</v>
      </c>
      <c r="BE163" t="s">
        <v>72</v>
      </c>
      <c r="BF163" t="s">
        <v>72</v>
      </c>
      <c r="BG163" t="s">
        <v>72</v>
      </c>
      <c r="BH163" t="s">
        <v>72</v>
      </c>
      <c r="BI163">
        <v>21</v>
      </c>
      <c r="BJ163" t="s">
        <v>174</v>
      </c>
      <c r="BK163" t="s">
        <v>174</v>
      </c>
      <c r="BL163" t="s">
        <v>3465</v>
      </c>
      <c r="BM163" t="s">
        <v>72</v>
      </c>
      <c r="BN163" t="s">
        <v>72</v>
      </c>
      <c r="BO163" t="s">
        <v>72</v>
      </c>
      <c r="BP163" t="s">
        <v>72</v>
      </c>
      <c r="BQ163" t="s">
        <v>100</v>
      </c>
      <c r="BR163" t="s">
        <v>3466</v>
      </c>
      <c r="BS163" t="str">
        <f>HYPERLINK("https%3A%2F%2Fwww.webofscience.com%2Fwos%2Fwoscc%2Ffull-record%2FWOS:000411096600011","View Full Record in Web of Science")</f>
        <v>View Full Record in Web of Science</v>
      </c>
    </row>
    <row r="164" spans="1:71" hidden="1" x14ac:dyDescent="0.2">
      <c r="A164" t="s">
        <v>70</v>
      </c>
      <c r="B164" t="s">
        <v>3523</v>
      </c>
      <c r="C164" t="s">
        <v>72</v>
      </c>
      <c r="D164" t="s">
        <v>72</v>
      </c>
      <c r="E164" t="s">
        <v>72</v>
      </c>
      <c r="F164" t="s">
        <v>3524</v>
      </c>
      <c r="G164" t="s">
        <v>72</v>
      </c>
      <c r="H164" t="s">
        <v>72</v>
      </c>
      <c r="I164" t="s">
        <v>3525</v>
      </c>
      <c r="J164" t="s">
        <v>800</v>
      </c>
      <c r="K164" t="s">
        <v>72</v>
      </c>
      <c r="L164" t="s">
        <v>72</v>
      </c>
      <c r="M164" t="s">
        <v>76</v>
      </c>
      <c r="N164" t="s">
        <v>77</v>
      </c>
      <c r="O164" t="s">
        <v>72</v>
      </c>
      <c r="P164" t="s">
        <v>72</v>
      </c>
      <c r="Q164" t="s">
        <v>72</v>
      </c>
      <c r="R164" t="s">
        <v>72</v>
      </c>
      <c r="S164" t="s">
        <v>72</v>
      </c>
      <c r="T164" t="s">
        <v>3526</v>
      </c>
      <c r="U164" t="s">
        <v>3527</v>
      </c>
      <c r="V164" t="s">
        <v>3528</v>
      </c>
      <c r="W164" t="s">
        <v>3529</v>
      </c>
      <c r="X164" t="s">
        <v>1885</v>
      </c>
      <c r="Y164" t="s">
        <v>3530</v>
      </c>
      <c r="Z164" t="s">
        <v>3531</v>
      </c>
      <c r="AA164" t="s">
        <v>72</v>
      </c>
      <c r="AB164" t="s">
        <v>1888</v>
      </c>
      <c r="AC164" t="s">
        <v>72</v>
      </c>
      <c r="AD164" t="s">
        <v>72</v>
      </c>
      <c r="AE164" t="s">
        <v>72</v>
      </c>
      <c r="AF164" t="s">
        <v>72</v>
      </c>
      <c r="AG164">
        <v>67</v>
      </c>
      <c r="AH164">
        <v>100</v>
      </c>
      <c r="AI164">
        <v>100</v>
      </c>
      <c r="AJ164">
        <v>6</v>
      </c>
      <c r="AK164">
        <v>51</v>
      </c>
      <c r="AL164" t="s">
        <v>364</v>
      </c>
      <c r="AM164" t="s">
        <v>365</v>
      </c>
      <c r="AN164" t="s">
        <v>366</v>
      </c>
      <c r="AO164" t="s">
        <v>810</v>
      </c>
      <c r="AP164" t="s">
        <v>811</v>
      </c>
      <c r="AQ164" t="s">
        <v>72</v>
      </c>
      <c r="AR164" t="s">
        <v>812</v>
      </c>
      <c r="AS164" t="s">
        <v>813</v>
      </c>
      <c r="AT164" t="s">
        <v>72</v>
      </c>
      <c r="AU164">
        <v>2016</v>
      </c>
      <c r="AV164">
        <v>4</v>
      </c>
      <c r="AW164">
        <v>1</v>
      </c>
      <c r="AX164" t="s">
        <v>72</v>
      </c>
      <c r="AY164" t="s">
        <v>72</v>
      </c>
      <c r="AZ164" t="s">
        <v>72</v>
      </c>
      <c r="BA164" t="s">
        <v>72</v>
      </c>
      <c r="BB164">
        <v>8</v>
      </c>
      <c r="BC164">
        <v>23</v>
      </c>
      <c r="BD164" t="s">
        <v>72</v>
      </c>
      <c r="BE164" t="s">
        <v>3532</v>
      </c>
      <c r="BF164" t="str">
        <f>HYPERLINK("http://dx.doi.org/10.1080/21670811.2015.1096598","http://dx.doi.org/10.1080/21670811.2015.1096598")</f>
        <v>http://dx.doi.org/10.1080/21670811.2015.1096598</v>
      </c>
      <c r="BG164" t="s">
        <v>72</v>
      </c>
      <c r="BH164" t="s">
        <v>72</v>
      </c>
      <c r="BI164">
        <v>16</v>
      </c>
      <c r="BJ164" t="s">
        <v>174</v>
      </c>
      <c r="BK164" t="s">
        <v>174</v>
      </c>
      <c r="BL164" t="s">
        <v>815</v>
      </c>
      <c r="BM164" t="s">
        <v>72</v>
      </c>
      <c r="BN164" t="s">
        <v>1128</v>
      </c>
      <c r="BO164" t="s">
        <v>72</v>
      </c>
      <c r="BP164" t="s">
        <v>72</v>
      </c>
      <c r="BQ164" t="s">
        <v>100</v>
      </c>
      <c r="BR164" t="s">
        <v>3533</v>
      </c>
      <c r="BS164" t="str">
        <f>HYPERLINK("https%3A%2F%2Fwww.webofscience.com%2Fwos%2Fwoscc%2Ffull-record%2FWOS:000387221400003","View Full Record in Web of Science")</f>
        <v>View Full Record in Web of Science</v>
      </c>
    </row>
    <row r="165" spans="1:71" hidden="1" x14ac:dyDescent="0.2">
      <c r="A165" t="s">
        <v>70</v>
      </c>
      <c r="B165" t="s">
        <v>3534</v>
      </c>
      <c r="C165" t="s">
        <v>72</v>
      </c>
      <c r="D165" t="s">
        <v>72</v>
      </c>
      <c r="E165" t="s">
        <v>72</v>
      </c>
      <c r="F165" t="s">
        <v>3535</v>
      </c>
      <c r="G165" t="s">
        <v>72</v>
      </c>
      <c r="H165" t="s">
        <v>72</v>
      </c>
      <c r="I165" t="s">
        <v>3536</v>
      </c>
      <c r="J165" t="s">
        <v>584</v>
      </c>
      <c r="K165" t="s">
        <v>72</v>
      </c>
      <c r="L165" t="s">
        <v>72</v>
      </c>
      <c r="M165" t="s">
        <v>76</v>
      </c>
      <c r="N165" t="s">
        <v>77</v>
      </c>
      <c r="O165" t="s">
        <v>72</v>
      </c>
      <c r="P165" t="s">
        <v>72</v>
      </c>
      <c r="Q165" t="s">
        <v>72</v>
      </c>
      <c r="R165" t="s">
        <v>72</v>
      </c>
      <c r="S165" t="s">
        <v>72</v>
      </c>
      <c r="T165" t="s">
        <v>3537</v>
      </c>
      <c r="U165" t="s">
        <v>3538</v>
      </c>
      <c r="V165" t="s">
        <v>3539</v>
      </c>
      <c r="W165" t="s">
        <v>3540</v>
      </c>
      <c r="X165" t="s">
        <v>164</v>
      </c>
      <c r="Y165" t="s">
        <v>3541</v>
      </c>
      <c r="Z165" t="s">
        <v>3542</v>
      </c>
      <c r="AA165" t="s">
        <v>3543</v>
      </c>
      <c r="AB165" t="s">
        <v>3544</v>
      </c>
      <c r="AC165" t="s">
        <v>72</v>
      </c>
      <c r="AD165" t="s">
        <v>72</v>
      </c>
      <c r="AE165" t="s">
        <v>72</v>
      </c>
      <c r="AF165" t="s">
        <v>72</v>
      </c>
      <c r="AG165">
        <v>63</v>
      </c>
      <c r="AH165">
        <v>1</v>
      </c>
      <c r="AI165">
        <v>1</v>
      </c>
      <c r="AJ165">
        <v>1</v>
      </c>
      <c r="AK165">
        <v>13</v>
      </c>
      <c r="AL165" t="s">
        <v>594</v>
      </c>
      <c r="AM165" t="s">
        <v>595</v>
      </c>
      <c r="AN165" t="s">
        <v>596</v>
      </c>
      <c r="AO165" t="s">
        <v>597</v>
      </c>
      <c r="AP165" t="s">
        <v>72</v>
      </c>
      <c r="AQ165" t="s">
        <v>72</v>
      </c>
      <c r="AR165" t="s">
        <v>598</v>
      </c>
      <c r="AS165" t="s">
        <v>599</v>
      </c>
      <c r="AT165" t="s">
        <v>72</v>
      </c>
      <c r="AU165">
        <v>2019</v>
      </c>
      <c r="AV165">
        <v>13</v>
      </c>
      <c r="AW165" t="s">
        <v>72</v>
      </c>
      <c r="AX165" t="s">
        <v>72</v>
      </c>
      <c r="AY165" t="s">
        <v>72</v>
      </c>
      <c r="AZ165" t="s">
        <v>72</v>
      </c>
      <c r="BA165" t="s">
        <v>72</v>
      </c>
      <c r="BB165">
        <v>1890</v>
      </c>
      <c r="BC165">
        <v>1912</v>
      </c>
      <c r="BD165" t="s">
        <v>72</v>
      </c>
      <c r="BE165" t="s">
        <v>72</v>
      </c>
      <c r="BF165" t="s">
        <v>72</v>
      </c>
      <c r="BG165" t="s">
        <v>72</v>
      </c>
      <c r="BH165" t="s">
        <v>72</v>
      </c>
      <c r="BI165">
        <v>23</v>
      </c>
      <c r="BJ165" t="s">
        <v>174</v>
      </c>
      <c r="BK165" t="s">
        <v>174</v>
      </c>
      <c r="BL165" t="s">
        <v>3545</v>
      </c>
      <c r="BM165" t="s">
        <v>72</v>
      </c>
      <c r="BN165" t="s">
        <v>72</v>
      </c>
      <c r="BO165" t="s">
        <v>72</v>
      </c>
      <c r="BP165" t="s">
        <v>72</v>
      </c>
      <c r="BQ165" t="s">
        <v>100</v>
      </c>
      <c r="BR165" t="s">
        <v>3546</v>
      </c>
      <c r="BS165" t="str">
        <f>HYPERLINK("https%3A%2F%2Fwww.webofscience.com%2Fwos%2Fwoscc%2Ffull-record%2FWOS:000475772800075","View Full Record in Web of Science")</f>
        <v>View Full Record in Web of Science</v>
      </c>
    </row>
    <row r="166" spans="1:71" hidden="1" x14ac:dyDescent="0.2">
      <c r="A166" t="s">
        <v>70</v>
      </c>
      <c r="B166" t="s">
        <v>3655</v>
      </c>
      <c r="C166" t="s">
        <v>72</v>
      </c>
      <c r="D166" t="s">
        <v>72</v>
      </c>
      <c r="E166" t="s">
        <v>72</v>
      </c>
      <c r="F166" t="s">
        <v>3656</v>
      </c>
      <c r="G166" t="s">
        <v>72</v>
      </c>
      <c r="H166" t="s">
        <v>72</v>
      </c>
      <c r="I166" t="s">
        <v>3657</v>
      </c>
      <c r="J166" t="s">
        <v>3658</v>
      </c>
      <c r="K166" t="s">
        <v>72</v>
      </c>
      <c r="L166" t="s">
        <v>72</v>
      </c>
      <c r="M166" t="s">
        <v>76</v>
      </c>
      <c r="N166" t="s">
        <v>77</v>
      </c>
      <c r="O166" t="s">
        <v>72</v>
      </c>
      <c r="P166" t="s">
        <v>72</v>
      </c>
      <c r="Q166" t="s">
        <v>72</v>
      </c>
      <c r="R166" t="s">
        <v>72</v>
      </c>
      <c r="S166" t="s">
        <v>72</v>
      </c>
      <c r="T166" t="s">
        <v>72</v>
      </c>
      <c r="U166" t="s">
        <v>3659</v>
      </c>
      <c r="V166" t="s">
        <v>3660</v>
      </c>
      <c r="W166" t="s">
        <v>3661</v>
      </c>
      <c r="X166" t="s">
        <v>3662</v>
      </c>
      <c r="Y166" t="s">
        <v>3663</v>
      </c>
      <c r="Z166" t="s">
        <v>3664</v>
      </c>
      <c r="AA166" t="s">
        <v>72</v>
      </c>
      <c r="AB166" t="s">
        <v>72</v>
      </c>
      <c r="AC166" t="s">
        <v>72</v>
      </c>
      <c r="AD166" t="s">
        <v>72</v>
      </c>
      <c r="AE166" t="s">
        <v>72</v>
      </c>
      <c r="AF166" t="s">
        <v>72</v>
      </c>
      <c r="AG166">
        <v>78</v>
      </c>
      <c r="AH166">
        <v>186</v>
      </c>
      <c r="AI166">
        <v>192</v>
      </c>
      <c r="AJ166">
        <v>1</v>
      </c>
      <c r="AK166">
        <v>78</v>
      </c>
      <c r="AL166" t="s">
        <v>142</v>
      </c>
      <c r="AM166" t="s">
        <v>143</v>
      </c>
      <c r="AN166" t="s">
        <v>144</v>
      </c>
      <c r="AO166" t="s">
        <v>3665</v>
      </c>
      <c r="AP166" t="s">
        <v>3666</v>
      </c>
      <c r="AQ166" t="s">
        <v>72</v>
      </c>
      <c r="AR166" t="s">
        <v>3667</v>
      </c>
      <c r="AS166" t="s">
        <v>3668</v>
      </c>
      <c r="AT166" t="s">
        <v>395</v>
      </c>
      <c r="AU166">
        <v>2010</v>
      </c>
      <c r="AV166">
        <v>36</v>
      </c>
      <c r="AW166">
        <v>4</v>
      </c>
      <c r="AX166" t="s">
        <v>72</v>
      </c>
      <c r="AY166" t="s">
        <v>72</v>
      </c>
      <c r="AZ166" t="s">
        <v>72</v>
      </c>
      <c r="BA166" t="s">
        <v>72</v>
      </c>
      <c r="BB166">
        <v>593</v>
      </c>
      <c r="BC166">
        <v>617</v>
      </c>
      <c r="BD166" t="s">
        <v>72</v>
      </c>
      <c r="BE166" t="s">
        <v>3669</v>
      </c>
      <c r="BF166" t="str">
        <f>HYPERLINK("http://dx.doi.org/10.1111/j.1468-2958.2010.01390.x","http://dx.doi.org/10.1111/j.1468-2958.2010.01390.x")</f>
        <v>http://dx.doi.org/10.1111/j.1468-2958.2010.01390.x</v>
      </c>
      <c r="BG166" t="s">
        <v>72</v>
      </c>
      <c r="BH166" t="s">
        <v>72</v>
      </c>
      <c r="BI166">
        <v>25</v>
      </c>
      <c r="BJ166" t="s">
        <v>174</v>
      </c>
      <c r="BK166" t="s">
        <v>174</v>
      </c>
      <c r="BL166" t="s">
        <v>3670</v>
      </c>
      <c r="BM166" t="s">
        <v>72</v>
      </c>
      <c r="BN166" t="s">
        <v>72</v>
      </c>
      <c r="BO166" t="s">
        <v>72</v>
      </c>
      <c r="BP166" t="s">
        <v>72</v>
      </c>
      <c r="BQ166" t="s">
        <v>100</v>
      </c>
      <c r="BR166" t="s">
        <v>3671</v>
      </c>
      <c r="BS166" t="str">
        <f>HYPERLINK("https%3A%2F%2Fwww.webofscience.com%2Fwos%2Fwoscc%2Ffull-record%2FWOS:000281903300006","View Full Record in Web of Science")</f>
        <v>View Full Record in Web of Science</v>
      </c>
    </row>
    <row r="167" spans="1:71" hidden="1" x14ac:dyDescent="0.2">
      <c r="A167" t="s">
        <v>70</v>
      </c>
      <c r="B167" t="s">
        <v>4372</v>
      </c>
      <c r="C167" t="s">
        <v>72</v>
      </c>
      <c r="D167" t="s">
        <v>72</v>
      </c>
      <c r="E167" t="s">
        <v>72</v>
      </c>
      <c r="F167" t="s">
        <v>4373</v>
      </c>
      <c r="G167" t="s">
        <v>72</v>
      </c>
      <c r="H167" t="s">
        <v>72</v>
      </c>
      <c r="I167" t="s">
        <v>4374</v>
      </c>
      <c r="J167" t="s">
        <v>4375</v>
      </c>
      <c r="K167" t="s">
        <v>72</v>
      </c>
      <c r="L167" t="s">
        <v>72</v>
      </c>
      <c r="M167" t="s">
        <v>76</v>
      </c>
      <c r="N167" t="s">
        <v>77</v>
      </c>
      <c r="O167" t="s">
        <v>72</v>
      </c>
      <c r="P167" t="s">
        <v>72</v>
      </c>
      <c r="Q167" t="s">
        <v>72</v>
      </c>
      <c r="R167" t="s">
        <v>72</v>
      </c>
      <c r="S167" t="s">
        <v>72</v>
      </c>
      <c r="T167" t="s">
        <v>4376</v>
      </c>
      <c r="U167" t="s">
        <v>4377</v>
      </c>
      <c r="V167" t="s">
        <v>4378</v>
      </c>
      <c r="W167" t="s">
        <v>4379</v>
      </c>
      <c r="X167" t="s">
        <v>4380</v>
      </c>
      <c r="Y167" t="s">
        <v>4381</v>
      </c>
      <c r="Z167" t="s">
        <v>4382</v>
      </c>
      <c r="AA167" t="s">
        <v>72</v>
      </c>
      <c r="AB167" t="s">
        <v>4383</v>
      </c>
      <c r="AC167" t="s">
        <v>4384</v>
      </c>
      <c r="AD167" t="s">
        <v>4385</v>
      </c>
      <c r="AE167" t="s">
        <v>4386</v>
      </c>
      <c r="AF167" t="s">
        <v>72</v>
      </c>
      <c r="AG167">
        <v>48</v>
      </c>
      <c r="AH167">
        <v>6</v>
      </c>
      <c r="AI167">
        <v>6</v>
      </c>
      <c r="AJ167">
        <v>0</v>
      </c>
      <c r="AK167">
        <v>9</v>
      </c>
      <c r="AL167" t="s">
        <v>190</v>
      </c>
      <c r="AM167" t="s">
        <v>191</v>
      </c>
      <c r="AN167" t="s">
        <v>192</v>
      </c>
      <c r="AO167" t="s">
        <v>4387</v>
      </c>
      <c r="AP167" t="s">
        <v>4388</v>
      </c>
      <c r="AQ167" t="s">
        <v>72</v>
      </c>
      <c r="AR167" t="s">
        <v>4389</v>
      </c>
      <c r="AS167" t="s">
        <v>4390</v>
      </c>
      <c r="AT167" t="s">
        <v>395</v>
      </c>
      <c r="AU167">
        <v>2016</v>
      </c>
      <c r="AV167">
        <v>33</v>
      </c>
      <c r="AW167">
        <v>4</v>
      </c>
      <c r="AX167" t="s">
        <v>72</v>
      </c>
      <c r="AY167" t="s">
        <v>72</v>
      </c>
      <c r="AZ167" t="s">
        <v>72</v>
      </c>
      <c r="BA167" t="s">
        <v>72</v>
      </c>
      <c r="BB167">
        <v>360</v>
      </c>
      <c r="BC167">
        <v>384</v>
      </c>
      <c r="BD167" t="s">
        <v>72</v>
      </c>
      <c r="BE167" t="s">
        <v>4391</v>
      </c>
      <c r="BF167" t="str">
        <f>HYPERLINK("http://dx.doi.org/10.1177/0741088316667927","http://dx.doi.org/10.1177/0741088316667927")</f>
        <v>http://dx.doi.org/10.1177/0741088316667927</v>
      </c>
      <c r="BG167" t="s">
        <v>72</v>
      </c>
      <c r="BH167" t="s">
        <v>72</v>
      </c>
      <c r="BI167">
        <v>25</v>
      </c>
      <c r="BJ167" t="s">
        <v>174</v>
      </c>
      <c r="BK167" t="s">
        <v>174</v>
      </c>
      <c r="BL167" t="s">
        <v>4392</v>
      </c>
      <c r="BM167" t="s">
        <v>72</v>
      </c>
      <c r="BN167" t="s">
        <v>72</v>
      </c>
      <c r="BO167" t="s">
        <v>72</v>
      </c>
      <c r="BP167" t="s">
        <v>72</v>
      </c>
      <c r="BQ167" t="s">
        <v>100</v>
      </c>
      <c r="BR167" t="s">
        <v>4393</v>
      </c>
      <c r="BS167" t="str">
        <f>HYPERLINK("https%3A%2F%2Fwww.webofscience.com%2Fwos%2Fwoscc%2Ffull-record%2FWOS:000386054500001","View Full Record in Web of Science")</f>
        <v>View Full Record in Web of Science</v>
      </c>
    </row>
    <row r="168" spans="1:71" hidden="1" x14ac:dyDescent="0.2">
      <c r="A168" t="s">
        <v>70</v>
      </c>
      <c r="B168" t="s">
        <v>4984</v>
      </c>
      <c r="C168" t="s">
        <v>72</v>
      </c>
      <c r="D168" t="s">
        <v>72</v>
      </c>
      <c r="E168" t="s">
        <v>72</v>
      </c>
      <c r="F168" t="s">
        <v>4985</v>
      </c>
      <c r="G168" t="s">
        <v>72</v>
      </c>
      <c r="H168" t="s">
        <v>72</v>
      </c>
      <c r="I168" t="s">
        <v>4986</v>
      </c>
      <c r="J168" t="s">
        <v>584</v>
      </c>
      <c r="K168" t="s">
        <v>72</v>
      </c>
      <c r="L168" t="s">
        <v>72</v>
      </c>
      <c r="M168" t="s">
        <v>76</v>
      </c>
      <c r="N168" t="s">
        <v>77</v>
      </c>
      <c r="O168" t="s">
        <v>72</v>
      </c>
      <c r="P168" t="s">
        <v>72</v>
      </c>
      <c r="Q168" t="s">
        <v>72</v>
      </c>
      <c r="R168" t="s">
        <v>72</v>
      </c>
      <c r="S168" t="s">
        <v>72</v>
      </c>
      <c r="T168" t="s">
        <v>4987</v>
      </c>
      <c r="U168" t="s">
        <v>4988</v>
      </c>
      <c r="V168" t="s">
        <v>4989</v>
      </c>
      <c r="W168" t="s">
        <v>4990</v>
      </c>
      <c r="X168" t="s">
        <v>2622</v>
      </c>
      <c r="Y168" t="s">
        <v>4991</v>
      </c>
      <c r="Z168" t="s">
        <v>4992</v>
      </c>
      <c r="AA168" t="s">
        <v>72</v>
      </c>
      <c r="AB168" t="s">
        <v>4993</v>
      </c>
      <c r="AC168" t="s">
        <v>72</v>
      </c>
      <c r="AD168" t="s">
        <v>72</v>
      </c>
      <c r="AE168" t="s">
        <v>72</v>
      </c>
      <c r="AF168" t="s">
        <v>72</v>
      </c>
      <c r="AG168">
        <v>42</v>
      </c>
      <c r="AH168">
        <v>4</v>
      </c>
      <c r="AI168">
        <v>4</v>
      </c>
      <c r="AJ168">
        <v>3</v>
      </c>
      <c r="AK168">
        <v>8</v>
      </c>
      <c r="AL168" t="s">
        <v>594</v>
      </c>
      <c r="AM168" t="s">
        <v>595</v>
      </c>
      <c r="AN168" t="s">
        <v>596</v>
      </c>
      <c r="AO168" t="s">
        <v>597</v>
      </c>
      <c r="AP168" t="s">
        <v>72</v>
      </c>
      <c r="AQ168" t="s">
        <v>72</v>
      </c>
      <c r="AR168" t="s">
        <v>598</v>
      </c>
      <c r="AS168" t="s">
        <v>599</v>
      </c>
      <c r="AT168" t="s">
        <v>72</v>
      </c>
      <c r="AU168">
        <v>2019</v>
      </c>
      <c r="AV168">
        <v>13</v>
      </c>
      <c r="AW168" t="s">
        <v>72</v>
      </c>
      <c r="AX168" t="s">
        <v>72</v>
      </c>
      <c r="AY168" t="s">
        <v>72</v>
      </c>
      <c r="AZ168" t="s">
        <v>72</v>
      </c>
      <c r="BA168" t="s">
        <v>72</v>
      </c>
      <c r="BB168">
        <v>1784</v>
      </c>
      <c r="BC168">
        <v>1804</v>
      </c>
      <c r="BD168" t="s">
        <v>72</v>
      </c>
      <c r="BE168" t="s">
        <v>72</v>
      </c>
      <c r="BF168" t="s">
        <v>72</v>
      </c>
      <c r="BG168" t="s">
        <v>72</v>
      </c>
      <c r="BH168" t="s">
        <v>72</v>
      </c>
      <c r="BI168">
        <v>21</v>
      </c>
      <c r="BJ168" t="s">
        <v>174</v>
      </c>
      <c r="BK168" t="s">
        <v>174</v>
      </c>
      <c r="BL168" t="s">
        <v>3545</v>
      </c>
      <c r="BM168" t="s">
        <v>72</v>
      </c>
      <c r="BN168" t="s">
        <v>72</v>
      </c>
      <c r="BO168" t="s">
        <v>72</v>
      </c>
      <c r="BP168" t="s">
        <v>72</v>
      </c>
      <c r="BQ168" t="s">
        <v>100</v>
      </c>
      <c r="BR168" t="s">
        <v>4994</v>
      </c>
      <c r="BS168" t="str">
        <f>HYPERLINK("https%3A%2F%2Fwww.webofscience.com%2Fwos%2Fwoscc%2Ffull-record%2FWOS:000475772800070","View Full Record in Web of Science")</f>
        <v>View Full Record in Web of Science</v>
      </c>
    </row>
    <row r="169" spans="1:71" hidden="1" x14ac:dyDescent="0.2">
      <c r="A169" t="s">
        <v>70</v>
      </c>
      <c r="B169" t="s">
        <v>5559</v>
      </c>
      <c r="C169" t="s">
        <v>72</v>
      </c>
      <c r="D169" t="s">
        <v>72</v>
      </c>
      <c r="E169" t="s">
        <v>72</v>
      </c>
      <c r="F169" t="s">
        <v>5560</v>
      </c>
      <c r="G169" t="s">
        <v>72</v>
      </c>
      <c r="H169" t="s">
        <v>72</v>
      </c>
      <c r="I169" t="s">
        <v>5561</v>
      </c>
      <c r="J169" t="s">
        <v>5562</v>
      </c>
      <c r="K169" t="s">
        <v>72</v>
      </c>
      <c r="L169" t="s">
        <v>72</v>
      </c>
      <c r="M169" t="s">
        <v>76</v>
      </c>
      <c r="N169" t="s">
        <v>77</v>
      </c>
      <c r="O169" t="s">
        <v>72</v>
      </c>
      <c r="P169" t="s">
        <v>72</v>
      </c>
      <c r="Q169" t="s">
        <v>72</v>
      </c>
      <c r="R169" t="s">
        <v>72</v>
      </c>
      <c r="S169" t="s">
        <v>72</v>
      </c>
      <c r="T169" t="s">
        <v>5563</v>
      </c>
      <c r="U169" t="s">
        <v>5564</v>
      </c>
      <c r="V169" t="s">
        <v>5565</v>
      </c>
      <c r="W169" t="s">
        <v>5566</v>
      </c>
      <c r="X169" t="s">
        <v>5567</v>
      </c>
      <c r="Y169" t="s">
        <v>5568</v>
      </c>
      <c r="Z169" t="s">
        <v>5569</v>
      </c>
      <c r="AA169" t="s">
        <v>72</v>
      </c>
      <c r="AB169" t="s">
        <v>5570</v>
      </c>
      <c r="AC169" t="s">
        <v>5571</v>
      </c>
      <c r="AD169" t="s">
        <v>5572</v>
      </c>
      <c r="AE169" t="s">
        <v>5573</v>
      </c>
      <c r="AF169" t="s">
        <v>72</v>
      </c>
      <c r="AG169">
        <v>56</v>
      </c>
      <c r="AH169">
        <v>1</v>
      </c>
      <c r="AI169">
        <v>1</v>
      </c>
      <c r="AJ169">
        <v>1</v>
      </c>
      <c r="AK169">
        <v>18</v>
      </c>
      <c r="AL169" t="s">
        <v>364</v>
      </c>
      <c r="AM169" t="s">
        <v>365</v>
      </c>
      <c r="AN169" t="s">
        <v>366</v>
      </c>
      <c r="AO169" t="s">
        <v>5574</v>
      </c>
      <c r="AP169" t="s">
        <v>5575</v>
      </c>
      <c r="AQ169" t="s">
        <v>72</v>
      </c>
      <c r="AR169" t="s">
        <v>5576</v>
      </c>
      <c r="AS169" t="s">
        <v>5577</v>
      </c>
      <c r="AT169" t="s">
        <v>5578</v>
      </c>
      <c r="AU169">
        <v>2021</v>
      </c>
      <c r="AV169">
        <v>22</v>
      </c>
      <c r="AW169">
        <v>16</v>
      </c>
      <c r="AX169" t="s">
        <v>72</v>
      </c>
      <c r="AY169" t="s">
        <v>72</v>
      </c>
      <c r="AZ169" t="s">
        <v>72</v>
      </c>
      <c r="BA169" t="s">
        <v>72</v>
      </c>
      <c r="BB169">
        <v>2139</v>
      </c>
      <c r="BC169">
        <v>2154</v>
      </c>
      <c r="BD169" t="s">
        <v>72</v>
      </c>
      <c r="BE169" t="s">
        <v>5579</v>
      </c>
      <c r="BF169" t="str">
        <f>HYPERLINK("http://dx.doi.org/10.1080/1461670X.2021.1987299","http://dx.doi.org/10.1080/1461670X.2021.1987299")</f>
        <v>http://dx.doi.org/10.1080/1461670X.2021.1987299</v>
      </c>
      <c r="BG169" t="s">
        <v>72</v>
      </c>
      <c r="BH169" t="s">
        <v>5580</v>
      </c>
      <c r="BI169">
        <v>16</v>
      </c>
      <c r="BJ169" t="s">
        <v>174</v>
      </c>
      <c r="BK169" t="s">
        <v>174</v>
      </c>
      <c r="BL169" t="s">
        <v>5581</v>
      </c>
      <c r="BM169" t="s">
        <v>72</v>
      </c>
      <c r="BN169" t="s">
        <v>72</v>
      </c>
      <c r="BO169" t="s">
        <v>72</v>
      </c>
      <c r="BP169" t="s">
        <v>72</v>
      </c>
      <c r="BQ169" t="s">
        <v>100</v>
      </c>
      <c r="BR169" t="s">
        <v>5582</v>
      </c>
      <c r="BS169" t="str">
        <f>HYPERLINK("https%3A%2F%2Fwww.webofscience.com%2Fwos%2Fwoscc%2Ffull-record%2FWOS:000705195400001","View Full Record in Web of Science")</f>
        <v>View Full Record in Web of Science</v>
      </c>
    </row>
    <row r="170" spans="1:71" hidden="1" x14ac:dyDescent="0.2">
      <c r="A170" t="s">
        <v>70</v>
      </c>
      <c r="B170" t="s">
        <v>5559</v>
      </c>
      <c r="C170" t="s">
        <v>72</v>
      </c>
      <c r="D170" t="s">
        <v>72</v>
      </c>
      <c r="E170" t="s">
        <v>72</v>
      </c>
      <c r="F170" t="s">
        <v>5560</v>
      </c>
      <c r="G170" t="s">
        <v>72</v>
      </c>
      <c r="H170" t="s">
        <v>72</v>
      </c>
      <c r="I170" t="s">
        <v>5762</v>
      </c>
      <c r="J170" t="s">
        <v>1880</v>
      </c>
      <c r="K170" t="s">
        <v>72</v>
      </c>
      <c r="L170" t="s">
        <v>72</v>
      </c>
      <c r="M170" t="s">
        <v>76</v>
      </c>
      <c r="N170" t="s">
        <v>352</v>
      </c>
      <c r="O170" t="s">
        <v>72</v>
      </c>
      <c r="P170" t="s">
        <v>72</v>
      </c>
      <c r="Q170" t="s">
        <v>72</v>
      </c>
      <c r="R170" t="s">
        <v>72</v>
      </c>
      <c r="S170" t="s">
        <v>72</v>
      </c>
      <c r="T170" t="s">
        <v>5763</v>
      </c>
      <c r="U170" t="s">
        <v>5764</v>
      </c>
      <c r="V170" t="s">
        <v>5765</v>
      </c>
      <c r="W170" t="s">
        <v>5766</v>
      </c>
      <c r="X170" t="s">
        <v>5767</v>
      </c>
      <c r="Y170" t="s">
        <v>5768</v>
      </c>
      <c r="Z170" t="s">
        <v>5569</v>
      </c>
      <c r="AA170" t="s">
        <v>72</v>
      </c>
      <c r="AB170" t="s">
        <v>72</v>
      </c>
      <c r="AC170" t="s">
        <v>72</v>
      </c>
      <c r="AD170" t="s">
        <v>72</v>
      </c>
      <c r="AE170" t="s">
        <v>72</v>
      </c>
      <c r="AF170" t="s">
        <v>72</v>
      </c>
      <c r="AG170">
        <v>48</v>
      </c>
      <c r="AH170">
        <v>0</v>
      </c>
      <c r="AI170">
        <v>0</v>
      </c>
      <c r="AJ170">
        <v>0</v>
      </c>
      <c r="AK170">
        <v>0</v>
      </c>
      <c r="AL170" t="s">
        <v>190</v>
      </c>
      <c r="AM170" t="s">
        <v>191</v>
      </c>
      <c r="AN170" t="s">
        <v>192</v>
      </c>
      <c r="AO170" t="s">
        <v>1891</v>
      </c>
      <c r="AP170" t="s">
        <v>1892</v>
      </c>
      <c r="AQ170" t="s">
        <v>72</v>
      </c>
      <c r="AR170" t="s">
        <v>1880</v>
      </c>
      <c r="AS170" t="s">
        <v>1893</v>
      </c>
      <c r="AT170" t="s">
        <v>72</v>
      </c>
      <c r="AU170" t="s">
        <v>72</v>
      </c>
      <c r="AV170" t="s">
        <v>72</v>
      </c>
      <c r="AW170" t="s">
        <v>72</v>
      </c>
      <c r="AX170" t="s">
        <v>72</v>
      </c>
      <c r="AY170" t="s">
        <v>72</v>
      </c>
      <c r="AZ170" t="s">
        <v>72</v>
      </c>
      <c r="BA170" t="s">
        <v>72</v>
      </c>
      <c r="BB170" t="s">
        <v>72</v>
      </c>
      <c r="BC170" t="s">
        <v>72</v>
      </c>
      <c r="BD170" t="s">
        <v>72</v>
      </c>
      <c r="BE170" t="s">
        <v>5769</v>
      </c>
      <c r="BF170" t="str">
        <f>HYPERLINK("http://dx.doi.org/10.1177/14648849221136946","http://dx.doi.org/10.1177/14648849221136946")</f>
        <v>http://dx.doi.org/10.1177/14648849221136946</v>
      </c>
      <c r="BG170" t="s">
        <v>72</v>
      </c>
      <c r="BH170" t="s">
        <v>2010</v>
      </c>
      <c r="BI170">
        <v>19</v>
      </c>
      <c r="BJ170" t="s">
        <v>174</v>
      </c>
      <c r="BK170" t="s">
        <v>174</v>
      </c>
      <c r="BL170" t="s">
        <v>5770</v>
      </c>
      <c r="BM170" t="s">
        <v>72</v>
      </c>
      <c r="BN170" t="s">
        <v>72</v>
      </c>
      <c r="BO170" t="s">
        <v>72</v>
      </c>
      <c r="BP170" t="s">
        <v>72</v>
      </c>
      <c r="BQ170" t="s">
        <v>100</v>
      </c>
      <c r="BR170" t="s">
        <v>5771</v>
      </c>
      <c r="BS170" t="str">
        <f>HYPERLINK("https%3A%2F%2Fwww.webofscience.com%2Fwos%2Fwoscc%2Ffull-record%2FWOS:000884373200001","View Full Record in Web of Science")</f>
        <v>View Full Record in Web of Science</v>
      </c>
    </row>
    <row r="171" spans="1:71" hidden="1" x14ac:dyDescent="0.2">
      <c r="A171" t="s">
        <v>70</v>
      </c>
      <c r="B171" t="s">
        <v>5912</v>
      </c>
      <c r="C171" t="s">
        <v>72</v>
      </c>
      <c r="D171" t="s">
        <v>72</v>
      </c>
      <c r="E171" t="s">
        <v>72</v>
      </c>
      <c r="F171" t="s">
        <v>5913</v>
      </c>
      <c r="G171" t="s">
        <v>72</v>
      </c>
      <c r="H171" t="s">
        <v>72</v>
      </c>
      <c r="I171" t="s">
        <v>5914</v>
      </c>
      <c r="J171" t="s">
        <v>5915</v>
      </c>
      <c r="K171" t="s">
        <v>72</v>
      </c>
      <c r="L171" t="s">
        <v>72</v>
      </c>
      <c r="M171" t="s">
        <v>76</v>
      </c>
      <c r="N171" t="s">
        <v>77</v>
      </c>
      <c r="O171" t="s">
        <v>72</v>
      </c>
      <c r="P171" t="s">
        <v>72</v>
      </c>
      <c r="Q171" t="s">
        <v>72</v>
      </c>
      <c r="R171" t="s">
        <v>72</v>
      </c>
      <c r="S171" t="s">
        <v>72</v>
      </c>
      <c r="T171" t="s">
        <v>5916</v>
      </c>
      <c r="U171" t="s">
        <v>5917</v>
      </c>
      <c r="V171" t="s">
        <v>5918</v>
      </c>
      <c r="W171" t="s">
        <v>5919</v>
      </c>
      <c r="X171" t="s">
        <v>5920</v>
      </c>
      <c r="Y171" t="s">
        <v>5921</v>
      </c>
      <c r="Z171" t="s">
        <v>5922</v>
      </c>
      <c r="AA171" t="s">
        <v>3180</v>
      </c>
      <c r="AB171" t="s">
        <v>3181</v>
      </c>
      <c r="AC171" t="s">
        <v>72</v>
      </c>
      <c r="AD171" t="s">
        <v>72</v>
      </c>
      <c r="AE171" t="s">
        <v>72</v>
      </c>
      <c r="AF171" t="s">
        <v>72</v>
      </c>
      <c r="AG171">
        <v>88</v>
      </c>
      <c r="AH171">
        <v>15</v>
      </c>
      <c r="AI171">
        <v>15</v>
      </c>
      <c r="AJ171">
        <v>5</v>
      </c>
      <c r="AK171">
        <v>33</v>
      </c>
      <c r="AL171" t="s">
        <v>190</v>
      </c>
      <c r="AM171" t="s">
        <v>191</v>
      </c>
      <c r="AN171" t="s">
        <v>192</v>
      </c>
      <c r="AO171" t="s">
        <v>5923</v>
      </c>
      <c r="AP171" t="s">
        <v>5924</v>
      </c>
      <c r="AQ171" t="s">
        <v>72</v>
      </c>
      <c r="AR171" t="s">
        <v>5925</v>
      </c>
      <c r="AS171" t="s">
        <v>5926</v>
      </c>
      <c r="AT171" t="s">
        <v>776</v>
      </c>
      <c r="AU171">
        <v>2018</v>
      </c>
      <c r="AV171">
        <v>45</v>
      </c>
      <c r="AW171">
        <v>5</v>
      </c>
      <c r="AX171" t="s">
        <v>72</v>
      </c>
      <c r="AY171" t="s">
        <v>72</v>
      </c>
      <c r="AZ171" t="s">
        <v>72</v>
      </c>
      <c r="BA171" t="s">
        <v>72</v>
      </c>
      <c r="BB171">
        <v>688</v>
      </c>
      <c r="BC171">
        <v>718</v>
      </c>
      <c r="BD171" t="s">
        <v>72</v>
      </c>
      <c r="BE171" t="s">
        <v>5927</v>
      </c>
      <c r="BF171" t="str">
        <f>HYPERLINK("http://dx.doi.org/10.1177/0093650217719177","http://dx.doi.org/10.1177/0093650217719177")</f>
        <v>http://dx.doi.org/10.1177/0093650217719177</v>
      </c>
      <c r="BG171" t="s">
        <v>72</v>
      </c>
      <c r="BH171" t="s">
        <v>72</v>
      </c>
      <c r="BI171">
        <v>31</v>
      </c>
      <c r="BJ171" t="s">
        <v>174</v>
      </c>
      <c r="BK171" t="s">
        <v>174</v>
      </c>
      <c r="BL171" t="s">
        <v>5928</v>
      </c>
      <c r="BM171" t="s">
        <v>72</v>
      </c>
      <c r="BN171" t="s">
        <v>72</v>
      </c>
      <c r="BO171" t="s">
        <v>72</v>
      </c>
      <c r="BP171" t="s">
        <v>72</v>
      </c>
      <c r="BQ171" t="s">
        <v>100</v>
      </c>
      <c r="BR171" t="s">
        <v>5929</v>
      </c>
      <c r="BS171" t="str">
        <f>HYPERLINK("https%3A%2F%2Fwww.webofscience.com%2Fwos%2Fwoscc%2Ffull-record%2FWOS:000436024100003","View Full Record in Web of Science")</f>
        <v>View Full Record in Web of Science</v>
      </c>
    </row>
    <row r="172" spans="1:71" hidden="1" x14ac:dyDescent="0.2">
      <c r="A172" t="s">
        <v>70</v>
      </c>
      <c r="B172" t="s">
        <v>6103</v>
      </c>
      <c r="C172" t="s">
        <v>72</v>
      </c>
      <c r="D172" t="s">
        <v>72</v>
      </c>
      <c r="E172" t="s">
        <v>72</v>
      </c>
      <c r="F172" t="s">
        <v>6104</v>
      </c>
      <c r="G172" t="s">
        <v>72</v>
      </c>
      <c r="H172" t="s">
        <v>72</v>
      </c>
      <c r="I172" t="s">
        <v>6105</v>
      </c>
      <c r="J172" t="s">
        <v>3086</v>
      </c>
      <c r="K172" t="s">
        <v>72</v>
      </c>
      <c r="L172" t="s">
        <v>72</v>
      </c>
      <c r="M172" t="s">
        <v>76</v>
      </c>
      <c r="N172" t="s">
        <v>77</v>
      </c>
      <c r="O172" t="s">
        <v>72</v>
      </c>
      <c r="P172" t="s">
        <v>72</v>
      </c>
      <c r="Q172" t="s">
        <v>72</v>
      </c>
      <c r="R172" t="s">
        <v>72</v>
      </c>
      <c r="S172" t="s">
        <v>72</v>
      </c>
      <c r="T172" t="s">
        <v>6106</v>
      </c>
      <c r="U172" t="s">
        <v>72</v>
      </c>
      <c r="V172" t="s">
        <v>6107</v>
      </c>
      <c r="W172" t="s">
        <v>6108</v>
      </c>
      <c r="X172" t="s">
        <v>6109</v>
      </c>
      <c r="Y172" t="s">
        <v>6110</v>
      </c>
      <c r="Z172" t="s">
        <v>6111</v>
      </c>
      <c r="AA172" t="s">
        <v>6112</v>
      </c>
      <c r="AB172" t="s">
        <v>6113</v>
      </c>
      <c r="AC172" t="s">
        <v>6114</v>
      </c>
      <c r="AD172" t="s">
        <v>6115</v>
      </c>
      <c r="AE172" t="s">
        <v>6116</v>
      </c>
      <c r="AF172" t="s">
        <v>72</v>
      </c>
      <c r="AG172">
        <v>84</v>
      </c>
      <c r="AH172">
        <v>38</v>
      </c>
      <c r="AI172">
        <v>38</v>
      </c>
      <c r="AJ172">
        <v>32</v>
      </c>
      <c r="AK172">
        <v>59</v>
      </c>
      <c r="AL172" t="s">
        <v>364</v>
      </c>
      <c r="AM172" t="s">
        <v>365</v>
      </c>
      <c r="AN172" t="s">
        <v>366</v>
      </c>
      <c r="AO172" t="s">
        <v>3096</v>
      </c>
      <c r="AP172" t="s">
        <v>3097</v>
      </c>
      <c r="AQ172" t="s">
        <v>72</v>
      </c>
      <c r="AR172" t="s">
        <v>3098</v>
      </c>
      <c r="AS172" t="s">
        <v>3099</v>
      </c>
      <c r="AT172" t="s">
        <v>5039</v>
      </c>
      <c r="AU172">
        <v>2021</v>
      </c>
      <c r="AV172">
        <v>15</v>
      </c>
      <c r="AW172">
        <v>2</v>
      </c>
      <c r="AX172" t="s">
        <v>72</v>
      </c>
      <c r="AY172" t="s">
        <v>72</v>
      </c>
      <c r="AZ172" t="s">
        <v>72</v>
      </c>
      <c r="BA172" t="s">
        <v>72</v>
      </c>
      <c r="BB172">
        <v>121</v>
      </c>
      <c r="BC172">
        <v>140</v>
      </c>
      <c r="BD172" t="s">
        <v>72</v>
      </c>
      <c r="BE172" t="s">
        <v>6117</v>
      </c>
      <c r="BF172" t="str">
        <f>HYPERLINK("http://dx.doi.org/10.1080/19312458.2020.1869198","http://dx.doi.org/10.1080/19312458.2020.1869198")</f>
        <v>http://dx.doi.org/10.1080/19312458.2020.1869198</v>
      </c>
      <c r="BG172" t="s">
        <v>72</v>
      </c>
      <c r="BH172" t="s">
        <v>3201</v>
      </c>
      <c r="BI172">
        <v>20</v>
      </c>
      <c r="BJ172" t="s">
        <v>174</v>
      </c>
      <c r="BK172" t="s">
        <v>174</v>
      </c>
      <c r="BL172" t="s">
        <v>6118</v>
      </c>
      <c r="BM172" t="s">
        <v>72</v>
      </c>
      <c r="BN172" t="s">
        <v>346</v>
      </c>
      <c r="BO172" t="s">
        <v>72</v>
      </c>
      <c r="BP172" t="s">
        <v>72</v>
      </c>
      <c r="BQ172" t="s">
        <v>100</v>
      </c>
      <c r="BR172" t="s">
        <v>6119</v>
      </c>
      <c r="BS172" t="str">
        <f>HYPERLINK("https%3A%2F%2Fwww.webofscience.com%2Fwos%2Fwoscc%2Ffull-record%2FWOS:000614541400001","View Full Record in Web of Science")</f>
        <v>View Full Record in Web of Science</v>
      </c>
    </row>
    <row r="173" spans="1:71" hidden="1" x14ac:dyDescent="0.2">
      <c r="A173" t="s">
        <v>70</v>
      </c>
      <c r="B173" t="s">
        <v>3170</v>
      </c>
      <c r="C173" t="s">
        <v>72</v>
      </c>
      <c r="D173" t="s">
        <v>72</v>
      </c>
      <c r="E173" t="s">
        <v>72</v>
      </c>
      <c r="F173" t="s">
        <v>3171</v>
      </c>
      <c r="G173" t="s">
        <v>72</v>
      </c>
      <c r="H173" t="s">
        <v>72</v>
      </c>
      <c r="I173" t="s">
        <v>6313</v>
      </c>
      <c r="J173" t="s">
        <v>6314</v>
      </c>
      <c r="K173" t="s">
        <v>72</v>
      </c>
      <c r="L173" t="s">
        <v>72</v>
      </c>
      <c r="M173" t="s">
        <v>76</v>
      </c>
      <c r="N173" t="s">
        <v>77</v>
      </c>
      <c r="O173" t="s">
        <v>72</v>
      </c>
      <c r="P173" t="s">
        <v>72</v>
      </c>
      <c r="Q173" t="s">
        <v>72</v>
      </c>
      <c r="R173" t="s">
        <v>72</v>
      </c>
      <c r="S173" t="s">
        <v>72</v>
      </c>
      <c r="T173" t="s">
        <v>6315</v>
      </c>
      <c r="U173" t="s">
        <v>6316</v>
      </c>
      <c r="V173" t="s">
        <v>6317</v>
      </c>
      <c r="W173" t="s">
        <v>6007</v>
      </c>
      <c r="X173" t="s">
        <v>3196</v>
      </c>
      <c r="Y173" t="s">
        <v>5637</v>
      </c>
      <c r="Z173" t="s">
        <v>3198</v>
      </c>
      <c r="AA173" t="s">
        <v>72</v>
      </c>
      <c r="AB173" t="s">
        <v>72</v>
      </c>
      <c r="AC173" t="s">
        <v>72</v>
      </c>
      <c r="AD173" t="s">
        <v>72</v>
      </c>
      <c r="AE173" t="s">
        <v>72</v>
      </c>
      <c r="AF173" t="s">
        <v>72</v>
      </c>
      <c r="AG173">
        <v>56</v>
      </c>
      <c r="AH173">
        <v>7</v>
      </c>
      <c r="AI173">
        <v>7</v>
      </c>
      <c r="AJ173">
        <v>0</v>
      </c>
      <c r="AK173">
        <v>1</v>
      </c>
      <c r="AL173" t="s">
        <v>901</v>
      </c>
      <c r="AM173" t="s">
        <v>902</v>
      </c>
      <c r="AN173" t="s">
        <v>903</v>
      </c>
      <c r="AO173" t="s">
        <v>72</v>
      </c>
      <c r="AP173" t="s">
        <v>6318</v>
      </c>
      <c r="AQ173" t="s">
        <v>72</v>
      </c>
      <c r="AR173" t="s">
        <v>6319</v>
      </c>
      <c r="AS173" t="s">
        <v>6320</v>
      </c>
      <c r="AT173" t="s">
        <v>6321</v>
      </c>
      <c r="AU173">
        <v>2021</v>
      </c>
      <c r="AV173">
        <v>6</v>
      </c>
      <c r="AW173" t="s">
        <v>72</v>
      </c>
      <c r="AX173" t="s">
        <v>72</v>
      </c>
      <c r="AY173" t="s">
        <v>72</v>
      </c>
      <c r="AZ173" t="s">
        <v>72</v>
      </c>
      <c r="BA173" t="s">
        <v>72</v>
      </c>
      <c r="BB173" t="s">
        <v>72</v>
      </c>
      <c r="BC173" t="s">
        <v>72</v>
      </c>
      <c r="BD173">
        <v>588823</v>
      </c>
      <c r="BE173" t="s">
        <v>6322</v>
      </c>
      <c r="BF173" t="str">
        <f>HYPERLINK("http://dx.doi.org/10.3389/fcomm.2021.588823","http://dx.doi.org/10.3389/fcomm.2021.588823")</f>
        <v>http://dx.doi.org/10.3389/fcomm.2021.588823</v>
      </c>
      <c r="BG173" t="s">
        <v>72</v>
      </c>
      <c r="BH173" t="s">
        <v>72</v>
      </c>
      <c r="BI173">
        <v>11</v>
      </c>
      <c r="BJ173" t="s">
        <v>174</v>
      </c>
      <c r="BK173" t="s">
        <v>174</v>
      </c>
      <c r="BL173" t="s">
        <v>6323</v>
      </c>
      <c r="BM173" t="s">
        <v>72</v>
      </c>
      <c r="BN173" t="s">
        <v>6324</v>
      </c>
      <c r="BO173" t="s">
        <v>72</v>
      </c>
      <c r="BP173" t="s">
        <v>72</v>
      </c>
      <c r="BQ173" t="s">
        <v>100</v>
      </c>
      <c r="BR173" t="s">
        <v>6325</v>
      </c>
      <c r="BS173" t="str">
        <f>HYPERLINK("https%3A%2F%2Fwww.webofscience.com%2Fwos%2Fwoscc%2Ffull-record%2FWOS:000678063400001","View Full Record in Web of Science")</f>
        <v>View Full Record in Web of Science</v>
      </c>
    </row>
    <row r="174" spans="1:71" hidden="1" x14ac:dyDescent="0.2">
      <c r="A174" t="s">
        <v>70</v>
      </c>
      <c r="B174" t="s">
        <v>6783</v>
      </c>
      <c r="C174" t="s">
        <v>72</v>
      </c>
      <c r="D174" t="s">
        <v>72</v>
      </c>
      <c r="E174" t="s">
        <v>72</v>
      </c>
      <c r="F174" t="s">
        <v>6784</v>
      </c>
      <c r="G174" t="s">
        <v>72</v>
      </c>
      <c r="H174" t="s">
        <v>72</v>
      </c>
      <c r="I174" t="s">
        <v>6785</v>
      </c>
      <c r="J174" t="s">
        <v>6786</v>
      </c>
      <c r="K174" t="s">
        <v>72</v>
      </c>
      <c r="L174" t="s">
        <v>72</v>
      </c>
      <c r="M174" t="s">
        <v>76</v>
      </c>
      <c r="N174" t="s">
        <v>77</v>
      </c>
      <c r="O174" t="s">
        <v>72</v>
      </c>
      <c r="P174" t="s">
        <v>72</v>
      </c>
      <c r="Q174" t="s">
        <v>72</v>
      </c>
      <c r="R174" t="s">
        <v>72</v>
      </c>
      <c r="S174" t="s">
        <v>72</v>
      </c>
      <c r="T174" t="s">
        <v>6787</v>
      </c>
      <c r="U174" t="s">
        <v>6788</v>
      </c>
      <c r="V174" t="s">
        <v>6789</v>
      </c>
      <c r="W174" t="s">
        <v>6790</v>
      </c>
      <c r="X174" t="s">
        <v>6791</v>
      </c>
      <c r="Y174" t="s">
        <v>6792</v>
      </c>
      <c r="Z174" t="s">
        <v>6793</v>
      </c>
      <c r="AA174" t="s">
        <v>72</v>
      </c>
      <c r="AB174" t="s">
        <v>6794</v>
      </c>
      <c r="AC174" t="s">
        <v>72</v>
      </c>
      <c r="AD174" t="s">
        <v>72</v>
      </c>
      <c r="AE174" t="s">
        <v>72</v>
      </c>
      <c r="AF174" t="s">
        <v>72</v>
      </c>
      <c r="AG174">
        <v>52</v>
      </c>
      <c r="AH174">
        <v>61</v>
      </c>
      <c r="AI174">
        <v>62</v>
      </c>
      <c r="AJ174">
        <v>8</v>
      </c>
      <c r="AK174">
        <v>79</v>
      </c>
      <c r="AL174" t="s">
        <v>1596</v>
      </c>
      <c r="AM174" t="s">
        <v>451</v>
      </c>
      <c r="AN174" t="s">
        <v>1597</v>
      </c>
      <c r="AO174" t="s">
        <v>6795</v>
      </c>
      <c r="AP174" t="s">
        <v>6796</v>
      </c>
      <c r="AQ174" t="s">
        <v>72</v>
      </c>
      <c r="AR174" t="s">
        <v>6797</v>
      </c>
      <c r="AS174" t="s">
        <v>6798</v>
      </c>
      <c r="AT174" t="s">
        <v>95</v>
      </c>
      <c r="AU174">
        <v>2016</v>
      </c>
      <c r="AV174">
        <v>13</v>
      </c>
      <c r="AW174" t="s">
        <v>72</v>
      </c>
      <c r="AX174" t="s">
        <v>561</v>
      </c>
      <c r="AY174" t="s">
        <v>72</v>
      </c>
      <c r="AZ174" t="s">
        <v>72</v>
      </c>
      <c r="BA174" t="s">
        <v>72</v>
      </c>
      <c r="BB174">
        <v>132</v>
      </c>
      <c r="BC174">
        <v>142</v>
      </c>
      <c r="BD174" t="s">
        <v>72</v>
      </c>
      <c r="BE174" t="s">
        <v>6799</v>
      </c>
      <c r="BF174" t="str">
        <f>HYPERLINK("http://dx.doi.org/10.1016/j.dcm.2016.04.003","http://dx.doi.org/10.1016/j.dcm.2016.04.003")</f>
        <v>http://dx.doi.org/10.1016/j.dcm.2016.04.003</v>
      </c>
      <c r="BG174" t="s">
        <v>72</v>
      </c>
      <c r="BH174" t="s">
        <v>72</v>
      </c>
      <c r="BI174">
        <v>11</v>
      </c>
      <c r="BJ174" t="s">
        <v>174</v>
      </c>
      <c r="BK174" t="s">
        <v>174</v>
      </c>
      <c r="BL174" t="s">
        <v>6800</v>
      </c>
      <c r="BM174" t="s">
        <v>72</v>
      </c>
      <c r="BN174" t="s">
        <v>346</v>
      </c>
      <c r="BO174" t="s">
        <v>72</v>
      </c>
      <c r="BP174" t="s">
        <v>72</v>
      </c>
      <c r="BQ174" t="s">
        <v>100</v>
      </c>
      <c r="BR174" t="s">
        <v>6801</v>
      </c>
      <c r="BS174" t="str">
        <f>HYPERLINK("https%3A%2F%2Fwww.webofscience.com%2Fwos%2Fwoscc%2Ffull-record%2FWOS:000386318900008","View Full Record in Web of Science")</f>
        <v>View Full Record in Web of Science</v>
      </c>
    </row>
    <row r="175" spans="1:71" hidden="1" x14ac:dyDescent="0.2">
      <c r="A175" t="s">
        <v>70</v>
      </c>
      <c r="B175" t="s">
        <v>6881</v>
      </c>
      <c r="C175" t="s">
        <v>72</v>
      </c>
      <c r="D175" t="s">
        <v>72</v>
      </c>
      <c r="E175" t="s">
        <v>72</v>
      </c>
      <c r="F175" t="s">
        <v>6882</v>
      </c>
      <c r="G175" t="s">
        <v>72</v>
      </c>
      <c r="H175" t="s">
        <v>72</v>
      </c>
      <c r="I175" t="s">
        <v>6883</v>
      </c>
      <c r="J175" t="s">
        <v>1670</v>
      </c>
      <c r="K175" t="s">
        <v>72</v>
      </c>
      <c r="L175" t="s">
        <v>72</v>
      </c>
      <c r="M175" t="s">
        <v>76</v>
      </c>
      <c r="N175" t="s">
        <v>352</v>
      </c>
      <c r="O175" t="s">
        <v>72</v>
      </c>
      <c r="P175" t="s">
        <v>72</v>
      </c>
      <c r="Q175" t="s">
        <v>72</v>
      </c>
      <c r="R175" t="s">
        <v>72</v>
      </c>
      <c r="S175" t="s">
        <v>72</v>
      </c>
      <c r="T175" t="s">
        <v>6884</v>
      </c>
      <c r="U175" t="s">
        <v>6885</v>
      </c>
      <c r="V175" t="s">
        <v>6886</v>
      </c>
      <c r="W175" t="s">
        <v>6887</v>
      </c>
      <c r="X175" t="s">
        <v>6888</v>
      </c>
      <c r="Y175" t="s">
        <v>6889</v>
      </c>
      <c r="Z175" t="s">
        <v>5844</v>
      </c>
      <c r="AA175" t="s">
        <v>72</v>
      </c>
      <c r="AB175" t="s">
        <v>6890</v>
      </c>
      <c r="AC175" t="s">
        <v>72</v>
      </c>
      <c r="AD175" t="s">
        <v>72</v>
      </c>
      <c r="AE175" t="s">
        <v>72</v>
      </c>
      <c r="AF175" t="s">
        <v>72</v>
      </c>
      <c r="AG175">
        <v>78</v>
      </c>
      <c r="AH175">
        <v>0</v>
      </c>
      <c r="AI175">
        <v>0</v>
      </c>
      <c r="AJ175">
        <v>18</v>
      </c>
      <c r="AK175">
        <v>18</v>
      </c>
      <c r="AL175" t="s">
        <v>336</v>
      </c>
      <c r="AM175" t="s">
        <v>337</v>
      </c>
      <c r="AN175" t="s">
        <v>338</v>
      </c>
      <c r="AO175" t="s">
        <v>1681</v>
      </c>
      <c r="AP175" t="s">
        <v>1682</v>
      </c>
      <c r="AQ175" t="s">
        <v>72</v>
      </c>
      <c r="AR175" t="s">
        <v>1683</v>
      </c>
      <c r="AS175" t="s">
        <v>1684</v>
      </c>
      <c r="AT175" t="s">
        <v>72</v>
      </c>
      <c r="AU175" t="s">
        <v>72</v>
      </c>
      <c r="AV175" t="s">
        <v>72</v>
      </c>
      <c r="AW175" t="s">
        <v>72</v>
      </c>
      <c r="AX175" t="s">
        <v>72</v>
      </c>
      <c r="AY175" t="s">
        <v>72</v>
      </c>
      <c r="AZ175" t="s">
        <v>72</v>
      </c>
      <c r="BA175" t="s">
        <v>72</v>
      </c>
      <c r="BB175" t="s">
        <v>72</v>
      </c>
      <c r="BC175" t="s">
        <v>72</v>
      </c>
      <c r="BD175" t="s">
        <v>72</v>
      </c>
      <c r="BE175" t="s">
        <v>6891</v>
      </c>
      <c r="BF175" t="str">
        <f>HYPERLINK("http://dx.doi.org/10.1177/14614448221105877","http://dx.doi.org/10.1177/14614448221105877")</f>
        <v>http://dx.doi.org/10.1177/14614448221105877</v>
      </c>
      <c r="BG175" t="s">
        <v>72</v>
      </c>
      <c r="BH175" t="s">
        <v>372</v>
      </c>
      <c r="BI175">
        <v>22</v>
      </c>
      <c r="BJ175" t="s">
        <v>174</v>
      </c>
      <c r="BK175" t="s">
        <v>174</v>
      </c>
      <c r="BL175" t="s">
        <v>6892</v>
      </c>
      <c r="BM175" t="s">
        <v>72</v>
      </c>
      <c r="BN175" t="s">
        <v>72</v>
      </c>
      <c r="BO175" t="s">
        <v>72</v>
      </c>
      <c r="BP175" t="s">
        <v>72</v>
      </c>
      <c r="BQ175" t="s">
        <v>100</v>
      </c>
      <c r="BR175" t="s">
        <v>6893</v>
      </c>
      <c r="BS175" t="str">
        <f>HYPERLINK("https%3A%2F%2Fwww.webofscience.com%2Fwos%2Fwoscc%2Ffull-record%2FWOS:000824782400001","View Full Record in Web of Science")</f>
        <v>View Full Record in Web of Science</v>
      </c>
    </row>
    <row r="176" spans="1:71" hidden="1" x14ac:dyDescent="0.2">
      <c r="A176" t="s">
        <v>70</v>
      </c>
      <c r="B176" t="s">
        <v>3170</v>
      </c>
      <c r="C176" t="s">
        <v>72</v>
      </c>
      <c r="D176" t="s">
        <v>72</v>
      </c>
      <c r="E176" t="s">
        <v>72</v>
      </c>
      <c r="F176" t="s">
        <v>3171</v>
      </c>
      <c r="G176" t="s">
        <v>72</v>
      </c>
      <c r="H176" t="s">
        <v>72</v>
      </c>
      <c r="I176" t="s">
        <v>7096</v>
      </c>
      <c r="J176" t="s">
        <v>5915</v>
      </c>
      <c r="K176" t="s">
        <v>72</v>
      </c>
      <c r="L176" t="s">
        <v>72</v>
      </c>
      <c r="M176" t="s">
        <v>76</v>
      </c>
      <c r="N176" t="s">
        <v>352</v>
      </c>
      <c r="O176" t="s">
        <v>72</v>
      </c>
      <c r="P176" t="s">
        <v>72</v>
      </c>
      <c r="Q176" t="s">
        <v>72</v>
      </c>
      <c r="R176" t="s">
        <v>72</v>
      </c>
      <c r="S176" t="s">
        <v>72</v>
      </c>
      <c r="T176" t="s">
        <v>7097</v>
      </c>
      <c r="U176" t="s">
        <v>7098</v>
      </c>
      <c r="V176" t="s">
        <v>7099</v>
      </c>
      <c r="W176" t="s">
        <v>7100</v>
      </c>
      <c r="X176" t="s">
        <v>3196</v>
      </c>
      <c r="Y176" t="s">
        <v>3197</v>
      </c>
      <c r="Z176" t="s">
        <v>3198</v>
      </c>
      <c r="AA176" t="s">
        <v>72</v>
      </c>
      <c r="AB176" t="s">
        <v>3181</v>
      </c>
      <c r="AC176" t="s">
        <v>72</v>
      </c>
      <c r="AD176" t="s">
        <v>72</v>
      </c>
      <c r="AE176" t="s">
        <v>72</v>
      </c>
      <c r="AF176" t="s">
        <v>72</v>
      </c>
      <c r="AG176">
        <v>52</v>
      </c>
      <c r="AH176">
        <v>2</v>
      </c>
      <c r="AI176">
        <v>1</v>
      </c>
      <c r="AJ176">
        <v>4</v>
      </c>
      <c r="AK176">
        <v>4</v>
      </c>
      <c r="AL176" t="s">
        <v>190</v>
      </c>
      <c r="AM176" t="s">
        <v>191</v>
      </c>
      <c r="AN176" t="s">
        <v>192</v>
      </c>
      <c r="AO176" t="s">
        <v>5923</v>
      </c>
      <c r="AP176" t="s">
        <v>5924</v>
      </c>
      <c r="AQ176" t="s">
        <v>72</v>
      </c>
      <c r="AR176" t="s">
        <v>5925</v>
      </c>
      <c r="AS176" t="s">
        <v>5926</v>
      </c>
      <c r="AT176" t="s">
        <v>72</v>
      </c>
      <c r="AU176" t="s">
        <v>72</v>
      </c>
      <c r="AV176" t="s">
        <v>72</v>
      </c>
      <c r="AW176" t="s">
        <v>72</v>
      </c>
      <c r="AX176" t="s">
        <v>72</v>
      </c>
      <c r="AY176" t="s">
        <v>72</v>
      </c>
      <c r="AZ176" t="s">
        <v>72</v>
      </c>
      <c r="BA176" t="s">
        <v>72</v>
      </c>
      <c r="BB176" t="s">
        <v>72</v>
      </c>
      <c r="BC176" t="s">
        <v>72</v>
      </c>
      <c r="BD176" t="s">
        <v>72</v>
      </c>
      <c r="BE176" t="s">
        <v>7101</v>
      </c>
      <c r="BF176" t="str">
        <f>HYPERLINK("http://dx.doi.org/10.1177/00936502221097041","http://dx.doi.org/10.1177/00936502221097041")</f>
        <v>http://dx.doi.org/10.1177/00936502221097041</v>
      </c>
      <c r="BG176" t="s">
        <v>72</v>
      </c>
      <c r="BH176" t="s">
        <v>372</v>
      </c>
      <c r="BI176">
        <v>26</v>
      </c>
      <c r="BJ176" t="s">
        <v>174</v>
      </c>
      <c r="BK176" t="s">
        <v>174</v>
      </c>
      <c r="BL176" t="s">
        <v>7102</v>
      </c>
      <c r="BM176" t="s">
        <v>72</v>
      </c>
      <c r="BN176" t="s">
        <v>251</v>
      </c>
      <c r="BO176" t="s">
        <v>72</v>
      </c>
      <c r="BP176" t="s">
        <v>72</v>
      </c>
      <c r="BQ176" t="s">
        <v>100</v>
      </c>
      <c r="BR176" t="s">
        <v>7103</v>
      </c>
      <c r="BS176" t="str">
        <f>HYPERLINK("https%3A%2F%2Fwww.webofscience.com%2Fwos%2Fwoscc%2Ffull-record%2FWOS:000822319400001","View Full Record in Web of Science")</f>
        <v>View Full Record in Web of Science</v>
      </c>
    </row>
    <row r="177" spans="1:71" hidden="1" x14ac:dyDescent="0.2">
      <c r="A177" t="s">
        <v>70</v>
      </c>
      <c r="B177" t="s">
        <v>7285</v>
      </c>
      <c r="C177" t="s">
        <v>72</v>
      </c>
      <c r="D177" t="s">
        <v>72</v>
      </c>
      <c r="E177" t="s">
        <v>72</v>
      </c>
      <c r="F177" t="s">
        <v>7286</v>
      </c>
      <c r="G177" t="s">
        <v>72</v>
      </c>
      <c r="H177" t="s">
        <v>72</v>
      </c>
      <c r="I177" t="s">
        <v>7287</v>
      </c>
      <c r="J177" t="s">
        <v>584</v>
      </c>
      <c r="K177" t="s">
        <v>72</v>
      </c>
      <c r="L177" t="s">
        <v>72</v>
      </c>
      <c r="M177" t="s">
        <v>76</v>
      </c>
      <c r="N177" t="s">
        <v>77</v>
      </c>
      <c r="O177" t="s">
        <v>72</v>
      </c>
      <c r="P177" t="s">
        <v>72</v>
      </c>
      <c r="Q177" t="s">
        <v>72</v>
      </c>
      <c r="R177" t="s">
        <v>72</v>
      </c>
      <c r="S177" t="s">
        <v>72</v>
      </c>
      <c r="T177" t="s">
        <v>7288</v>
      </c>
      <c r="U177" t="s">
        <v>7289</v>
      </c>
      <c r="V177" t="s">
        <v>7290</v>
      </c>
      <c r="W177" t="s">
        <v>7291</v>
      </c>
      <c r="X177" t="s">
        <v>1983</v>
      </c>
      <c r="Y177" t="s">
        <v>7292</v>
      </c>
      <c r="Z177" t="s">
        <v>7293</v>
      </c>
      <c r="AA177" t="s">
        <v>72</v>
      </c>
      <c r="AB177" t="s">
        <v>7294</v>
      </c>
      <c r="AC177" t="s">
        <v>7295</v>
      </c>
      <c r="AD177" t="s">
        <v>7296</v>
      </c>
      <c r="AE177" t="s">
        <v>7297</v>
      </c>
      <c r="AF177" t="s">
        <v>72</v>
      </c>
      <c r="AG177">
        <v>29</v>
      </c>
      <c r="AH177">
        <v>7</v>
      </c>
      <c r="AI177">
        <v>7</v>
      </c>
      <c r="AJ177">
        <v>0</v>
      </c>
      <c r="AK177">
        <v>2</v>
      </c>
      <c r="AL177" t="s">
        <v>594</v>
      </c>
      <c r="AM177" t="s">
        <v>595</v>
      </c>
      <c r="AN177" t="s">
        <v>596</v>
      </c>
      <c r="AO177" t="s">
        <v>597</v>
      </c>
      <c r="AP177" t="s">
        <v>72</v>
      </c>
      <c r="AQ177" t="s">
        <v>72</v>
      </c>
      <c r="AR177" t="s">
        <v>598</v>
      </c>
      <c r="AS177" t="s">
        <v>599</v>
      </c>
      <c r="AT177" t="s">
        <v>72</v>
      </c>
      <c r="AU177">
        <v>2019</v>
      </c>
      <c r="AV177">
        <v>13</v>
      </c>
      <c r="AW177" t="s">
        <v>72</v>
      </c>
      <c r="AX177" t="s">
        <v>72</v>
      </c>
      <c r="AY177" t="s">
        <v>72</v>
      </c>
      <c r="AZ177" t="s">
        <v>72</v>
      </c>
      <c r="BA177" t="s">
        <v>72</v>
      </c>
      <c r="BB177">
        <v>4173</v>
      </c>
      <c r="BC177">
        <v>4197</v>
      </c>
      <c r="BD177" t="s">
        <v>72</v>
      </c>
      <c r="BE177" t="s">
        <v>72</v>
      </c>
      <c r="BF177" t="s">
        <v>72</v>
      </c>
      <c r="BG177" t="s">
        <v>72</v>
      </c>
      <c r="BH177" t="s">
        <v>72</v>
      </c>
      <c r="BI177">
        <v>25</v>
      </c>
      <c r="BJ177" t="s">
        <v>174</v>
      </c>
      <c r="BK177" t="s">
        <v>174</v>
      </c>
      <c r="BL177" t="s">
        <v>7298</v>
      </c>
      <c r="BM177" t="s">
        <v>72</v>
      </c>
      <c r="BN177" t="s">
        <v>72</v>
      </c>
      <c r="BO177" t="s">
        <v>72</v>
      </c>
      <c r="BP177" t="s">
        <v>72</v>
      </c>
      <c r="BQ177" t="s">
        <v>100</v>
      </c>
      <c r="BR177" t="s">
        <v>7299</v>
      </c>
      <c r="BS177" t="str">
        <f>HYPERLINK("https%3A%2F%2Fwww.webofscience.com%2Fwos%2Fwoscc%2Ffull-record%2FWOS:000488766000017","View Full Record in Web of Science")</f>
        <v>View Full Record in Web of Science</v>
      </c>
    </row>
    <row r="178" spans="1:71" hidden="1" x14ac:dyDescent="0.2">
      <c r="A178" t="s">
        <v>70</v>
      </c>
      <c r="B178" t="s">
        <v>7316</v>
      </c>
      <c r="C178" t="s">
        <v>72</v>
      </c>
      <c r="D178" t="s">
        <v>72</v>
      </c>
      <c r="E178" t="s">
        <v>72</v>
      </c>
      <c r="F178" t="s">
        <v>7317</v>
      </c>
      <c r="G178" t="s">
        <v>72</v>
      </c>
      <c r="H178" t="s">
        <v>72</v>
      </c>
      <c r="I178" t="s">
        <v>7318</v>
      </c>
      <c r="J178" t="s">
        <v>7319</v>
      </c>
      <c r="K178" t="s">
        <v>72</v>
      </c>
      <c r="L178" t="s">
        <v>72</v>
      </c>
      <c r="M178" t="s">
        <v>76</v>
      </c>
      <c r="N178" t="s">
        <v>77</v>
      </c>
      <c r="O178" t="s">
        <v>72</v>
      </c>
      <c r="P178" t="s">
        <v>72</v>
      </c>
      <c r="Q178" t="s">
        <v>72</v>
      </c>
      <c r="R178" t="s">
        <v>72</v>
      </c>
      <c r="S178" t="s">
        <v>72</v>
      </c>
      <c r="T178" t="s">
        <v>7320</v>
      </c>
      <c r="U178" t="s">
        <v>7321</v>
      </c>
      <c r="V178" t="s">
        <v>7322</v>
      </c>
      <c r="W178" t="s">
        <v>7323</v>
      </c>
      <c r="X178" t="s">
        <v>7324</v>
      </c>
      <c r="Y178" t="s">
        <v>7325</v>
      </c>
      <c r="Z178" t="s">
        <v>7326</v>
      </c>
      <c r="AA178" t="s">
        <v>72</v>
      </c>
      <c r="AB178" t="s">
        <v>1888</v>
      </c>
      <c r="AC178" t="s">
        <v>72</v>
      </c>
      <c r="AD178" t="s">
        <v>72</v>
      </c>
      <c r="AE178" t="s">
        <v>72</v>
      </c>
      <c r="AF178" t="s">
        <v>72</v>
      </c>
      <c r="AG178">
        <v>60</v>
      </c>
      <c r="AH178">
        <v>3</v>
      </c>
      <c r="AI178">
        <v>3</v>
      </c>
      <c r="AJ178">
        <v>4</v>
      </c>
      <c r="AK178">
        <v>16</v>
      </c>
      <c r="AL178" t="s">
        <v>190</v>
      </c>
      <c r="AM178" t="s">
        <v>191</v>
      </c>
      <c r="AN178" t="s">
        <v>192</v>
      </c>
      <c r="AO178" t="s">
        <v>7327</v>
      </c>
      <c r="AP178" t="s">
        <v>7328</v>
      </c>
      <c r="AQ178" t="s">
        <v>72</v>
      </c>
      <c r="AR178" t="s">
        <v>7329</v>
      </c>
      <c r="AS178" t="s">
        <v>7330</v>
      </c>
      <c r="AT178" t="s">
        <v>299</v>
      </c>
      <c r="AU178">
        <v>2021</v>
      </c>
      <c r="AV178">
        <v>98</v>
      </c>
      <c r="AW178">
        <v>2</v>
      </c>
      <c r="AX178" t="s">
        <v>72</v>
      </c>
      <c r="AY178" t="s">
        <v>72</v>
      </c>
      <c r="AZ178" t="s">
        <v>72</v>
      </c>
      <c r="BA178" t="s">
        <v>72</v>
      </c>
      <c r="BB178">
        <v>451</v>
      </c>
      <c r="BC178">
        <v>477</v>
      </c>
      <c r="BD178">
        <v>1077699020932304</v>
      </c>
      <c r="BE178" t="s">
        <v>7331</v>
      </c>
      <c r="BF178" t="str">
        <f>HYPERLINK("http://dx.doi.org/10.1177/1077699020932304","http://dx.doi.org/10.1177/1077699020932304")</f>
        <v>http://dx.doi.org/10.1177/1077699020932304</v>
      </c>
      <c r="BG178" t="s">
        <v>72</v>
      </c>
      <c r="BH178" t="s">
        <v>480</v>
      </c>
      <c r="BI178">
        <v>27</v>
      </c>
      <c r="BJ178" t="s">
        <v>174</v>
      </c>
      <c r="BK178" t="s">
        <v>174</v>
      </c>
      <c r="BL178" t="s">
        <v>7332</v>
      </c>
      <c r="BM178" t="s">
        <v>72</v>
      </c>
      <c r="BN178" t="s">
        <v>346</v>
      </c>
      <c r="BO178" t="s">
        <v>72</v>
      </c>
      <c r="BP178" t="s">
        <v>72</v>
      </c>
      <c r="BQ178" t="s">
        <v>100</v>
      </c>
      <c r="BR178" t="s">
        <v>7333</v>
      </c>
      <c r="BS178" t="str">
        <f>HYPERLINK("https%3A%2F%2Fwww.webofscience.com%2Fwos%2Fwoscc%2Ffull-record%2FWOS:000552037700001","View Full Record in Web of Science")</f>
        <v>View Full Record in Web of Science</v>
      </c>
    </row>
    <row r="179" spans="1:71" hidden="1" x14ac:dyDescent="0.2">
      <c r="A179" t="s">
        <v>70</v>
      </c>
      <c r="B179" t="s">
        <v>4984</v>
      </c>
      <c r="C179" t="s">
        <v>72</v>
      </c>
      <c r="D179" t="s">
        <v>72</v>
      </c>
      <c r="E179" t="s">
        <v>72</v>
      </c>
      <c r="F179" t="s">
        <v>4985</v>
      </c>
      <c r="G179" t="s">
        <v>72</v>
      </c>
      <c r="H179" t="s">
        <v>72</v>
      </c>
      <c r="I179" t="s">
        <v>7604</v>
      </c>
      <c r="J179" t="s">
        <v>5562</v>
      </c>
      <c r="K179" t="s">
        <v>72</v>
      </c>
      <c r="L179" t="s">
        <v>72</v>
      </c>
      <c r="M179" t="s">
        <v>76</v>
      </c>
      <c r="N179" t="s">
        <v>77</v>
      </c>
      <c r="O179" t="s">
        <v>72</v>
      </c>
      <c r="P179" t="s">
        <v>72</v>
      </c>
      <c r="Q179" t="s">
        <v>72</v>
      </c>
      <c r="R179" t="s">
        <v>72</v>
      </c>
      <c r="S179" t="s">
        <v>72</v>
      </c>
      <c r="T179" t="s">
        <v>7605</v>
      </c>
      <c r="U179" t="s">
        <v>7606</v>
      </c>
      <c r="V179" t="s">
        <v>7607</v>
      </c>
      <c r="W179" t="s">
        <v>7608</v>
      </c>
      <c r="X179" t="s">
        <v>2622</v>
      </c>
      <c r="Y179" t="s">
        <v>7609</v>
      </c>
      <c r="Z179" t="s">
        <v>4992</v>
      </c>
      <c r="AA179" t="s">
        <v>72</v>
      </c>
      <c r="AB179" t="s">
        <v>4993</v>
      </c>
      <c r="AC179" t="s">
        <v>72</v>
      </c>
      <c r="AD179" t="s">
        <v>72</v>
      </c>
      <c r="AE179" t="s">
        <v>72</v>
      </c>
      <c r="AF179" t="s">
        <v>72</v>
      </c>
      <c r="AG179">
        <v>60</v>
      </c>
      <c r="AH179">
        <v>5</v>
      </c>
      <c r="AI179">
        <v>5</v>
      </c>
      <c r="AJ179">
        <v>0</v>
      </c>
      <c r="AK179">
        <v>13</v>
      </c>
      <c r="AL179" t="s">
        <v>364</v>
      </c>
      <c r="AM179" t="s">
        <v>365</v>
      </c>
      <c r="AN179" t="s">
        <v>366</v>
      </c>
      <c r="AO179" t="s">
        <v>5574</v>
      </c>
      <c r="AP179" t="s">
        <v>5575</v>
      </c>
      <c r="AQ179" t="s">
        <v>72</v>
      </c>
      <c r="AR179" t="s">
        <v>5576</v>
      </c>
      <c r="AS179" t="s">
        <v>5577</v>
      </c>
      <c r="AT179" t="s">
        <v>72</v>
      </c>
      <c r="AU179">
        <v>2018</v>
      </c>
      <c r="AV179">
        <v>19</v>
      </c>
      <c r="AW179">
        <v>12</v>
      </c>
      <c r="AX179" t="s">
        <v>72</v>
      </c>
      <c r="AY179" t="s">
        <v>72</v>
      </c>
      <c r="AZ179" t="s">
        <v>72</v>
      </c>
      <c r="BA179" t="s">
        <v>72</v>
      </c>
      <c r="BB179">
        <v>1786</v>
      </c>
      <c r="BC179">
        <v>1803</v>
      </c>
      <c r="BD179" t="s">
        <v>72</v>
      </c>
      <c r="BE179" t="s">
        <v>7610</v>
      </c>
      <c r="BF179" t="str">
        <f>HYPERLINK("http://dx.doi.org/10.1080/1461670X.2017.1305285","http://dx.doi.org/10.1080/1461670X.2017.1305285")</f>
        <v>http://dx.doi.org/10.1080/1461670X.2017.1305285</v>
      </c>
      <c r="BG179" t="s">
        <v>72</v>
      </c>
      <c r="BH179" t="s">
        <v>72</v>
      </c>
      <c r="BI179">
        <v>18</v>
      </c>
      <c r="BJ179" t="s">
        <v>174</v>
      </c>
      <c r="BK179" t="s">
        <v>174</v>
      </c>
      <c r="BL179" t="s">
        <v>7611</v>
      </c>
      <c r="BM179" t="s">
        <v>72</v>
      </c>
      <c r="BN179" t="s">
        <v>346</v>
      </c>
      <c r="BO179" t="s">
        <v>72</v>
      </c>
      <c r="BP179" t="s">
        <v>72</v>
      </c>
      <c r="BQ179" t="s">
        <v>100</v>
      </c>
      <c r="BR179" t="s">
        <v>7612</v>
      </c>
      <c r="BS179" t="str">
        <f>HYPERLINK("https%3A%2F%2Fwww.webofscience.com%2Fwos%2Fwoscc%2Ffull-record%2FWOS:000441056000006","View Full Record in Web of Science")</f>
        <v>View Full Record in Web of Science</v>
      </c>
    </row>
    <row r="180" spans="1:71" hidden="1" x14ac:dyDescent="0.2">
      <c r="A180" t="s">
        <v>70</v>
      </c>
      <c r="B180" t="s">
        <v>7613</v>
      </c>
      <c r="C180" t="s">
        <v>72</v>
      </c>
      <c r="D180" t="s">
        <v>72</v>
      </c>
      <c r="E180" t="s">
        <v>72</v>
      </c>
      <c r="F180" t="s">
        <v>7614</v>
      </c>
      <c r="G180" t="s">
        <v>72</v>
      </c>
      <c r="H180" t="s">
        <v>72</v>
      </c>
      <c r="I180" t="s">
        <v>7615</v>
      </c>
      <c r="J180" t="s">
        <v>7616</v>
      </c>
      <c r="K180" t="s">
        <v>72</v>
      </c>
      <c r="L180" t="s">
        <v>72</v>
      </c>
      <c r="M180" t="s">
        <v>76</v>
      </c>
      <c r="N180" t="s">
        <v>77</v>
      </c>
      <c r="O180" t="s">
        <v>72</v>
      </c>
      <c r="P180" t="s">
        <v>72</v>
      </c>
      <c r="Q180" t="s">
        <v>72</v>
      </c>
      <c r="R180" t="s">
        <v>72</v>
      </c>
      <c r="S180" t="s">
        <v>72</v>
      </c>
      <c r="T180" t="s">
        <v>7617</v>
      </c>
      <c r="U180" t="s">
        <v>7618</v>
      </c>
      <c r="V180" t="s">
        <v>7619</v>
      </c>
      <c r="W180" t="s">
        <v>7620</v>
      </c>
      <c r="X180" t="s">
        <v>7621</v>
      </c>
      <c r="Y180" t="s">
        <v>7622</v>
      </c>
      <c r="Z180" t="s">
        <v>7623</v>
      </c>
      <c r="AA180" t="s">
        <v>72</v>
      </c>
      <c r="AB180" t="s">
        <v>72</v>
      </c>
      <c r="AC180" t="s">
        <v>72</v>
      </c>
      <c r="AD180" t="s">
        <v>72</v>
      </c>
      <c r="AE180" t="s">
        <v>72</v>
      </c>
      <c r="AF180" t="s">
        <v>72</v>
      </c>
      <c r="AG180">
        <v>80</v>
      </c>
      <c r="AH180">
        <v>10</v>
      </c>
      <c r="AI180">
        <v>10</v>
      </c>
      <c r="AJ180">
        <v>2</v>
      </c>
      <c r="AK180">
        <v>27</v>
      </c>
      <c r="AL180" t="s">
        <v>7624</v>
      </c>
      <c r="AM180" t="s">
        <v>7625</v>
      </c>
      <c r="AN180" t="s">
        <v>7626</v>
      </c>
      <c r="AO180" t="s">
        <v>7627</v>
      </c>
      <c r="AP180" t="s">
        <v>72</v>
      </c>
      <c r="AQ180" t="s">
        <v>72</v>
      </c>
      <c r="AR180" t="s">
        <v>7628</v>
      </c>
      <c r="AS180" t="s">
        <v>7629</v>
      </c>
      <c r="AT180" t="s">
        <v>72</v>
      </c>
      <c r="AU180">
        <v>2017</v>
      </c>
      <c r="AV180">
        <v>16</v>
      </c>
      <c r="AW180">
        <v>2</v>
      </c>
      <c r="AX180" t="s">
        <v>72</v>
      </c>
      <c r="AY180" t="s">
        <v>72</v>
      </c>
      <c r="AZ180" t="s">
        <v>72</v>
      </c>
      <c r="BA180" t="s">
        <v>72</v>
      </c>
      <c r="BB180" t="s">
        <v>72</v>
      </c>
      <c r="BC180" t="s">
        <v>72</v>
      </c>
      <c r="BD180" t="s">
        <v>7630</v>
      </c>
      <c r="BE180" t="s">
        <v>72</v>
      </c>
      <c r="BF180" t="s">
        <v>72</v>
      </c>
      <c r="BG180" t="s">
        <v>72</v>
      </c>
      <c r="BH180" t="s">
        <v>72</v>
      </c>
      <c r="BI180">
        <v>21</v>
      </c>
      <c r="BJ180" t="s">
        <v>174</v>
      </c>
      <c r="BK180" t="s">
        <v>174</v>
      </c>
      <c r="BL180" t="s">
        <v>7631</v>
      </c>
      <c r="BM180" t="s">
        <v>72</v>
      </c>
      <c r="BN180" t="s">
        <v>72</v>
      </c>
      <c r="BO180" t="s">
        <v>72</v>
      </c>
      <c r="BP180" t="s">
        <v>72</v>
      </c>
      <c r="BQ180" t="s">
        <v>100</v>
      </c>
      <c r="BR180" t="s">
        <v>7632</v>
      </c>
      <c r="BS180" t="str">
        <f>HYPERLINK("https%3A%2F%2Fwww.webofscience.com%2Fwos%2Fwoscc%2Ffull-record%2FWOS:000404849600004","View Full Record in Web of Science")</f>
        <v>View Full Record in Web of Science</v>
      </c>
    </row>
    <row r="181" spans="1:71" hidden="1" x14ac:dyDescent="0.2">
      <c r="A181" t="s">
        <v>70</v>
      </c>
      <c r="B181" t="s">
        <v>7675</v>
      </c>
      <c r="C181" t="s">
        <v>72</v>
      </c>
      <c r="D181" t="s">
        <v>72</v>
      </c>
      <c r="E181" t="s">
        <v>72</v>
      </c>
      <c r="F181" t="s">
        <v>7676</v>
      </c>
      <c r="G181" t="s">
        <v>72</v>
      </c>
      <c r="H181" t="s">
        <v>72</v>
      </c>
      <c r="I181" t="s">
        <v>7677</v>
      </c>
      <c r="J181" t="s">
        <v>7678</v>
      </c>
      <c r="K181" t="s">
        <v>72</v>
      </c>
      <c r="L181" t="s">
        <v>72</v>
      </c>
      <c r="M181" t="s">
        <v>7679</v>
      </c>
      <c r="N181" t="s">
        <v>77</v>
      </c>
      <c r="O181" t="s">
        <v>72</v>
      </c>
      <c r="P181" t="s">
        <v>72</v>
      </c>
      <c r="Q181" t="s">
        <v>72</v>
      </c>
      <c r="R181" t="s">
        <v>72</v>
      </c>
      <c r="S181" t="s">
        <v>72</v>
      </c>
      <c r="T181" t="s">
        <v>7680</v>
      </c>
      <c r="U181" t="s">
        <v>7481</v>
      </c>
      <c r="V181" t="s">
        <v>7681</v>
      </c>
      <c r="W181" t="s">
        <v>7682</v>
      </c>
      <c r="X181" t="s">
        <v>7683</v>
      </c>
      <c r="Y181" t="s">
        <v>7684</v>
      </c>
      <c r="Z181" t="s">
        <v>7685</v>
      </c>
      <c r="AA181" t="s">
        <v>7686</v>
      </c>
      <c r="AB181" t="s">
        <v>7687</v>
      </c>
      <c r="AC181" t="s">
        <v>72</v>
      </c>
      <c r="AD181" t="s">
        <v>72</v>
      </c>
      <c r="AE181" t="s">
        <v>72</v>
      </c>
      <c r="AF181" t="s">
        <v>72</v>
      </c>
      <c r="AG181">
        <v>60</v>
      </c>
      <c r="AH181">
        <v>0</v>
      </c>
      <c r="AI181">
        <v>0</v>
      </c>
      <c r="AJ181">
        <v>1</v>
      </c>
      <c r="AK181">
        <v>2</v>
      </c>
      <c r="AL181" t="s">
        <v>7688</v>
      </c>
      <c r="AM181" t="s">
        <v>7689</v>
      </c>
      <c r="AN181" t="s">
        <v>7690</v>
      </c>
      <c r="AO181" t="s">
        <v>7691</v>
      </c>
      <c r="AP181" t="s">
        <v>7692</v>
      </c>
      <c r="AQ181" t="s">
        <v>72</v>
      </c>
      <c r="AR181" t="s">
        <v>7693</v>
      </c>
      <c r="AS181" t="s">
        <v>7694</v>
      </c>
      <c r="AT181" t="s">
        <v>929</v>
      </c>
      <c r="AU181">
        <v>2018</v>
      </c>
      <c r="AV181" t="s">
        <v>72</v>
      </c>
      <c r="AW181">
        <v>43</v>
      </c>
      <c r="AX181" t="s">
        <v>72</v>
      </c>
      <c r="AY181" t="s">
        <v>72</v>
      </c>
      <c r="AZ181" t="s">
        <v>72</v>
      </c>
      <c r="BA181" t="s">
        <v>72</v>
      </c>
      <c r="BB181">
        <v>201</v>
      </c>
      <c r="BC181">
        <v>219</v>
      </c>
      <c r="BD181" t="s">
        <v>72</v>
      </c>
      <c r="BE181" t="s">
        <v>7695</v>
      </c>
      <c r="BF181" t="str">
        <f>HYPERLINK("http://dx.doi.org/10.7764/cdi.43.1289","http://dx.doi.org/10.7764/cdi.43.1289")</f>
        <v>http://dx.doi.org/10.7764/cdi.43.1289</v>
      </c>
      <c r="BG181" t="s">
        <v>72</v>
      </c>
      <c r="BH181" t="s">
        <v>72</v>
      </c>
      <c r="BI181">
        <v>19</v>
      </c>
      <c r="BJ181" t="s">
        <v>174</v>
      </c>
      <c r="BK181" t="s">
        <v>174</v>
      </c>
      <c r="BL181" t="s">
        <v>7696</v>
      </c>
      <c r="BM181" t="s">
        <v>72</v>
      </c>
      <c r="BN181" t="s">
        <v>910</v>
      </c>
      <c r="BO181" t="s">
        <v>72</v>
      </c>
      <c r="BP181" t="s">
        <v>72</v>
      </c>
      <c r="BQ181" t="s">
        <v>100</v>
      </c>
      <c r="BR181" t="s">
        <v>7697</v>
      </c>
      <c r="BS181" t="str">
        <f>HYPERLINK("https%3A%2F%2Fwww.webofscience.com%2Fwos%2Fwoscc%2Ffull-record%2FWOS:000452642300014","View Full Record in Web of Science")</f>
        <v>View Full Record in Web of Science</v>
      </c>
    </row>
    <row r="182" spans="1:71" hidden="1" x14ac:dyDescent="0.2">
      <c r="A182" t="s">
        <v>70</v>
      </c>
      <c r="B182" t="s">
        <v>7698</v>
      </c>
      <c r="C182" t="s">
        <v>72</v>
      </c>
      <c r="D182" t="s">
        <v>72</v>
      </c>
      <c r="E182" t="s">
        <v>72</v>
      </c>
      <c r="F182" t="s">
        <v>7699</v>
      </c>
      <c r="G182" t="s">
        <v>72</v>
      </c>
      <c r="H182" t="s">
        <v>72</v>
      </c>
      <c r="I182" t="s">
        <v>7700</v>
      </c>
      <c r="J182" t="s">
        <v>7701</v>
      </c>
      <c r="K182" t="s">
        <v>72</v>
      </c>
      <c r="L182" t="s">
        <v>72</v>
      </c>
      <c r="M182" t="s">
        <v>76</v>
      </c>
      <c r="N182" t="s">
        <v>77</v>
      </c>
      <c r="O182" t="s">
        <v>72</v>
      </c>
      <c r="P182" t="s">
        <v>72</v>
      </c>
      <c r="Q182" t="s">
        <v>72</v>
      </c>
      <c r="R182" t="s">
        <v>72</v>
      </c>
      <c r="S182" t="s">
        <v>72</v>
      </c>
      <c r="T182" t="s">
        <v>7702</v>
      </c>
      <c r="U182" t="s">
        <v>7703</v>
      </c>
      <c r="V182" t="s">
        <v>7704</v>
      </c>
      <c r="W182" t="s">
        <v>7705</v>
      </c>
      <c r="X182" t="s">
        <v>7706</v>
      </c>
      <c r="Y182" t="s">
        <v>7707</v>
      </c>
      <c r="Z182" t="s">
        <v>7708</v>
      </c>
      <c r="AA182" t="s">
        <v>72</v>
      </c>
      <c r="AB182" t="s">
        <v>72</v>
      </c>
      <c r="AC182" t="s">
        <v>7709</v>
      </c>
      <c r="AD182" t="s">
        <v>7709</v>
      </c>
      <c r="AE182" t="s">
        <v>7710</v>
      </c>
      <c r="AF182" t="s">
        <v>72</v>
      </c>
      <c r="AG182">
        <v>41</v>
      </c>
      <c r="AH182">
        <v>4</v>
      </c>
      <c r="AI182">
        <v>4</v>
      </c>
      <c r="AJ182">
        <v>6</v>
      </c>
      <c r="AK182">
        <v>24</v>
      </c>
      <c r="AL182" t="s">
        <v>336</v>
      </c>
      <c r="AM182" t="s">
        <v>337</v>
      </c>
      <c r="AN182" t="s">
        <v>338</v>
      </c>
      <c r="AO182" t="s">
        <v>7711</v>
      </c>
      <c r="AP182" t="s">
        <v>7712</v>
      </c>
      <c r="AQ182" t="s">
        <v>72</v>
      </c>
      <c r="AR182" t="s">
        <v>7713</v>
      </c>
      <c r="AS182" t="s">
        <v>7714</v>
      </c>
      <c r="AT182" t="s">
        <v>951</v>
      </c>
      <c r="AU182">
        <v>2021</v>
      </c>
      <c r="AV182">
        <v>181</v>
      </c>
      <c r="AW182">
        <v>1</v>
      </c>
      <c r="AX182" t="s">
        <v>72</v>
      </c>
      <c r="AY182" t="s">
        <v>72</v>
      </c>
      <c r="AZ182" t="s">
        <v>478</v>
      </c>
      <c r="BA182" t="s">
        <v>72</v>
      </c>
      <c r="BB182">
        <v>131</v>
      </c>
      <c r="BC182">
        <v>151</v>
      </c>
      <c r="BD182" t="s">
        <v>7715</v>
      </c>
      <c r="BE182" t="s">
        <v>7716</v>
      </c>
      <c r="BF182" t="str">
        <f>HYPERLINK("http://dx.doi.org/10.1177/1329878X20947124","http://dx.doi.org/10.1177/1329878X20947124")</f>
        <v>http://dx.doi.org/10.1177/1329878X20947124</v>
      </c>
      <c r="BG182" t="s">
        <v>72</v>
      </c>
      <c r="BH182" t="s">
        <v>5360</v>
      </c>
      <c r="BI182">
        <v>21</v>
      </c>
      <c r="BJ182" t="s">
        <v>174</v>
      </c>
      <c r="BK182" t="s">
        <v>174</v>
      </c>
      <c r="BL182" t="s">
        <v>7717</v>
      </c>
      <c r="BM182" t="s">
        <v>72</v>
      </c>
      <c r="BN182" t="s">
        <v>72</v>
      </c>
      <c r="BO182" t="s">
        <v>72</v>
      </c>
      <c r="BP182" t="s">
        <v>72</v>
      </c>
      <c r="BQ182" t="s">
        <v>100</v>
      </c>
      <c r="BR182" t="s">
        <v>7718</v>
      </c>
      <c r="BS182" t="str">
        <f>HYPERLINK("https%3A%2F%2Fwww.webofscience.com%2Fwos%2Fwoscc%2Ffull-record%2FWOS:000563681700001","View Full Record in Web of Science")</f>
        <v>View Full Record in Web of Science</v>
      </c>
    </row>
    <row r="183" spans="1:71" hidden="1" x14ac:dyDescent="0.2">
      <c r="A183" t="s">
        <v>70</v>
      </c>
      <c r="B183" t="s">
        <v>7781</v>
      </c>
      <c r="C183" t="s">
        <v>72</v>
      </c>
      <c r="D183" t="s">
        <v>72</v>
      </c>
      <c r="E183" t="s">
        <v>72</v>
      </c>
      <c r="F183" t="s">
        <v>7782</v>
      </c>
      <c r="G183" t="s">
        <v>72</v>
      </c>
      <c r="H183" t="s">
        <v>72</v>
      </c>
      <c r="I183" t="s">
        <v>7783</v>
      </c>
      <c r="J183" t="s">
        <v>3086</v>
      </c>
      <c r="K183" t="s">
        <v>72</v>
      </c>
      <c r="L183" t="s">
        <v>72</v>
      </c>
      <c r="M183" t="s">
        <v>76</v>
      </c>
      <c r="N183" t="s">
        <v>77</v>
      </c>
      <c r="O183" t="s">
        <v>72</v>
      </c>
      <c r="P183" t="s">
        <v>72</v>
      </c>
      <c r="Q183" t="s">
        <v>72</v>
      </c>
      <c r="R183" t="s">
        <v>72</v>
      </c>
      <c r="S183" t="s">
        <v>72</v>
      </c>
      <c r="T183" t="s">
        <v>72</v>
      </c>
      <c r="U183" t="s">
        <v>7784</v>
      </c>
      <c r="V183" t="s">
        <v>7785</v>
      </c>
      <c r="W183" t="s">
        <v>7786</v>
      </c>
      <c r="X183" t="s">
        <v>164</v>
      </c>
      <c r="Y183" t="s">
        <v>7787</v>
      </c>
      <c r="Z183" t="s">
        <v>1887</v>
      </c>
      <c r="AA183" t="s">
        <v>72</v>
      </c>
      <c r="AB183" t="s">
        <v>1888</v>
      </c>
      <c r="AC183" t="s">
        <v>7788</v>
      </c>
      <c r="AD183" t="s">
        <v>7788</v>
      </c>
      <c r="AE183" t="s">
        <v>7789</v>
      </c>
      <c r="AF183" t="s">
        <v>72</v>
      </c>
      <c r="AG183">
        <v>62</v>
      </c>
      <c r="AH183">
        <v>32</v>
      </c>
      <c r="AI183">
        <v>33</v>
      </c>
      <c r="AJ183">
        <v>2</v>
      </c>
      <c r="AK183">
        <v>18</v>
      </c>
      <c r="AL183" t="s">
        <v>364</v>
      </c>
      <c r="AM183" t="s">
        <v>365</v>
      </c>
      <c r="AN183" t="s">
        <v>366</v>
      </c>
      <c r="AO183" t="s">
        <v>3096</v>
      </c>
      <c r="AP183" t="s">
        <v>3097</v>
      </c>
      <c r="AQ183" t="s">
        <v>72</v>
      </c>
      <c r="AR183" t="s">
        <v>3098</v>
      </c>
      <c r="AS183" t="s">
        <v>3099</v>
      </c>
      <c r="AT183" t="s">
        <v>72</v>
      </c>
      <c r="AU183">
        <v>2018</v>
      </c>
      <c r="AV183">
        <v>12</v>
      </c>
      <c r="AW183" t="s">
        <v>7443</v>
      </c>
      <c r="AX183" t="s">
        <v>72</v>
      </c>
      <c r="AY183" t="s">
        <v>72</v>
      </c>
      <c r="AZ183" t="s">
        <v>72</v>
      </c>
      <c r="BA183" t="s">
        <v>72</v>
      </c>
      <c r="BB183">
        <v>158</v>
      </c>
      <c r="BC183" t="s">
        <v>173</v>
      </c>
      <c r="BD183" t="s">
        <v>72</v>
      </c>
      <c r="BE183" t="s">
        <v>7790</v>
      </c>
      <c r="BF183" t="str">
        <f>HYPERLINK("http://dx.doi.org/10.1080/19312458.2018.1447655","http://dx.doi.org/10.1080/19312458.2018.1447655")</f>
        <v>http://dx.doi.org/10.1080/19312458.2018.1447655</v>
      </c>
      <c r="BG183" t="s">
        <v>72</v>
      </c>
      <c r="BH183" t="s">
        <v>72</v>
      </c>
      <c r="BI183">
        <v>17</v>
      </c>
      <c r="BJ183" t="s">
        <v>174</v>
      </c>
      <c r="BK183" t="s">
        <v>174</v>
      </c>
      <c r="BL183" t="s">
        <v>7791</v>
      </c>
      <c r="BM183" t="s">
        <v>72</v>
      </c>
      <c r="BN183" t="s">
        <v>795</v>
      </c>
      <c r="BO183" t="s">
        <v>72</v>
      </c>
      <c r="BP183" t="s">
        <v>72</v>
      </c>
      <c r="BQ183" t="s">
        <v>100</v>
      </c>
      <c r="BR183" t="s">
        <v>7792</v>
      </c>
      <c r="BS183" t="str">
        <f>HYPERLINK("https%3A%2F%2Fwww.webofscience.com%2Fwos%2Fwoscc%2Ffull-record%2FWOS:000438901400005","View Full Record in Web of Science")</f>
        <v>View Full Record in Web of Science</v>
      </c>
    </row>
    <row r="184" spans="1:71" hidden="1" x14ac:dyDescent="0.2">
      <c r="A184" t="s">
        <v>70</v>
      </c>
      <c r="B184" t="s">
        <v>7831</v>
      </c>
      <c r="C184" t="s">
        <v>72</v>
      </c>
      <c r="D184" t="s">
        <v>72</v>
      </c>
      <c r="E184" t="s">
        <v>72</v>
      </c>
      <c r="F184" t="s">
        <v>7832</v>
      </c>
      <c r="G184" t="s">
        <v>72</v>
      </c>
      <c r="H184" t="s">
        <v>72</v>
      </c>
      <c r="I184" t="s">
        <v>7833</v>
      </c>
      <c r="J184" t="s">
        <v>7834</v>
      </c>
      <c r="K184" t="s">
        <v>72</v>
      </c>
      <c r="L184" t="s">
        <v>72</v>
      </c>
      <c r="M184" t="s">
        <v>76</v>
      </c>
      <c r="N184" t="s">
        <v>77</v>
      </c>
      <c r="O184" t="s">
        <v>72</v>
      </c>
      <c r="P184" t="s">
        <v>72</v>
      </c>
      <c r="Q184" t="s">
        <v>72</v>
      </c>
      <c r="R184" t="s">
        <v>72</v>
      </c>
      <c r="S184" t="s">
        <v>72</v>
      </c>
      <c r="T184" t="s">
        <v>7835</v>
      </c>
      <c r="U184" t="s">
        <v>7836</v>
      </c>
      <c r="V184" t="s">
        <v>7837</v>
      </c>
      <c r="W184" t="s">
        <v>7838</v>
      </c>
      <c r="X184" t="s">
        <v>1360</v>
      </c>
      <c r="Y184" t="s">
        <v>7839</v>
      </c>
      <c r="Z184" t="s">
        <v>7840</v>
      </c>
      <c r="AA184" t="s">
        <v>7841</v>
      </c>
      <c r="AB184" t="s">
        <v>7842</v>
      </c>
      <c r="AC184" t="s">
        <v>7843</v>
      </c>
      <c r="AD184" t="s">
        <v>7844</v>
      </c>
      <c r="AE184" t="s">
        <v>7845</v>
      </c>
      <c r="AF184" t="s">
        <v>72</v>
      </c>
      <c r="AG184">
        <v>56</v>
      </c>
      <c r="AH184">
        <v>0</v>
      </c>
      <c r="AI184">
        <v>0</v>
      </c>
      <c r="AJ184">
        <v>0</v>
      </c>
      <c r="AK184">
        <v>10</v>
      </c>
      <c r="AL184" t="s">
        <v>336</v>
      </c>
      <c r="AM184" t="s">
        <v>337</v>
      </c>
      <c r="AN184" t="s">
        <v>338</v>
      </c>
      <c r="AO184" t="s">
        <v>7846</v>
      </c>
      <c r="AP184" t="s">
        <v>7847</v>
      </c>
      <c r="AQ184" t="s">
        <v>72</v>
      </c>
      <c r="AR184" t="s">
        <v>7848</v>
      </c>
      <c r="AS184" t="s">
        <v>7849</v>
      </c>
      <c r="AT184" t="s">
        <v>395</v>
      </c>
      <c r="AU184">
        <v>2018</v>
      </c>
      <c r="AV184">
        <v>33</v>
      </c>
      <c r="AW184">
        <v>5</v>
      </c>
      <c r="AX184" t="s">
        <v>72</v>
      </c>
      <c r="AY184" t="s">
        <v>72</v>
      </c>
      <c r="AZ184" t="s">
        <v>72</v>
      </c>
      <c r="BA184" t="s">
        <v>72</v>
      </c>
      <c r="BB184">
        <v>489</v>
      </c>
      <c r="BC184">
        <v>504</v>
      </c>
      <c r="BD184" t="s">
        <v>72</v>
      </c>
      <c r="BE184" t="s">
        <v>7850</v>
      </c>
      <c r="BF184" t="str">
        <f>HYPERLINK("http://dx.doi.org/10.1177/0267323118784816","http://dx.doi.org/10.1177/0267323118784816")</f>
        <v>http://dx.doi.org/10.1177/0267323118784816</v>
      </c>
      <c r="BG184" t="s">
        <v>72</v>
      </c>
      <c r="BH184" t="s">
        <v>72</v>
      </c>
      <c r="BI184">
        <v>16</v>
      </c>
      <c r="BJ184" t="s">
        <v>174</v>
      </c>
      <c r="BK184" t="s">
        <v>174</v>
      </c>
      <c r="BL184" t="s">
        <v>7851</v>
      </c>
      <c r="BM184" t="s">
        <v>72</v>
      </c>
      <c r="BN184" t="s">
        <v>72</v>
      </c>
      <c r="BO184" t="s">
        <v>72</v>
      </c>
      <c r="BP184" t="s">
        <v>72</v>
      </c>
      <c r="BQ184" t="s">
        <v>100</v>
      </c>
      <c r="BR184" t="s">
        <v>7852</v>
      </c>
      <c r="BS184" t="str">
        <f>HYPERLINK("https%3A%2F%2Fwww.webofscience.com%2Fwos%2Fwoscc%2Ffull-record%2FWOS:000446530000002","View Full Record in Web of Science")</f>
        <v>View Full Record in Web of Science</v>
      </c>
    </row>
    <row r="185" spans="1:71" hidden="1" x14ac:dyDescent="0.2">
      <c r="A185" t="s">
        <v>70</v>
      </c>
      <c r="B185" t="s">
        <v>7962</v>
      </c>
      <c r="C185" t="s">
        <v>72</v>
      </c>
      <c r="D185" t="s">
        <v>72</v>
      </c>
      <c r="E185" t="s">
        <v>72</v>
      </c>
      <c r="F185" t="s">
        <v>7963</v>
      </c>
      <c r="G185" t="s">
        <v>72</v>
      </c>
      <c r="H185" t="s">
        <v>72</v>
      </c>
      <c r="I185" t="s">
        <v>7964</v>
      </c>
      <c r="J185" t="s">
        <v>7965</v>
      </c>
      <c r="K185" t="s">
        <v>72</v>
      </c>
      <c r="L185" t="s">
        <v>72</v>
      </c>
      <c r="M185" t="s">
        <v>76</v>
      </c>
      <c r="N185" t="s">
        <v>77</v>
      </c>
      <c r="O185" t="s">
        <v>72</v>
      </c>
      <c r="P185" t="s">
        <v>72</v>
      </c>
      <c r="Q185" t="s">
        <v>72</v>
      </c>
      <c r="R185" t="s">
        <v>72</v>
      </c>
      <c r="S185" t="s">
        <v>72</v>
      </c>
      <c r="T185" t="s">
        <v>7966</v>
      </c>
      <c r="U185" t="s">
        <v>7967</v>
      </c>
      <c r="V185" t="s">
        <v>7968</v>
      </c>
      <c r="W185" t="s">
        <v>7969</v>
      </c>
      <c r="X185" t="s">
        <v>7970</v>
      </c>
      <c r="Y185" t="s">
        <v>7971</v>
      </c>
      <c r="Z185" t="s">
        <v>7972</v>
      </c>
      <c r="AA185" t="s">
        <v>72</v>
      </c>
      <c r="AB185" t="s">
        <v>72</v>
      </c>
      <c r="AC185" t="s">
        <v>72</v>
      </c>
      <c r="AD185" t="s">
        <v>72</v>
      </c>
      <c r="AE185" t="s">
        <v>72</v>
      </c>
      <c r="AF185" t="s">
        <v>72</v>
      </c>
      <c r="AG185">
        <v>63</v>
      </c>
      <c r="AH185">
        <v>6</v>
      </c>
      <c r="AI185">
        <v>6</v>
      </c>
      <c r="AJ185">
        <v>1</v>
      </c>
      <c r="AK185">
        <v>24</v>
      </c>
      <c r="AL185" t="s">
        <v>190</v>
      </c>
      <c r="AM185" t="s">
        <v>191</v>
      </c>
      <c r="AN185" t="s">
        <v>192</v>
      </c>
      <c r="AO185" t="s">
        <v>7973</v>
      </c>
      <c r="AP185" t="s">
        <v>7974</v>
      </c>
      <c r="AQ185" t="s">
        <v>72</v>
      </c>
      <c r="AR185" t="s">
        <v>7975</v>
      </c>
      <c r="AS185" t="s">
        <v>7976</v>
      </c>
      <c r="AT185" t="s">
        <v>299</v>
      </c>
      <c r="AU185">
        <v>2017</v>
      </c>
      <c r="AV185">
        <v>11</v>
      </c>
      <c r="AW185">
        <v>3</v>
      </c>
      <c r="AX185" t="s">
        <v>72</v>
      </c>
      <c r="AY185" t="s">
        <v>72</v>
      </c>
      <c r="AZ185" t="s">
        <v>72</v>
      </c>
      <c r="BA185" t="s">
        <v>72</v>
      </c>
      <c r="BB185">
        <v>296</v>
      </c>
      <c r="BC185">
        <v>313</v>
      </c>
      <c r="BD185" t="s">
        <v>72</v>
      </c>
      <c r="BE185" t="s">
        <v>7977</v>
      </c>
      <c r="BF185" t="str">
        <f>HYPERLINK("http://dx.doi.org/10.1177/1750481317699347","http://dx.doi.org/10.1177/1750481317699347")</f>
        <v>http://dx.doi.org/10.1177/1750481317699347</v>
      </c>
      <c r="BG185" t="s">
        <v>72</v>
      </c>
      <c r="BH185" t="s">
        <v>72</v>
      </c>
      <c r="BI185">
        <v>18</v>
      </c>
      <c r="BJ185" t="s">
        <v>174</v>
      </c>
      <c r="BK185" t="s">
        <v>174</v>
      </c>
      <c r="BL185" t="s">
        <v>7978</v>
      </c>
      <c r="BM185" t="s">
        <v>72</v>
      </c>
      <c r="BN185" t="s">
        <v>72</v>
      </c>
      <c r="BO185" t="s">
        <v>72</v>
      </c>
      <c r="BP185" t="s">
        <v>72</v>
      </c>
      <c r="BQ185" t="s">
        <v>100</v>
      </c>
      <c r="BR185" t="s">
        <v>7979</v>
      </c>
      <c r="BS185" t="str">
        <f>HYPERLINK("https%3A%2F%2Fwww.webofscience.com%2Fwos%2Fwoscc%2Ffull-record%2FWOS:000401792900004","View Full Record in Web of Science")</f>
        <v>View Full Record in Web of Science</v>
      </c>
    </row>
    <row r="186" spans="1:71" hidden="1" x14ac:dyDescent="0.2">
      <c r="A186" t="s">
        <v>70</v>
      </c>
      <c r="B186" t="s">
        <v>7980</v>
      </c>
      <c r="C186" t="s">
        <v>72</v>
      </c>
      <c r="D186" t="s">
        <v>72</v>
      </c>
      <c r="E186" t="s">
        <v>72</v>
      </c>
      <c r="F186" t="s">
        <v>7981</v>
      </c>
      <c r="G186" t="s">
        <v>72</v>
      </c>
      <c r="H186" t="s">
        <v>72</v>
      </c>
      <c r="I186" t="s">
        <v>7982</v>
      </c>
      <c r="J186" t="s">
        <v>800</v>
      </c>
      <c r="K186" t="s">
        <v>72</v>
      </c>
      <c r="L186" t="s">
        <v>72</v>
      </c>
      <c r="M186" t="s">
        <v>76</v>
      </c>
      <c r="N186" t="s">
        <v>352</v>
      </c>
      <c r="O186" t="s">
        <v>72</v>
      </c>
      <c r="P186" t="s">
        <v>72</v>
      </c>
      <c r="Q186" t="s">
        <v>72</v>
      </c>
      <c r="R186" t="s">
        <v>72</v>
      </c>
      <c r="S186" t="s">
        <v>72</v>
      </c>
      <c r="T186" t="s">
        <v>7983</v>
      </c>
      <c r="U186" t="s">
        <v>7984</v>
      </c>
      <c r="V186" t="s">
        <v>7985</v>
      </c>
      <c r="W186" t="s">
        <v>7986</v>
      </c>
      <c r="X186" t="s">
        <v>7987</v>
      </c>
      <c r="Y186" t="s">
        <v>7988</v>
      </c>
      <c r="Z186" t="s">
        <v>7989</v>
      </c>
      <c r="AA186" t="s">
        <v>7990</v>
      </c>
      <c r="AB186" t="s">
        <v>7991</v>
      </c>
      <c r="AC186" t="s">
        <v>7992</v>
      </c>
      <c r="AD186" t="s">
        <v>7993</v>
      </c>
      <c r="AE186" t="s">
        <v>7994</v>
      </c>
      <c r="AF186" t="s">
        <v>72</v>
      </c>
      <c r="AG186">
        <v>66</v>
      </c>
      <c r="AH186">
        <v>1</v>
      </c>
      <c r="AI186">
        <v>1</v>
      </c>
      <c r="AJ186">
        <v>3</v>
      </c>
      <c r="AK186">
        <v>9</v>
      </c>
      <c r="AL186" t="s">
        <v>364</v>
      </c>
      <c r="AM186" t="s">
        <v>365</v>
      </c>
      <c r="AN186" t="s">
        <v>366</v>
      </c>
      <c r="AO186" t="s">
        <v>810</v>
      </c>
      <c r="AP186" t="s">
        <v>811</v>
      </c>
      <c r="AQ186" t="s">
        <v>72</v>
      </c>
      <c r="AR186" t="s">
        <v>812</v>
      </c>
      <c r="AS186" t="s">
        <v>813</v>
      </c>
      <c r="AT186" t="s">
        <v>72</v>
      </c>
      <c r="AU186" t="s">
        <v>72</v>
      </c>
      <c r="AV186" t="s">
        <v>72</v>
      </c>
      <c r="AW186" t="s">
        <v>72</v>
      </c>
      <c r="AX186" t="s">
        <v>72</v>
      </c>
      <c r="AY186" t="s">
        <v>72</v>
      </c>
      <c r="AZ186" t="s">
        <v>72</v>
      </c>
      <c r="BA186" t="s">
        <v>72</v>
      </c>
      <c r="BB186" t="s">
        <v>72</v>
      </c>
      <c r="BC186" t="s">
        <v>72</v>
      </c>
      <c r="BD186" t="s">
        <v>72</v>
      </c>
      <c r="BE186" t="s">
        <v>7995</v>
      </c>
      <c r="BF186" t="str">
        <f>HYPERLINK("http://dx.doi.org/10.1080/21670811.2022.2036623","http://dx.doi.org/10.1080/21670811.2022.2036623")</f>
        <v>http://dx.doi.org/10.1080/21670811.2022.2036623</v>
      </c>
      <c r="BG186" t="s">
        <v>72</v>
      </c>
      <c r="BH186" t="s">
        <v>1212</v>
      </c>
      <c r="BI186">
        <v>21</v>
      </c>
      <c r="BJ186" t="s">
        <v>174</v>
      </c>
      <c r="BK186" t="s">
        <v>174</v>
      </c>
      <c r="BL186" t="s">
        <v>7996</v>
      </c>
      <c r="BM186" t="s">
        <v>72</v>
      </c>
      <c r="BN186" t="s">
        <v>6174</v>
      </c>
      <c r="BO186" t="s">
        <v>72</v>
      </c>
      <c r="BP186" t="s">
        <v>72</v>
      </c>
      <c r="BQ186" t="s">
        <v>100</v>
      </c>
      <c r="BR186" t="s">
        <v>7997</v>
      </c>
      <c r="BS186" t="str">
        <f>HYPERLINK("https%3A%2F%2Fwww.webofscience.com%2Fwos%2Fwoscc%2Ffull-record%2FWOS:000763337300001","View Full Record in Web of Science")</f>
        <v>View Full Record in Web of Science</v>
      </c>
    </row>
    <row r="187" spans="1:71" hidden="1" x14ac:dyDescent="0.2">
      <c r="A187" t="s">
        <v>70</v>
      </c>
      <c r="B187" t="s">
        <v>8403</v>
      </c>
      <c r="C187" t="s">
        <v>72</v>
      </c>
      <c r="D187" t="s">
        <v>72</v>
      </c>
      <c r="E187" t="s">
        <v>72</v>
      </c>
      <c r="F187" t="s">
        <v>8404</v>
      </c>
      <c r="G187" t="s">
        <v>72</v>
      </c>
      <c r="H187" t="s">
        <v>72</v>
      </c>
      <c r="I187" t="s">
        <v>8405</v>
      </c>
      <c r="J187" t="s">
        <v>584</v>
      </c>
      <c r="K187" t="s">
        <v>72</v>
      </c>
      <c r="L187" t="s">
        <v>72</v>
      </c>
      <c r="M187" t="s">
        <v>76</v>
      </c>
      <c r="N187" t="s">
        <v>77</v>
      </c>
      <c r="O187" t="s">
        <v>72</v>
      </c>
      <c r="P187" t="s">
        <v>72</v>
      </c>
      <c r="Q187" t="s">
        <v>72</v>
      </c>
      <c r="R187" t="s">
        <v>72</v>
      </c>
      <c r="S187" t="s">
        <v>72</v>
      </c>
      <c r="T187" t="s">
        <v>8406</v>
      </c>
      <c r="U187" t="s">
        <v>8407</v>
      </c>
      <c r="V187" t="s">
        <v>8408</v>
      </c>
      <c r="W187" t="s">
        <v>8409</v>
      </c>
      <c r="X187" t="s">
        <v>164</v>
      </c>
      <c r="Y187" t="s">
        <v>8410</v>
      </c>
      <c r="Z187" t="s">
        <v>8411</v>
      </c>
      <c r="AA187" t="s">
        <v>72</v>
      </c>
      <c r="AB187" t="s">
        <v>72</v>
      </c>
      <c r="AC187" t="s">
        <v>8412</v>
      </c>
      <c r="AD187" t="s">
        <v>8412</v>
      </c>
      <c r="AE187" t="s">
        <v>8413</v>
      </c>
      <c r="AF187" t="s">
        <v>72</v>
      </c>
      <c r="AG187">
        <v>69</v>
      </c>
      <c r="AH187">
        <v>0</v>
      </c>
      <c r="AI187">
        <v>0</v>
      </c>
      <c r="AJ187">
        <v>2</v>
      </c>
      <c r="AK187">
        <v>4</v>
      </c>
      <c r="AL187" t="s">
        <v>594</v>
      </c>
      <c r="AM187" t="s">
        <v>595</v>
      </c>
      <c r="AN187" t="s">
        <v>596</v>
      </c>
      <c r="AO187" t="s">
        <v>597</v>
      </c>
      <c r="AP187" t="s">
        <v>72</v>
      </c>
      <c r="AQ187" t="s">
        <v>72</v>
      </c>
      <c r="AR187" t="s">
        <v>598</v>
      </c>
      <c r="AS187" t="s">
        <v>599</v>
      </c>
      <c r="AT187" t="s">
        <v>72</v>
      </c>
      <c r="AU187">
        <v>2020</v>
      </c>
      <c r="AV187">
        <v>14</v>
      </c>
      <c r="AW187" t="s">
        <v>72</v>
      </c>
      <c r="AX187" t="s">
        <v>72</v>
      </c>
      <c r="AY187" t="s">
        <v>72</v>
      </c>
      <c r="AZ187" t="s">
        <v>72</v>
      </c>
      <c r="BA187" t="s">
        <v>72</v>
      </c>
      <c r="BB187">
        <v>4428</v>
      </c>
      <c r="BC187">
        <v>4452</v>
      </c>
      <c r="BD187" t="s">
        <v>72</v>
      </c>
      <c r="BE187" t="s">
        <v>72</v>
      </c>
      <c r="BF187" t="s">
        <v>72</v>
      </c>
      <c r="BG187" t="s">
        <v>72</v>
      </c>
      <c r="BH187" t="s">
        <v>72</v>
      </c>
      <c r="BI187">
        <v>25</v>
      </c>
      <c r="BJ187" t="s">
        <v>174</v>
      </c>
      <c r="BK187" t="s">
        <v>174</v>
      </c>
      <c r="BL187" t="s">
        <v>3133</v>
      </c>
      <c r="BM187" t="s">
        <v>72</v>
      </c>
      <c r="BN187" t="s">
        <v>72</v>
      </c>
      <c r="BO187" t="s">
        <v>72</v>
      </c>
      <c r="BP187" t="s">
        <v>72</v>
      </c>
      <c r="BQ187" t="s">
        <v>100</v>
      </c>
      <c r="BR187" t="s">
        <v>8414</v>
      </c>
      <c r="BS187" t="str">
        <f>HYPERLINK("https%3A%2F%2Fwww.webofscience.com%2Fwos%2Fwoscc%2Ffull-record%2FWOS:000616658300127","View Full Record in Web of Science")</f>
        <v>View Full Record in Web of Science</v>
      </c>
    </row>
    <row r="188" spans="1:71" hidden="1" x14ac:dyDescent="0.2">
      <c r="A188" t="s">
        <v>70</v>
      </c>
      <c r="B188" t="s">
        <v>8445</v>
      </c>
      <c r="C188" t="s">
        <v>72</v>
      </c>
      <c r="D188" t="s">
        <v>72</v>
      </c>
      <c r="E188" t="s">
        <v>72</v>
      </c>
      <c r="F188" t="s">
        <v>8446</v>
      </c>
      <c r="G188" t="s">
        <v>72</v>
      </c>
      <c r="H188" t="s">
        <v>72</v>
      </c>
      <c r="I188" t="s">
        <v>8447</v>
      </c>
      <c r="J188" t="s">
        <v>8448</v>
      </c>
      <c r="K188" t="s">
        <v>72</v>
      </c>
      <c r="L188" t="s">
        <v>72</v>
      </c>
      <c r="M188" t="s">
        <v>7679</v>
      </c>
      <c r="N188" t="s">
        <v>77</v>
      </c>
      <c r="O188" t="s">
        <v>72</v>
      </c>
      <c r="P188" t="s">
        <v>72</v>
      </c>
      <c r="Q188" t="s">
        <v>72</v>
      </c>
      <c r="R188" t="s">
        <v>72</v>
      </c>
      <c r="S188" t="s">
        <v>72</v>
      </c>
      <c r="T188" t="s">
        <v>8449</v>
      </c>
      <c r="U188" t="s">
        <v>8450</v>
      </c>
      <c r="V188" t="s">
        <v>8451</v>
      </c>
      <c r="W188" t="s">
        <v>8452</v>
      </c>
      <c r="X188" t="s">
        <v>8453</v>
      </c>
      <c r="Y188" t="s">
        <v>8454</v>
      </c>
      <c r="Z188" t="s">
        <v>8455</v>
      </c>
      <c r="AA188" t="s">
        <v>72</v>
      </c>
      <c r="AB188" t="s">
        <v>72</v>
      </c>
      <c r="AC188" t="s">
        <v>72</v>
      </c>
      <c r="AD188" t="s">
        <v>72</v>
      </c>
      <c r="AE188" t="s">
        <v>72</v>
      </c>
      <c r="AF188" t="s">
        <v>72</v>
      </c>
      <c r="AG188">
        <v>40</v>
      </c>
      <c r="AH188">
        <v>0</v>
      </c>
      <c r="AI188">
        <v>0</v>
      </c>
      <c r="AJ188">
        <v>5</v>
      </c>
      <c r="AK188">
        <v>5</v>
      </c>
      <c r="AL188" t="s">
        <v>8456</v>
      </c>
      <c r="AM188" t="s">
        <v>8457</v>
      </c>
      <c r="AN188" t="s">
        <v>8458</v>
      </c>
      <c r="AO188" t="s">
        <v>8459</v>
      </c>
      <c r="AP188" t="s">
        <v>8460</v>
      </c>
      <c r="AQ188" t="s">
        <v>72</v>
      </c>
      <c r="AR188" t="s">
        <v>8461</v>
      </c>
      <c r="AS188" t="s">
        <v>8462</v>
      </c>
      <c r="AT188" t="s">
        <v>299</v>
      </c>
      <c r="AU188">
        <v>2022</v>
      </c>
      <c r="AV188">
        <v>11</v>
      </c>
      <c r="AW188">
        <v>1</v>
      </c>
      <c r="AX188" t="s">
        <v>72</v>
      </c>
      <c r="AY188" t="s">
        <v>72</v>
      </c>
      <c r="AZ188" t="s">
        <v>72</v>
      </c>
      <c r="BA188" t="s">
        <v>72</v>
      </c>
      <c r="BB188" t="s">
        <v>72</v>
      </c>
      <c r="BC188" t="s">
        <v>72</v>
      </c>
      <c r="BD188" t="s">
        <v>72</v>
      </c>
      <c r="BE188" t="s">
        <v>8463</v>
      </c>
      <c r="BF188" t="str">
        <f>HYPERLINK("http://dx.doi.org/10.26422/aucom.2022.1101.dem","http://dx.doi.org/10.26422/aucom.2022.1101.dem")</f>
        <v>http://dx.doi.org/10.26422/aucom.2022.1101.dem</v>
      </c>
      <c r="BG188" t="s">
        <v>72</v>
      </c>
      <c r="BH188" t="s">
        <v>72</v>
      </c>
      <c r="BI188">
        <v>32</v>
      </c>
      <c r="BJ188" t="s">
        <v>174</v>
      </c>
      <c r="BK188" t="s">
        <v>174</v>
      </c>
      <c r="BL188" t="s">
        <v>8464</v>
      </c>
      <c r="BM188" t="s">
        <v>72</v>
      </c>
      <c r="BN188" t="s">
        <v>1425</v>
      </c>
      <c r="BO188" t="s">
        <v>72</v>
      </c>
      <c r="BP188" t="s">
        <v>72</v>
      </c>
      <c r="BQ188" t="s">
        <v>100</v>
      </c>
      <c r="BR188" t="s">
        <v>8465</v>
      </c>
      <c r="BS188" t="str">
        <f>HYPERLINK("https%3A%2F%2Fwww.webofscience.com%2Fwos%2Fwoscc%2Ffull-record%2FWOS:000822796300001","View Full Record in Web of Science")</f>
        <v>View Full Record in Web of Science</v>
      </c>
    </row>
    <row r="189" spans="1:71" hidden="1" x14ac:dyDescent="0.2">
      <c r="A189" t="s">
        <v>70</v>
      </c>
      <c r="B189" t="s">
        <v>8490</v>
      </c>
      <c r="C189" t="s">
        <v>72</v>
      </c>
      <c r="D189" t="s">
        <v>72</v>
      </c>
      <c r="E189" t="s">
        <v>72</v>
      </c>
      <c r="F189" t="s">
        <v>8491</v>
      </c>
      <c r="G189" t="s">
        <v>72</v>
      </c>
      <c r="H189" t="s">
        <v>72</v>
      </c>
      <c r="I189" t="s">
        <v>8492</v>
      </c>
      <c r="J189" t="s">
        <v>5915</v>
      </c>
      <c r="K189" t="s">
        <v>72</v>
      </c>
      <c r="L189" t="s">
        <v>72</v>
      </c>
      <c r="M189" t="s">
        <v>76</v>
      </c>
      <c r="N189" t="s">
        <v>77</v>
      </c>
      <c r="O189" t="s">
        <v>72</v>
      </c>
      <c r="P189" t="s">
        <v>72</v>
      </c>
      <c r="Q189" t="s">
        <v>72</v>
      </c>
      <c r="R189" t="s">
        <v>72</v>
      </c>
      <c r="S189" t="s">
        <v>72</v>
      </c>
      <c r="T189" t="s">
        <v>8493</v>
      </c>
      <c r="U189" t="s">
        <v>8494</v>
      </c>
      <c r="V189" t="s">
        <v>8495</v>
      </c>
      <c r="W189" t="s">
        <v>8496</v>
      </c>
      <c r="X189" t="s">
        <v>8497</v>
      </c>
      <c r="Y189" t="s">
        <v>8498</v>
      </c>
      <c r="Z189" t="s">
        <v>8499</v>
      </c>
      <c r="AA189" t="s">
        <v>8500</v>
      </c>
      <c r="AB189" t="s">
        <v>8501</v>
      </c>
      <c r="AC189" t="s">
        <v>72</v>
      </c>
      <c r="AD189" t="s">
        <v>72</v>
      </c>
      <c r="AE189" t="s">
        <v>72</v>
      </c>
      <c r="AF189" t="s">
        <v>72</v>
      </c>
      <c r="AG189">
        <v>73</v>
      </c>
      <c r="AH189">
        <v>1</v>
      </c>
      <c r="AI189">
        <v>1</v>
      </c>
      <c r="AJ189">
        <v>7</v>
      </c>
      <c r="AK189">
        <v>25</v>
      </c>
      <c r="AL189" t="s">
        <v>190</v>
      </c>
      <c r="AM189" t="s">
        <v>191</v>
      </c>
      <c r="AN189" t="s">
        <v>192</v>
      </c>
      <c r="AO189" t="s">
        <v>5923</v>
      </c>
      <c r="AP189" t="s">
        <v>5924</v>
      </c>
      <c r="AQ189" t="s">
        <v>72</v>
      </c>
      <c r="AR189" t="s">
        <v>5925</v>
      </c>
      <c r="AS189" t="s">
        <v>5926</v>
      </c>
      <c r="AT189" t="s">
        <v>299</v>
      </c>
      <c r="AU189">
        <v>2021</v>
      </c>
      <c r="AV189">
        <v>48</v>
      </c>
      <c r="AW189">
        <v>4</v>
      </c>
      <c r="AX189" t="s">
        <v>72</v>
      </c>
      <c r="AY189" t="s">
        <v>72</v>
      </c>
      <c r="AZ189" t="s">
        <v>478</v>
      </c>
      <c r="BA189" t="s">
        <v>72</v>
      </c>
      <c r="BB189">
        <v>479</v>
      </c>
      <c r="BC189">
        <v>500</v>
      </c>
      <c r="BD189" t="s">
        <v>72</v>
      </c>
      <c r="BE189" t="s">
        <v>8502</v>
      </c>
      <c r="BF189" t="str">
        <f>HYPERLINK("http://dx.doi.org/10.1177/0093650218791011","http://dx.doi.org/10.1177/0093650218791011")</f>
        <v>http://dx.doi.org/10.1177/0093650218791011</v>
      </c>
      <c r="BG189" t="s">
        <v>72</v>
      </c>
      <c r="BH189" t="s">
        <v>72</v>
      </c>
      <c r="BI189">
        <v>22</v>
      </c>
      <c r="BJ189" t="s">
        <v>174</v>
      </c>
      <c r="BK189" t="s">
        <v>174</v>
      </c>
      <c r="BL189" t="s">
        <v>8503</v>
      </c>
      <c r="BM189" t="s">
        <v>72</v>
      </c>
      <c r="BN189" t="s">
        <v>72</v>
      </c>
      <c r="BO189" t="s">
        <v>72</v>
      </c>
      <c r="BP189" t="s">
        <v>72</v>
      </c>
      <c r="BQ189" t="s">
        <v>100</v>
      </c>
      <c r="BR189" t="s">
        <v>8504</v>
      </c>
      <c r="BS189" t="str">
        <f>HYPERLINK("https%3A%2F%2Fwww.webofscience.com%2Fwos%2Fwoscc%2Ffull-record%2FWOS:000649409500001","View Full Record in Web of Science")</f>
        <v>View Full Record in Web of Science</v>
      </c>
    </row>
    <row r="190" spans="1:71" hidden="1" x14ac:dyDescent="0.2">
      <c r="A190" t="s">
        <v>70</v>
      </c>
      <c r="B190" t="s">
        <v>9325</v>
      </c>
      <c r="C190" t="s">
        <v>72</v>
      </c>
      <c r="D190" t="s">
        <v>72</v>
      </c>
      <c r="E190" t="s">
        <v>72</v>
      </c>
      <c r="F190" t="s">
        <v>9326</v>
      </c>
      <c r="G190" t="s">
        <v>72</v>
      </c>
      <c r="H190" t="s">
        <v>72</v>
      </c>
      <c r="I190" t="s">
        <v>9327</v>
      </c>
      <c r="J190" t="s">
        <v>3086</v>
      </c>
      <c r="K190" t="s">
        <v>72</v>
      </c>
      <c r="L190" t="s">
        <v>72</v>
      </c>
      <c r="M190" t="s">
        <v>76</v>
      </c>
      <c r="N190" t="s">
        <v>77</v>
      </c>
      <c r="O190" t="s">
        <v>72</v>
      </c>
      <c r="P190" t="s">
        <v>72</v>
      </c>
      <c r="Q190" t="s">
        <v>72</v>
      </c>
      <c r="R190" t="s">
        <v>72</v>
      </c>
      <c r="S190" t="s">
        <v>72</v>
      </c>
      <c r="T190" t="s">
        <v>72</v>
      </c>
      <c r="U190" t="s">
        <v>72</v>
      </c>
      <c r="V190" t="s">
        <v>9328</v>
      </c>
      <c r="W190" t="s">
        <v>9329</v>
      </c>
      <c r="X190" t="s">
        <v>2622</v>
      </c>
      <c r="Y190" t="s">
        <v>9330</v>
      </c>
      <c r="Z190" t="s">
        <v>3787</v>
      </c>
      <c r="AA190" t="s">
        <v>9331</v>
      </c>
      <c r="AB190" t="s">
        <v>9332</v>
      </c>
      <c r="AC190" t="s">
        <v>9333</v>
      </c>
      <c r="AD190" t="s">
        <v>9334</v>
      </c>
      <c r="AE190" t="s">
        <v>9335</v>
      </c>
      <c r="AF190" t="s">
        <v>72</v>
      </c>
      <c r="AG190">
        <v>49</v>
      </c>
      <c r="AH190">
        <v>4</v>
      </c>
      <c r="AI190">
        <v>4</v>
      </c>
      <c r="AJ190">
        <v>12</v>
      </c>
      <c r="AK190">
        <v>13</v>
      </c>
      <c r="AL190" t="s">
        <v>364</v>
      </c>
      <c r="AM190" t="s">
        <v>365</v>
      </c>
      <c r="AN190" t="s">
        <v>366</v>
      </c>
      <c r="AO190" t="s">
        <v>3096</v>
      </c>
      <c r="AP190" t="s">
        <v>3097</v>
      </c>
      <c r="AQ190" t="s">
        <v>72</v>
      </c>
      <c r="AR190" t="s">
        <v>3098</v>
      </c>
      <c r="AS190" t="s">
        <v>3099</v>
      </c>
      <c r="AT190" t="s">
        <v>5039</v>
      </c>
      <c r="AU190">
        <v>2022</v>
      </c>
      <c r="AV190">
        <v>16</v>
      </c>
      <c r="AW190">
        <v>2</v>
      </c>
      <c r="AX190" t="s">
        <v>72</v>
      </c>
      <c r="AY190" t="s">
        <v>72</v>
      </c>
      <c r="AZ190" t="s">
        <v>72</v>
      </c>
      <c r="BA190" t="s">
        <v>72</v>
      </c>
      <c r="BB190">
        <v>96</v>
      </c>
      <c r="BC190">
        <v>114</v>
      </c>
      <c r="BD190" t="s">
        <v>72</v>
      </c>
      <c r="BE190" t="s">
        <v>9336</v>
      </c>
      <c r="BF190" t="str">
        <f>HYPERLINK("http://dx.doi.org/10.1080/19312458.2021.1965973","http://dx.doi.org/10.1080/19312458.2021.1965973")</f>
        <v>http://dx.doi.org/10.1080/19312458.2021.1965973</v>
      </c>
      <c r="BG190" t="s">
        <v>72</v>
      </c>
      <c r="BH190" t="s">
        <v>2792</v>
      </c>
      <c r="BI190">
        <v>19</v>
      </c>
      <c r="BJ190" t="s">
        <v>174</v>
      </c>
      <c r="BK190" t="s">
        <v>174</v>
      </c>
      <c r="BL190" t="s">
        <v>9337</v>
      </c>
      <c r="BM190" t="s">
        <v>72</v>
      </c>
      <c r="BN190" t="s">
        <v>280</v>
      </c>
      <c r="BO190" t="s">
        <v>72</v>
      </c>
      <c r="BP190" t="s">
        <v>72</v>
      </c>
      <c r="BQ190" t="s">
        <v>100</v>
      </c>
      <c r="BR190" t="s">
        <v>9338</v>
      </c>
      <c r="BS190" t="str">
        <f>HYPERLINK("https%3A%2F%2Fwww.webofscience.com%2Fwos%2Fwoscc%2Ffull-record%2FWOS:000693532300001","View Full Record in Web of Science")</f>
        <v>View Full Record in Web of Science</v>
      </c>
    </row>
    <row r="191" spans="1:71" hidden="1" x14ac:dyDescent="0.2">
      <c r="A191" t="s">
        <v>70</v>
      </c>
      <c r="B191" t="s">
        <v>9339</v>
      </c>
      <c r="C191" t="s">
        <v>72</v>
      </c>
      <c r="D191" t="s">
        <v>72</v>
      </c>
      <c r="E191" t="s">
        <v>72</v>
      </c>
      <c r="F191" t="s">
        <v>9340</v>
      </c>
      <c r="G191" t="s">
        <v>72</v>
      </c>
      <c r="H191" t="s">
        <v>72</v>
      </c>
      <c r="I191" t="s">
        <v>9341</v>
      </c>
      <c r="J191" t="s">
        <v>9342</v>
      </c>
      <c r="K191" t="s">
        <v>72</v>
      </c>
      <c r="L191" t="s">
        <v>72</v>
      </c>
      <c r="M191" t="s">
        <v>76</v>
      </c>
      <c r="N191" t="s">
        <v>77</v>
      </c>
      <c r="O191" t="s">
        <v>72</v>
      </c>
      <c r="P191" t="s">
        <v>72</v>
      </c>
      <c r="Q191" t="s">
        <v>72</v>
      </c>
      <c r="R191" t="s">
        <v>72</v>
      </c>
      <c r="S191" t="s">
        <v>72</v>
      </c>
      <c r="T191" t="s">
        <v>9343</v>
      </c>
      <c r="U191" t="s">
        <v>9344</v>
      </c>
      <c r="V191" t="s">
        <v>9345</v>
      </c>
      <c r="W191" t="s">
        <v>9346</v>
      </c>
      <c r="X191" t="s">
        <v>9347</v>
      </c>
      <c r="Y191" t="s">
        <v>9348</v>
      </c>
      <c r="Z191" t="s">
        <v>9349</v>
      </c>
      <c r="AA191" t="s">
        <v>72</v>
      </c>
      <c r="AB191" t="s">
        <v>9350</v>
      </c>
      <c r="AC191" t="s">
        <v>72</v>
      </c>
      <c r="AD191" t="s">
        <v>72</v>
      </c>
      <c r="AE191" t="s">
        <v>72</v>
      </c>
      <c r="AF191" t="s">
        <v>72</v>
      </c>
      <c r="AG191">
        <v>68</v>
      </c>
      <c r="AH191">
        <v>1</v>
      </c>
      <c r="AI191">
        <v>1</v>
      </c>
      <c r="AJ191">
        <v>1</v>
      </c>
      <c r="AK191">
        <v>4</v>
      </c>
      <c r="AL191" t="s">
        <v>2073</v>
      </c>
      <c r="AM191" t="s">
        <v>365</v>
      </c>
      <c r="AN191" t="s">
        <v>2074</v>
      </c>
      <c r="AO191" t="s">
        <v>9351</v>
      </c>
      <c r="AP191" t="s">
        <v>9352</v>
      </c>
      <c r="AQ191" t="s">
        <v>72</v>
      </c>
      <c r="AR191" t="s">
        <v>9353</v>
      </c>
      <c r="AS191" t="s">
        <v>9354</v>
      </c>
      <c r="AT191" t="s">
        <v>9355</v>
      </c>
      <c r="AU191">
        <v>2021</v>
      </c>
      <c r="AV191">
        <v>5</v>
      </c>
      <c r="AW191">
        <v>2</v>
      </c>
      <c r="AX191" t="s">
        <v>72</v>
      </c>
      <c r="AY191" t="s">
        <v>72</v>
      </c>
      <c r="AZ191" t="s">
        <v>72</v>
      </c>
      <c r="BA191" t="s">
        <v>72</v>
      </c>
      <c r="BB191">
        <v>135</v>
      </c>
      <c r="BC191">
        <v>153</v>
      </c>
      <c r="BD191" t="s">
        <v>72</v>
      </c>
      <c r="BE191" t="s">
        <v>9356</v>
      </c>
      <c r="BF191" t="str">
        <f>HYPERLINK("http://dx.doi.org/10.1080/24701475.2020.1749805","http://dx.doi.org/10.1080/24701475.2020.1749805")</f>
        <v>http://dx.doi.org/10.1080/24701475.2020.1749805</v>
      </c>
      <c r="BG191" t="s">
        <v>72</v>
      </c>
      <c r="BH191" t="s">
        <v>72</v>
      </c>
      <c r="BI191">
        <v>19</v>
      </c>
      <c r="BJ191" t="s">
        <v>174</v>
      </c>
      <c r="BK191" t="s">
        <v>174</v>
      </c>
      <c r="BL191" t="s">
        <v>9357</v>
      </c>
      <c r="BM191" t="s">
        <v>72</v>
      </c>
      <c r="BN191" t="s">
        <v>72</v>
      </c>
      <c r="BO191" t="s">
        <v>72</v>
      </c>
      <c r="BP191" t="s">
        <v>72</v>
      </c>
      <c r="BQ191" t="s">
        <v>100</v>
      </c>
      <c r="BR191" t="s">
        <v>9358</v>
      </c>
      <c r="BS191" t="str">
        <f>HYPERLINK("https%3A%2F%2Fwww.webofscience.com%2Fwos%2Fwoscc%2Ffull-record%2FWOS:000667798200004","View Full Record in Web of Science")</f>
        <v>View Full Record in Web of Science</v>
      </c>
    </row>
    <row r="192" spans="1:71" hidden="1" x14ac:dyDescent="0.2">
      <c r="A192" t="s">
        <v>70</v>
      </c>
      <c r="B192" t="s">
        <v>9413</v>
      </c>
      <c r="C192" t="s">
        <v>72</v>
      </c>
      <c r="D192" t="s">
        <v>72</v>
      </c>
      <c r="E192" t="s">
        <v>72</v>
      </c>
      <c r="F192" t="s">
        <v>9414</v>
      </c>
      <c r="G192" t="s">
        <v>72</v>
      </c>
      <c r="H192" t="s">
        <v>72</v>
      </c>
      <c r="I192" t="s">
        <v>9415</v>
      </c>
      <c r="J192" t="s">
        <v>5915</v>
      </c>
      <c r="K192" t="s">
        <v>72</v>
      </c>
      <c r="L192" t="s">
        <v>72</v>
      </c>
      <c r="M192" t="s">
        <v>76</v>
      </c>
      <c r="N192" t="s">
        <v>352</v>
      </c>
      <c r="O192" t="s">
        <v>72</v>
      </c>
      <c r="P192" t="s">
        <v>72</v>
      </c>
      <c r="Q192" t="s">
        <v>72</v>
      </c>
      <c r="R192" t="s">
        <v>72</v>
      </c>
      <c r="S192" t="s">
        <v>72</v>
      </c>
      <c r="T192" t="s">
        <v>9416</v>
      </c>
      <c r="U192" t="s">
        <v>72</v>
      </c>
      <c r="V192" t="s">
        <v>9417</v>
      </c>
      <c r="W192" t="s">
        <v>9418</v>
      </c>
      <c r="X192" t="s">
        <v>164</v>
      </c>
      <c r="Y192" t="s">
        <v>9419</v>
      </c>
      <c r="Z192" t="s">
        <v>9420</v>
      </c>
      <c r="AA192" t="s">
        <v>72</v>
      </c>
      <c r="AB192" t="s">
        <v>9421</v>
      </c>
      <c r="AC192" t="s">
        <v>72</v>
      </c>
      <c r="AD192" t="s">
        <v>72</v>
      </c>
      <c r="AE192" t="s">
        <v>72</v>
      </c>
      <c r="AF192" t="s">
        <v>72</v>
      </c>
      <c r="AG192">
        <v>43</v>
      </c>
      <c r="AH192">
        <v>15</v>
      </c>
      <c r="AI192">
        <v>15</v>
      </c>
      <c r="AJ192">
        <v>6</v>
      </c>
      <c r="AK192">
        <v>37</v>
      </c>
      <c r="AL192" t="s">
        <v>190</v>
      </c>
      <c r="AM192" t="s">
        <v>191</v>
      </c>
      <c r="AN192" t="s">
        <v>192</v>
      </c>
      <c r="AO192" t="s">
        <v>5923</v>
      </c>
      <c r="AP192" t="s">
        <v>5924</v>
      </c>
      <c r="AQ192" t="s">
        <v>72</v>
      </c>
      <c r="AR192" t="s">
        <v>5925</v>
      </c>
      <c r="AS192" t="s">
        <v>5926</v>
      </c>
      <c r="AT192" t="s">
        <v>72</v>
      </c>
      <c r="AU192" t="s">
        <v>72</v>
      </c>
      <c r="AV192" t="s">
        <v>72</v>
      </c>
      <c r="AW192" t="s">
        <v>72</v>
      </c>
      <c r="AX192" t="s">
        <v>72</v>
      </c>
      <c r="AY192" t="s">
        <v>72</v>
      </c>
      <c r="AZ192" t="s">
        <v>72</v>
      </c>
      <c r="BA192" t="s">
        <v>72</v>
      </c>
      <c r="BB192" t="s">
        <v>72</v>
      </c>
      <c r="BC192" t="s">
        <v>72</v>
      </c>
      <c r="BD192">
        <v>93650220982762</v>
      </c>
      <c r="BE192" t="s">
        <v>9422</v>
      </c>
      <c r="BF192" t="str">
        <f>HYPERLINK("http://dx.doi.org/10.1177/0093650220982762","http://dx.doi.org/10.1177/0093650220982762")</f>
        <v>http://dx.doi.org/10.1177/0093650220982762</v>
      </c>
      <c r="BG192" t="s">
        <v>72</v>
      </c>
      <c r="BH192" t="s">
        <v>4447</v>
      </c>
      <c r="BI192">
        <v>24</v>
      </c>
      <c r="BJ192" t="s">
        <v>174</v>
      </c>
      <c r="BK192" t="s">
        <v>174</v>
      </c>
      <c r="BL192" t="s">
        <v>9423</v>
      </c>
      <c r="BM192" t="s">
        <v>72</v>
      </c>
      <c r="BN192" t="s">
        <v>280</v>
      </c>
      <c r="BO192" t="s">
        <v>72</v>
      </c>
      <c r="BP192" t="s">
        <v>72</v>
      </c>
      <c r="BQ192" t="s">
        <v>100</v>
      </c>
      <c r="BR192" t="s">
        <v>9424</v>
      </c>
      <c r="BS192" t="str">
        <f>HYPERLINK("https%3A%2F%2Fwww.webofscience.com%2Fwos%2Fwoscc%2Ffull-record%2FWOS:000608776000001","View Full Record in Web of Science")</f>
        <v>View Full Record in Web of Science</v>
      </c>
    </row>
    <row r="193" spans="1:71" hidden="1" x14ac:dyDescent="0.2">
      <c r="A193" t="s">
        <v>70</v>
      </c>
      <c r="B193" t="s">
        <v>9495</v>
      </c>
      <c r="C193" t="s">
        <v>72</v>
      </c>
      <c r="D193" t="s">
        <v>72</v>
      </c>
      <c r="E193" t="s">
        <v>72</v>
      </c>
      <c r="F193" t="s">
        <v>9496</v>
      </c>
      <c r="G193" t="s">
        <v>72</v>
      </c>
      <c r="H193" t="s">
        <v>72</v>
      </c>
      <c r="I193" t="s">
        <v>9497</v>
      </c>
      <c r="J193" t="s">
        <v>9498</v>
      </c>
      <c r="K193" t="s">
        <v>72</v>
      </c>
      <c r="L193" t="s">
        <v>72</v>
      </c>
      <c r="M193" t="s">
        <v>76</v>
      </c>
      <c r="N193" t="s">
        <v>77</v>
      </c>
      <c r="O193" t="s">
        <v>72</v>
      </c>
      <c r="P193" t="s">
        <v>72</v>
      </c>
      <c r="Q193" t="s">
        <v>72</v>
      </c>
      <c r="R193" t="s">
        <v>72</v>
      </c>
      <c r="S193" t="s">
        <v>72</v>
      </c>
      <c r="T193" t="s">
        <v>72</v>
      </c>
      <c r="U193" t="s">
        <v>9499</v>
      </c>
      <c r="V193" t="s">
        <v>9500</v>
      </c>
      <c r="W193" t="s">
        <v>9501</v>
      </c>
      <c r="X193" t="s">
        <v>9502</v>
      </c>
      <c r="Y193" t="s">
        <v>9503</v>
      </c>
      <c r="Z193" t="s">
        <v>9504</v>
      </c>
      <c r="AA193" t="s">
        <v>72</v>
      </c>
      <c r="AB193" t="s">
        <v>72</v>
      </c>
      <c r="AC193" t="s">
        <v>72</v>
      </c>
      <c r="AD193" t="s">
        <v>72</v>
      </c>
      <c r="AE193" t="s">
        <v>72</v>
      </c>
      <c r="AF193" t="s">
        <v>72</v>
      </c>
      <c r="AG193">
        <v>35</v>
      </c>
      <c r="AH193">
        <v>4</v>
      </c>
      <c r="AI193">
        <v>4</v>
      </c>
      <c r="AJ193">
        <v>1</v>
      </c>
      <c r="AK193">
        <v>9</v>
      </c>
      <c r="AL193" t="s">
        <v>364</v>
      </c>
      <c r="AM193" t="s">
        <v>365</v>
      </c>
      <c r="AN193" t="s">
        <v>366</v>
      </c>
      <c r="AO193" t="s">
        <v>9505</v>
      </c>
      <c r="AP193" t="s">
        <v>9506</v>
      </c>
      <c r="AQ193" t="s">
        <v>72</v>
      </c>
      <c r="AR193" t="s">
        <v>9507</v>
      </c>
      <c r="AS193" t="s">
        <v>9508</v>
      </c>
      <c r="AT193" t="s">
        <v>72</v>
      </c>
      <c r="AU193">
        <v>2017</v>
      </c>
      <c r="AV193">
        <v>25</v>
      </c>
      <c r="AW193">
        <v>2</v>
      </c>
      <c r="AX193" t="s">
        <v>72</v>
      </c>
      <c r="AY193" t="s">
        <v>72</v>
      </c>
      <c r="AZ193" t="s">
        <v>72</v>
      </c>
      <c r="BA193" t="s">
        <v>72</v>
      </c>
      <c r="BB193">
        <v>127</v>
      </c>
      <c r="BC193">
        <v>137</v>
      </c>
      <c r="BD193" t="s">
        <v>72</v>
      </c>
      <c r="BE193" t="s">
        <v>9509</v>
      </c>
      <c r="BF193" t="str">
        <f>HYPERLINK("http://dx.doi.org/10.1080/15456870.2017.1293670","http://dx.doi.org/10.1080/15456870.2017.1293670")</f>
        <v>http://dx.doi.org/10.1080/15456870.2017.1293670</v>
      </c>
      <c r="BG193" t="s">
        <v>72</v>
      </c>
      <c r="BH193" t="s">
        <v>72</v>
      </c>
      <c r="BI193">
        <v>11</v>
      </c>
      <c r="BJ193" t="s">
        <v>174</v>
      </c>
      <c r="BK193" t="s">
        <v>174</v>
      </c>
      <c r="BL193" t="s">
        <v>9510</v>
      </c>
      <c r="BM193" t="s">
        <v>72</v>
      </c>
      <c r="BN193" t="s">
        <v>72</v>
      </c>
      <c r="BO193" t="s">
        <v>72</v>
      </c>
      <c r="BP193" t="s">
        <v>72</v>
      </c>
      <c r="BQ193" t="s">
        <v>100</v>
      </c>
      <c r="BR193" t="s">
        <v>9511</v>
      </c>
      <c r="BS193" t="str">
        <f>HYPERLINK("https%3A%2F%2Fwww.webofscience.com%2Fwos%2Fwoscc%2Ffull-record%2FWOS:000404435400005","View Full Record in Web of Science")</f>
        <v>View Full Record in Web of Science</v>
      </c>
    </row>
    <row r="194" spans="1:71" hidden="1" x14ac:dyDescent="0.2">
      <c r="A194" t="s">
        <v>70</v>
      </c>
      <c r="B194" t="s">
        <v>9642</v>
      </c>
      <c r="C194" t="s">
        <v>72</v>
      </c>
      <c r="D194" t="s">
        <v>72</v>
      </c>
      <c r="E194" t="s">
        <v>72</v>
      </c>
      <c r="F194" t="s">
        <v>9643</v>
      </c>
      <c r="G194" t="s">
        <v>72</v>
      </c>
      <c r="H194" t="s">
        <v>72</v>
      </c>
      <c r="I194" t="s">
        <v>9644</v>
      </c>
      <c r="J194" t="s">
        <v>9645</v>
      </c>
      <c r="K194" t="s">
        <v>72</v>
      </c>
      <c r="L194" t="s">
        <v>72</v>
      </c>
      <c r="M194" t="s">
        <v>76</v>
      </c>
      <c r="N194" t="s">
        <v>77</v>
      </c>
      <c r="O194" t="s">
        <v>72</v>
      </c>
      <c r="P194" t="s">
        <v>72</v>
      </c>
      <c r="Q194" t="s">
        <v>72</v>
      </c>
      <c r="R194" t="s">
        <v>72</v>
      </c>
      <c r="S194" t="s">
        <v>72</v>
      </c>
      <c r="T194" t="s">
        <v>72</v>
      </c>
      <c r="U194" t="s">
        <v>9646</v>
      </c>
      <c r="V194" t="s">
        <v>9647</v>
      </c>
      <c r="W194" t="s">
        <v>9648</v>
      </c>
      <c r="X194" t="s">
        <v>164</v>
      </c>
      <c r="Y194" t="s">
        <v>9649</v>
      </c>
      <c r="Z194" t="s">
        <v>9650</v>
      </c>
      <c r="AA194" t="s">
        <v>9651</v>
      </c>
      <c r="AB194" t="s">
        <v>9652</v>
      </c>
      <c r="AC194" t="s">
        <v>9653</v>
      </c>
      <c r="AD194" t="s">
        <v>4254</v>
      </c>
      <c r="AE194" t="s">
        <v>9654</v>
      </c>
      <c r="AF194" t="s">
        <v>72</v>
      </c>
      <c r="AG194">
        <v>62</v>
      </c>
      <c r="AH194">
        <v>5</v>
      </c>
      <c r="AI194">
        <v>5</v>
      </c>
      <c r="AJ194">
        <v>3</v>
      </c>
      <c r="AK194">
        <v>19</v>
      </c>
      <c r="AL194" t="s">
        <v>364</v>
      </c>
      <c r="AM194" t="s">
        <v>365</v>
      </c>
      <c r="AN194" t="s">
        <v>366</v>
      </c>
      <c r="AO194" t="s">
        <v>9655</v>
      </c>
      <c r="AP194" t="s">
        <v>9656</v>
      </c>
      <c r="AQ194" t="s">
        <v>72</v>
      </c>
      <c r="AR194" t="s">
        <v>9657</v>
      </c>
      <c r="AS194" t="s">
        <v>9658</v>
      </c>
      <c r="AT194" t="s">
        <v>2960</v>
      </c>
      <c r="AU194">
        <v>2020</v>
      </c>
      <c r="AV194">
        <v>23</v>
      </c>
      <c r="AW194">
        <v>2</v>
      </c>
      <c r="AX194" t="s">
        <v>72</v>
      </c>
      <c r="AY194" t="s">
        <v>72</v>
      </c>
      <c r="AZ194" t="s">
        <v>72</v>
      </c>
      <c r="BA194" t="s">
        <v>72</v>
      </c>
      <c r="BB194">
        <v>272</v>
      </c>
      <c r="BC194">
        <v>296</v>
      </c>
      <c r="BD194" t="s">
        <v>72</v>
      </c>
      <c r="BE194" t="s">
        <v>9659</v>
      </c>
      <c r="BF194" t="str">
        <f>HYPERLINK("http://dx.doi.org/10.1080/15205436.2019.1694155","http://dx.doi.org/10.1080/15205436.2019.1694155")</f>
        <v>http://dx.doi.org/10.1080/15205436.2019.1694155</v>
      </c>
      <c r="BG194" t="s">
        <v>72</v>
      </c>
      <c r="BH194" t="s">
        <v>6816</v>
      </c>
      <c r="BI194">
        <v>25</v>
      </c>
      <c r="BJ194" t="s">
        <v>174</v>
      </c>
      <c r="BK194" t="s">
        <v>174</v>
      </c>
      <c r="BL194" t="s">
        <v>9660</v>
      </c>
      <c r="BM194" t="s">
        <v>72</v>
      </c>
      <c r="BN194" t="s">
        <v>346</v>
      </c>
      <c r="BO194" t="s">
        <v>72</v>
      </c>
      <c r="BP194" t="s">
        <v>72</v>
      </c>
      <c r="BQ194" t="s">
        <v>100</v>
      </c>
      <c r="BR194" t="s">
        <v>9661</v>
      </c>
      <c r="BS194" t="str">
        <f>HYPERLINK("https%3A%2F%2Fwww.webofscience.com%2Fwos%2Fwoscc%2Ffull-record%2FWOS:000503135800001","View Full Record in Web of Science")</f>
        <v>View Full Record in Web of Science</v>
      </c>
    </row>
    <row r="195" spans="1:71" hidden="1" x14ac:dyDescent="0.2">
      <c r="A195" t="s">
        <v>70</v>
      </c>
      <c r="B195" t="s">
        <v>9691</v>
      </c>
      <c r="C195" t="s">
        <v>72</v>
      </c>
      <c r="D195" t="s">
        <v>72</v>
      </c>
      <c r="E195" t="s">
        <v>72</v>
      </c>
      <c r="F195" t="s">
        <v>9692</v>
      </c>
      <c r="G195" t="s">
        <v>72</v>
      </c>
      <c r="H195" t="s">
        <v>72</v>
      </c>
      <c r="I195" t="s">
        <v>9693</v>
      </c>
      <c r="J195" t="s">
        <v>9694</v>
      </c>
      <c r="K195" t="s">
        <v>72</v>
      </c>
      <c r="L195" t="s">
        <v>72</v>
      </c>
      <c r="M195" t="s">
        <v>76</v>
      </c>
      <c r="N195" t="s">
        <v>77</v>
      </c>
      <c r="O195" t="s">
        <v>72</v>
      </c>
      <c r="P195" t="s">
        <v>72</v>
      </c>
      <c r="Q195" t="s">
        <v>72</v>
      </c>
      <c r="R195" t="s">
        <v>72</v>
      </c>
      <c r="S195" t="s">
        <v>72</v>
      </c>
      <c r="T195" t="s">
        <v>9695</v>
      </c>
      <c r="U195" t="s">
        <v>9696</v>
      </c>
      <c r="V195" t="s">
        <v>9697</v>
      </c>
      <c r="W195" t="s">
        <v>9698</v>
      </c>
      <c r="X195" t="s">
        <v>9699</v>
      </c>
      <c r="Y195" t="s">
        <v>9700</v>
      </c>
      <c r="Z195" t="s">
        <v>9701</v>
      </c>
      <c r="AA195" t="s">
        <v>9702</v>
      </c>
      <c r="AB195" t="s">
        <v>9703</v>
      </c>
      <c r="AC195" t="s">
        <v>72</v>
      </c>
      <c r="AD195" t="s">
        <v>72</v>
      </c>
      <c r="AE195" t="s">
        <v>72</v>
      </c>
      <c r="AF195" t="s">
        <v>72</v>
      </c>
      <c r="AG195">
        <v>71</v>
      </c>
      <c r="AH195">
        <v>50</v>
      </c>
      <c r="AI195">
        <v>51</v>
      </c>
      <c r="AJ195">
        <v>11</v>
      </c>
      <c r="AK195">
        <v>133</v>
      </c>
      <c r="AL195" t="s">
        <v>336</v>
      </c>
      <c r="AM195" t="s">
        <v>337</v>
      </c>
      <c r="AN195" t="s">
        <v>338</v>
      </c>
      <c r="AO195" t="s">
        <v>9704</v>
      </c>
      <c r="AP195" t="s">
        <v>72</v>
      </c>
      <c r="AQ195" t="s">
        <v>72</v>
      </c>
      <c r="AR195" t="s">
        <v>9705</v>
      </c>
      <c r="AS195" t="s">
        <v>9706</v>
      </c>
      <c r="AT195" t="s">
        <v>9707</v>
      </c>
      <c r="AU195">
        <v>2018</v>
      </c>
      <c r="AV195">
        <v>4</v>
      </c>
      <c r="AW195">
        <v>3</v>
      </c>
      <c r="AX195" t="s">
        <v>72</v>
      </c>
      <c r="AY195" t="s">
        <v>72</v>
      </c>
      <c r="AZ195" t="s">
        <v>72</v>
      </c>
      <c r="BA195" t="s">
        <v>72</v>
      </c>
      <c r="BB195" t="s">
        <v>72</v>
      </c>
      <c r="BC195" t="s">
        <v>72</v>
      </c>
      <c r="BD195">
        <v>2056305118786720</v>
      </c>
      <c r="BE195" t="s">
        <v>9708</v>
      </c>
      <c r="BF195" t="str">
        <f>HYPERLINK("http://dx.doi.org/10.1177/2056305118786720","http://dx.doi.org/10.1177/2056305118786720")</f>
        <v>http://dx.doi.org/10.1177/2056305118786720</v>
      </c>
      <c r="BG195" t="s">
        <v>72</v>
      </c>
      <c r="BH195" t="s">
        <v>72</v>
      </c>
      <c r="BI195">
        <v>20</v>
      </c>
      <c r="BJ195" t="s">
        <v>174</v>
      </c>
      <c r="BK195" t="s">
        <v>174</v>
      </c>
      <c r="BL195" t="s">
        <v>9709</v>
      </c>
      <c r="BM195" t="s">
        <v>72</v>
      </c>
      <c r="BN195" t="s">
        <v>9710</v>
      </c>
      <c r="BO195" t="s">
        <v>72</v>
      </c>
      <c r="BP195" t="s">
        <v>72</v>
      </c>
      <c r="BQ195" t="s">
        <v>100</v>
      </c>
      <c r="BR195" t="s">
        <v>9711</v>
      </c>
      <c r="BS195" t="str">
        <f>HYPERLINK("https%3A%2F%2Fwww.webofscience.com%2Fwos%2Fwoscc%2Ffull-record%2FWOS:000441610600001","View Full Record in Web of Science")</f>
        <v>View Full Record in Web of Science</v>
      </c>
    </row>
    <row r="196" spans="1:71" hidden="1" x14ac:dyDescent="0.2">
      <c r="A196" t="s">
        <v>70</v>
      </c>
      <c r="B196" t="s">
        <v>9764</v>
      </c>
      <c r="C196" t="s">
        <v>72</v>
      </c>
      <c r="D196" t="s">
        <v>72</v>
      </c>
      <c r="E196" t="s">
        <v>72</v>
      </c>
      <c r="F196" t="s">
        <v>9765</v>
      </c>
      <c r="G196" t="s">
        <v>72</v>
      </c>
      <c r="H196" t="s">
        <v>72</v>
      </c>
      <c r="I196" t="s">
        <v>9766</v>
      </c>
      <c r="J196" t="s">
        <v>1563</v>
      </c>
      <c r="K196" t="s">
        <v>72</v>
      </c>
      <c r="L196" t="s">
        <v>72</v>
      </c>
      <c r="M196" t="s">
        <v>76</v>
      </c>
      <c r="N196" t="s">
        <v>77</v>
      </c>
      <c r="O196" t="s">
        <v>72</v>
      </c>
      <c r="P196" t="s">
        <v>72</v>
      </c>
      <c r="Q196" t="s">
        <v>72</v>
      </c>
      <c r="R196" t="s">
        <v>72</v>
      </c>
      <c r="S196" t="s">
        <v>72</v>
      </c>
      <c r="T196" t="s">
        <v>9767</v>
      </c>
      <c r="U196" t="s">
        <v>9768</v>
      </c>
      <c r="V196" t="s">
        <v>9769</v>
      </c>
      <c r="W196" t="s">
        <v>9770</v>
      </c>
      <c r="X196" t="s">
        <v>9771</v>
      </c>
      <c r="Y196" t="s">
        <v>9772</v>
      </c>
      <c r="Z196" t="s">
        <v>9773</v>
      </c>
      <c r="AA196" t="s">
        <v>9774</v>
      </c>
      <c r="AB196" t="s">
        <v>9775</v>
      </c>
      <c r="AC196" t="s">
        <v>72</v>
      </c>
      <c r="AD196" t="s">
        <v>72</v>
      </c>
      <c r="AE196" t="s">
        <v>72</v>
      </c>
      <c r="AF196" t="s">
        <v>72</v>
      </c>
      <c r="AG196">
        <v>51</v>
      </c>
      <c r="AH196">
        <v>28</v>
      </c>
      <c r="AI196">
        <v>28</v>
      </c>
      <c r="AJ196">
        <v>0</v>
      </c>
      <c r="AK196">
        <v>32</v>
      </c>
      <c r="AL196" t="s">
        <v>963</v>
      </c>
      <c r="AM196" t="s">
        <v>964</v>
      </c>
      <c r="AN196" t="s">
        <v>965</v>
      </c>
      <c r="AO196" t="s">
        <v>1576</v>
      </c>
      <c r="AP196" t="s">
        <v>1577</v>
      </c>
      <c r="AQ196" t="s">
        <v>72</v>
      </c>
      <c r="AR196" t="s">
        <v>1578</v>
      </c>
      <c r="AS196" t="s">
        <v>1579</v>
      </c>
      <c r="AT196" t="s">
        <v>1602</v>
      </c>
      <c r="AU196">
        <v>2015</v>
      </c>
      <c r="AV196">
        <v>65</v>
      </c>
      <c r="AW196">
        <v>1</v>
      </c>
      <c r="AX196" t="s">
        <v>72</v>
      </c>
      <c r="AY196" t="s">
        <v>72</v>
      </c>
      <c r="AZ196" t="s">
        <v>72</v>
      </c>
      <c r="BA196" t="s">
        <v>72</v>
      </c>
      <c r="BB196">
        <v>1</v>
      </c>
      <c r="BC196">
        <v>23</v>
      </c>
      <c r="BD196" t="s">
        <v>72</v>
      </c>
      <c r="BE196" t="s">
        <v>9776</v>
      </c>
      <c r="BF196" t="str">
        <f>HYPERLINK("http://dx.doi.org/10.1111/jcom.12141","http://dx.doi.org/10.1111/jcom.12141")</f>
        <v>http://dx.doi.org/10.1111/jcom.12141</v>
      </c>
      <c r="BG196" t="s">
        <v>72</v>
      </c>
      <c r="BH196" t="s">
        <v>72</v>
      </c>
      <c r="BI196">
        <v>23</v>
      </c>
      <c r="BJ196" t="s">
        <v>174</v>
      </c>
      <c r="BK196" t="s">
        <v>174</v>
      </c>
      <c r="BL196" t="s">
        <v>9777</v>
      </c>
      <c r="BM196" t="s">
        <v>72</v>
      </c>
      <c r="BN196" t="s">
        <v>72</v>
      </c>
      <c r="BO196" t="s">
        <v>72</v>
      </c>
      <c r="BP196" t="s">
        <v>72</v>
      </c>
      <c r="BQ196" t="s">
        <v>100</v>
      </c>
      <c r="BR196" t="s">
        <v>9778</v>
      </c>
      <c r="BS196" t="str">
        <f>HYPERLINK("https%3A%2F%2Fwww.webofscience.com%2Fwos%2Fwoscc%2Ffull-record%2FWOS:000349781300002","View Full Record in Web of Science")</f>
        <v>View Full Record in Web of Science</v>
      </c>
    </row>
    <row r="197" spans="1:71" hidden="1" x14ac:dyDescent="0.2">
      <c r="A197" t="s">
        <v>70</v>
      </c>
      <c r="B197" t="s">
        <v>9909</v>
      </c>
      <c r="C197" t="s">
        <v>72</v>
      </c>
      <c r="D197" t="s">
        <v>72</v>
      </c>
      <c r="E197" t="s">
        <v>72</v>
      </c>
      <c r="F197" t="s">
        <v>9910</v>
      </c>
      <c r="G197" t="s">
        <v>72</v>
      </c>
      <c r="H197" t="s">
        <v>72</v>
      </c>
      <c r="I197" t="s">
        <v>9911</v>
      </c>
      <c r="J197" t="s">
        <v>800</v>
      </c>
      <c r="K197" t="s">
        <v>72</v>
      </c>
      <c r="L197" t="s">
        <v>72</v>
      </c>
      <c r="M197" t="s">
        <v>76</v>
      </c>
      <c r="N197" t="s">
        <v>352</v>
      </c>
      <c r="O197" t="s">
        <v>72</v>
      </c>
      <c r="P197" t="s">
        <v>72</v>
      </c>
      <c r="Q197" t="s">
        <v>72</v>
      </c>
      <c r="R197" t="s">
        <v>72</v>
      </c>
      <c r="S197" t="s">
        <v>72</v>
      </c>
      <c r="T197" t="s">
        <v>9912</v>
      </c>
      <c r="U197" t="s">
        <v>9913</v>
      </c>
      <c r="V197" t="s">
        <v>9914</v>
      </c>
      <c r="W197" t="s">
        <v>9915</v>
      </c>
      <c r="X197" t="s">
        <v>1242</v>
      </c>
      <c r="Y197" t="s">
        <v>9916</v>
      </c>
      <c r="Z197" t="s">
        <v>9917</v>
      </c>
      <c r="AA197" t="s">
        <v>72</v>
      </c>
      <c r="AB197" t="s">
        <v>9918</v>
      </c>
      <c r="AC197" t="s">
        <v>72</v>
      </c>
      <c r="AD197" t="s">
        <v>72</v>
      </c>
      <c r="AE197" t="s">
        <v>72</v>
      </c>
      <c r="AF197" t="s">
        <v>72</v>
      </c>
      <c r="AG197">
        <v>60</v>
      </c>
      <c r="AH197">
        <v>0</v>
      </c>
      <c r="AI197">
        <v>0</v>
      </c>
      <c r="AJ197">
        <v>5</v>
      </c>
      <c r="AK197">
        <v>5</v>
      </c>
      <c r="AL197" t="s">
        <v>364</v>
      </c>
      <c r="AM197" t="s">
        <v>365</v>
      </c>
      <c r="AN197" t="s">
        <v>366</v>
      </c>
      <c r="AO197" t="s">
        <v>810</v>
      </c>
      <c r="AP197" t="s">
        <v>811</v>
      </c>
      <c r="AQ197" t="s">
        <v>72</v>
      </c>
      <c r="AR197" t="s">
        <v>812</v>
      </c>
      <c r="AS197" t="s">
        <v>813</v>
      </c>
      <c r="AT197" t="s">
        <v>72</v>
      </c>
      <c r="AU197" t="s">
        <v>72</v>
      </c>
      <c r="AV197" t="s">
        <v>72</v>
      </c>
      <c r="AW197" t="s">
        <v>72</v>
      </c>
      <c r="AX197" t="s">
        <v>72</v>
      </c>
      <c r="AY197" t="s">
        <v>72</v>
      </c>
      <c r="AZ197" t="s">
        <v>72</v>
      </c>
      <c r="BA197" t="s">
        <v>72</v>
      </c>
      <c r="BB197" t="s">
        <v>72</v>
      </c>
      <c r="BC197" t="s">
        <v>72</v>
      </c>
      <c r="BD197" t="s">
        <v>72</v>
      </c>
      <c r="BE197" t="s">
        <v>9919</v>
      </c>
      <c r="BF197" t="str">
        <f>HYPERLINK("http://dx.doi.org/10.1080/21670811.2022.2117715","http://dx.doi.org/10.1080/21670811.2022.2117715")</f>
        <v>http://dx.doi.org/10.1080/21670811.2022.2117715</v>
      </c>
      <c r="BG197" t="s">
        <v>72</v>
      </c>
      <c r="BH197" t="s">
        <v>1072</v>
      </c>
      <c r="BI197">
        <v>21</v>
      </c>
      <c r="BJ197" t="s">
        <v>174</v>
      </c>
      <c r="BK197" t="s">
        <v>174</v>
      </c>
      <c r="BL197" t="s">
        <v>9920</v>
      </c>
      <c r="BM197" t="s">
        <v>72</v>
      </c>
      <c r="BN197" t="s">
        <v>4811</v>
      </c>
      <c r="BO197" t="s">
        <v>72</v>
      </c>
      <c r="BP197" t="s">
        <v>72</v>
      </c>
      <c r="BQ197" t="s">
        <v>100</v>
      </c>
      <c r="BR197" t="s">
        <v>9921</v>
      </c>
      <c r="BS197" t="str">
        <f>HYPERLINK("https%3A%2F%2Fwww.webofscience.com%2Fwos%2Fwoscc%2Ffull-record%2FWOS:000857358600001","View Full Record in Web of Science")</f>
        <v>View Full Record in Web of Science</v>
      </c>
    </row>
    <row r="198" spans="1:71" hidden="1" x14ac:dyDescent="0.2">
      <c r="A198" t="s">
        <v>70</v>
      </c>
      <c r="B198" t="s">
        <v>9922</v>
      </c>
      <c r="C198" t="s">
        <v>72</v>
      </c>
      <c r="D198" t="s">
        <v>72</v>
      </c>
      <c r="E198" t="s">
        <v>72</v>
      </c>
      <c r="F198" t="s">
        <v>9923</v>
      </c>
      <c r="G198" t="s">
        <v>72</v>
      </c>
      <c r="H198" t="s">
        <v>72</v>
      </c>
      <c r="I198" t="s">
        <v>9924</v>
      </c>
      <c r="J198" t="s">
        <v>9694</v>
      </c>
      <c r="K198" t="s">
        <v>72</v>
      </c>
      <c r="L198" t="s">
        <v>72</v>
      </c>
      <c r="M198" t="s">
        <v>76</v>
      </c>
      <c r="N198" t="s">
        <v>77</v>
      </c>
      <c r="O198" t="s">
        <v>72</v>
      </c>
      <c r="P198" t="s">
        <v>72</v>
      </c>
      <c r="Q198" t="s">
        <v>72</v>
      </c>
      <c r="R198" t="s">
        <v>72</v>
      </c>
      <c r="S198" t="s">
        <v>72</v>
      </c>
      <c r="T198" t="s">
        <v>9925</v>
      </c>
      <c r="U198" t="s">
        <v>9926</v>
      </c>
      <c r="V198" t="s">
        <v>9927</v>
      </c>
      <c r="W198" t="s">
        <v>9928</v>
      </c>
      <c r="X198" t="s">
        <v>9929</v>
      </c>
      <c r="Y198" t="s">
        <v>9930</v>
      </c>
      <c r="Z198" t="s">
        <v>7241</v>
      </c>
      <c r="AA198" t="s">
        <v>7242</v>
      </c>
      <c r="AB198" t="s">
        <v>9931</v>
      </c>
      <c r="AC198" t="s">
        <v>9932</v>
      </c>
      <c r="AD198" t="s">
        <v>9932</v>
      </c>
      <c r="AE198" t="s">
        <v>9933</v>
      </c>
      <c r="AF198" t="s">
        <v>72</v>
      </c>
      <c r="AG198">
        <v>51</v>
      </c>
      <c r="AH198">
        <v>11</v>
      </c>
      <c r="AI198">
        <v>11</v>
      </c>
      <c r="AJ198">
        <v>0</v>
      </c>
      <c r="AK198">
        <v>18</v>
      </c>
      <c r="AL198" t="s">
        <v>336</v>
      </c>
      <c r="AM198" t="s">
        <v>337</v>
      </c>
      <c r="AN198" t="s">
        <v>338</v>
      </c>
      <c r="AO198" t="s">
        <v>9704</v>
      </c>
      <c r="AP198" t="s">
        <v>72</v>
      </c>
      <c r="AQ198" t="s">
        <v>72</v>
      </c>
      <c r="AR198" t="s">
        <v>9705</v>
      </c>
      <c r="AS198" t="s">
        <v>9706</v>
      </c>
      <c r="AT198" t="s">
        <v>9934</v>
      </c>
      <c r="AU198">
        <v>2018</v>
      </c>
      <c r="AV198">
        <v>4</v>
      </c>
      <c r="AW198">
        <v>3</v>
      </c>
      <c r="AX198" t="s">
        <v>72</v>
      </c>
      <c r="AY198" t="s">
        <v>72</v>
      </c>
      <c r="AZ198" t="s">
        <v>72</v>
      </c>
      <c r="BA198" t="s">
        <v>72</v>
      </c>
      <c r="BB198" t="s">
        <v>72</v>
      </c>
      <c r="BC198" t="s">
        <v>72</v>
      </c>
      <c r="BD198">
        <v>2056305118784770</v>
      </c>
      <c r="BE198" t="s">
        <v>9935</v>
      </c>
      <c r="BF198" t="str">
        <f>HYPERLINK("http://dx.doi.org/10.1177/2056305118784774","http://dx.doi.org/10.1177/2056305118784774")</f>
        <v>http://dx.doi.org/10.1177/2056305118784774</v>
      </c>
      <c r="BG198" t="s">
        <v>72</v>
      </c>
      <c r="BH198" t="s">
        <v>72</v>
      </c>
      <c r="BI198">
        <v>11</v>
      </c>
      <c r="BJ198" t="s">
        <v>174</v>
      </c>
      <c r="BK198" t="s">
        <v>174</v>
      </c>
      <c r="BL198" t="s">
        <v>9936</v>
      </c>
      <c r="BM198" t="s">
        <v>72</v>
      </c>
      <c r="BN198" t="s">
        <v>222</v>
      </c>
      <c r="BO198" t="s">
        <v>72</v>
      </c>
      <c r="BP198" t="s">
        <v>72</v>
      </c>
      <c r="BQ198" t="s">
        <v>100</v>
      </c>
      <c r="BR198" t="s">
        <v>9937</v>
      </c>
      <c r="BS198" t="str">
        <f>HYPERLINK("https%3A%2F%2Fwww.webofscience.com%2Fwos%2Fwoscc%2Ffull-record%2FWOS:000439211700001","View Full Record in Web of Science")</f>
        <v>View Full Record in Web of Science</v>
      </c>
    </row>
    <row r="199" spans="1:71" hidden="1" x14ac:dyDescent="0.2">
      <c r="A199" t="s">
        <v>70</v>
      </c>
      <c r="B199" t="s">
        <v>10277</v>
      </c>
      <c r="C199" t="s">
        <v>72</v>
      </c>
      <c r="D199" t="s">
        <v>72</v>
      </c>
      <c r="E199" t="s">
        <v>72</v>
      </c>
      <c r="F199" t="s">
        <v>10278</v>
      </c>
      <c r="G199" t="s">
        <v>72</v>
      </c>
      <c r="H199" t="s">
        <v>72</v>
      </c>
      <c r="I199" t="s">
        <v>10279</v>
      </c>
      <c r="J199" t="s">
        <v>800</v>
      </c>
      <c r="K199" t="s">
        <v>72</v>
      </c>
      <c r="L199" t="s">
        <v>72</v>
      </c>
      <c r="M199" t="s">
        <v>76</v>
      </c>
      <c r="N199" t="s">
        <v>352</v>
      </c>
      <c r="O199" t="s">
        <v>72</v>
      </c>
      <c r="P199" t="s">
        <v>72</v>
      </c>
      <c r="Q199" t="s">
        <v>72</v>
      </c>
      <c r="R199" t="s">
        <v>72</v>
      </c>
      <c r="S199" t="s">
        <v>72</v>
      </c>
      <c r="T199" t="s">
        <v>10280</v>
      </c>
      <c r="U199" t="s">
        <v>10281</v>
      </c>
      <c r="V199" t="s">
        <v>10282</v>
      </c>
      <c r="W199" t="s">
        <v>10283</v>
      </c>
      <c r="X199" t="s">
        <v>2020</v>
      </c>
      <c r="Y199" t="s">
        <v>10284</v>
      </c>
      <c r="Z199" t="s">
        <v>10285</v>
      </c>
      <c r="AA199" t="s">
        <v>72</v>
      </c>
      <c r="AB199" t="s">
        <v>72</v>
      </c>
      <c r="AC199" t="s">
        <v>10286</v>
      </c>
      <c r="AD199" t="s">
        <v>10287</v>
      </c>
      <c r="AE199" t="s">
        <v>10288</v>
      </c>
      <c r="AF199" t="s">
        <v>72</v>
      </c>
      <c r="AG199">
        <v>84</v>
      </c>
      <c r="AH199">
        <v>0</v>
      </c>
      <c r="AI199">
        <v>0</v>
      </c>
      <c r="AJ199">
        <v>7</v>
      </c>
      <c r="AK199">
        <v>7</v>
      </c>
      <c r="AL199" t="s">
        <v>364</v>
      </c>
      <c r="AM199" t="s">
        <v>365</v>
      </c>
      <c r="AN199" t="s">
        <v>366</v>
      </c>
      <c r="AO199" t="s">
        <v>810</v>
      </c>
      <c r="AP199" t="s">
        <v>811</v>
      </c>
      <c r="AQ199" t="s">
        <v>72</v>
      </c>
      <c r="AR199" t="s">
        <v>812</v>
      </c>
      <c r="AS199" t="s">
        <v>813</v>
      </c>
      <c r="AT199" t="s">
        <v>72</v>
      </c>
      <c r="AU199" t="s">
        <v>72</v>
      </c>
      <c r="AV199" t="s">
        <v>72</v>
      </c>
      <c r="AW199" t="s">
        <v>72</v>
      </c>
      <c r="AX199" t="s">
        <v>72</v>
      </c>
      <c r="AY199" t="s">
        <v>72</v>
      </c>
      <c r="AZ199" t="s">
        <v>72</v>
      </c>
      <c r="BA199" t="s">
        <v>72</v>
      </c>
      <c r="BB199" t="s">
        <v>72</v>
      </c>
      <c r="BC199" t="s">
        <v>72</v>
      </c>
      <c r="BD199" t="s">
        <v>72</v>
      </c>
      <c r="BE199" t="s">
        <v>10289</v>
      </c>
      <c r="BF199" t="str">
        <f>HYPERLINK("http://dx.doi.org/10.1080/21670811.2022.2105243","http://dx.doi.org/10.1080/21670811.2022.2105243")</f>
        <v>http://dx.doi.org/10.1080/21670811.2022.2105243</v>
      </c>
      <c r="BG199" t="s">
        <v>72</v>
      </c>
      <c r="BH199" t="s">
        <v>372</v>
      </c>
      <c r="BI199">
        <v>21</v>
      </c>
      <c r="BJ199" t="s">
        <v>174</v>
      </c>
      <c r="BK199" t="s">
        <v>174</v>
      </c>
      <c r="BL199" t="s">
        <v>10290</v>
      </c>
      <c r="BM199" t="s">
        <v>72</v>
      </c>
      <c r="BN199" t="s">
        <v>280</v>
      </c>
      <c r="BO199" t="s">
        <v>72</v>
      </c>
      <c r="BP199" t="s">
        <v>72</v>
      </c>
      <c r="BQ199" t="s">
        <v>100</v>
      </c>
      <c r="BR199" t="s">
        <v>10291</v>
      </c>
      <c r="BS199" t="str">
        <f>HYPERLINK("https%3A%2F%2Fwww.webofscience.com%2Fwos%2Fwoscc%2Ffull-record%2FWOS:000841085200001","View Full Record in Web of Science")</f>
        <v>View Full Record in Web of Science</v>
      </c>
    </row>
    <row r="200" spans="1:71" hidden="1" x14ac:dyDescent="0.2">
      <c r="A200" t="s">
        <v>70</v>
      </c>
      <c r="B200" t="s">
        <v>10619</v>
      </c>
      <c r="C200" t="s">
        <v>72</v>
      </c>
      <c r="D200" t="s">
        <v>72</v>
      </c>
      <c r="E200" t="s">
        <v>72</v>
      </c>
      <c r="F200" t="s">
        <v>10620</v>
      </c>
      <c r="G200" t="s">
        <v>72</v>
      </c>
      <c r="H200" t="s">
        <v>72</v>
      </c>
      <c r="I200" t="s">
        <v>10621</v>
      </c>
      <c r="J200" t="s">
        <v>1880</v>
      </c>
      <c r="K200" t="s">
        <v>72</v>
      </c>
      <c r="L200" t="s">
        <v>72</v>
      </c>
      <c r="M200" t="s">
        <v>76</v>
      </c>
      <c r="N200" t="s">
        <v>77</v>
      </c>
      <c r="O200" t="s">
        <v>72</v>
      </c>
      <c r="P200" t="s">
        <v>72</v>
      </c>
      <c r="Q200" t="s">
        <v>72</v>
      </c>
      <c r="R200" t="s">
        <v>72</v>
      </c>
      <c r="S200" t="s">
        <v>72</v>
      </c>
      <c r="T200" t="s">
        <v>10622</v>
      </c>
      <c r="U200" t="s">
        <v>72</v>
      </c>
      <c r="V200" t="s">
        <v>10623</v>
      </c>
      <c r="W200" t="s">
        <v>10624</v>
      </c>
      <c r="X200" t="s">
        <v>10625</v>
      </c>
      <c r="Y200" t="s">
        <v>10626</v>
      </c>
      <c r="Z200" t="s">
        <v>10627</v>
      </c>
      <c r="AA200" t="s">
        <v>72</v>
      </c>
      <c r="AB200" t="s">
        <v>10628</v>
      </c>
      <c r="AC200" t="s">
        <v>10629</v>
      </c>
      <c r="AD200" t="s">
        <v>10630</v>
      </c>
      <c r="AE200" t="s">
        <v>10631</v>
      </c>
      <c r="AF200" t="s">
        <v>72</v>
      </c>
      <c r="AG200">
        <v>43</v>
      </c>
      <c r="AH200">
        <v>4</v>
      </c>
      <c r="AI200">
        <v>4</v>
      </c>
      <c r="AJ200">
        <v>7</v>
      </c>
      <c r="AK200">
        <v>15</v>
      </c>
      <c r="AL200" t="s">
        <v>190</v>
      </c>
      <c r="AM200" t="s">
        <v>191</v>
      </c>
      <c r="AN200" t="s">
        <v>192</v>
      </c>
      <c r="AO200" t="s">
        <v>1891</v>
      </c>
      <c r="AP200" t="s">
        <v>1892</v>
      </c>
      <c r="AQ200" t="s">
        <v>72</v>
      </c>
      <c r="AR200" t="s">
        <v>1880</v>
      </c>
      <c r="AS200" t="s">
        <v>1893</v>
      </c>
      <c r="AT200" t="s">
        <v>951</v>
      </c>
      <c r="AU200">
        <v>2022</v>
      </c>
      <c r="AV200">
        <v>23</v>
      </c>
      <c r="AW200">
        <v>11</v>
      </c>
      <c r="AX200" t="s">
        <v>72</v>
      </c>
      <c r="AY200" t="s">
        <v>72</v>
      </c>
      <c r="AZ200" t="s">
        <v>72</v>
      </c>
      <c r="BA200" t="s">
        <v>72</v>
      </c>
      <c r="BB200">
        <v>2347</v>
      </c>
      <c r="BC200">
        <v>2363</v>
      </c>
      <c r="BD200">
        <v>1.4648849211005892E+16</v>
      </c>
      <c r="BE200" t="s">
        <v>10632</v>
      </c>
      <c r="BF200" t="str">
        <f>HYPERLINK("http://dx.doi.org/10.1177/14648849211005892","http://dx.doi.org/10.1177/14648849211005892")</f>
        <v>http://dx.doi.org/10.1177/14648849211005892</v>
      </c>
      <c r="BG200" t="s">
        <v>72</v>
      </c>
      <c r="BH200" t="s">
        <v>397</v>
      </c>
      <c r="BI200">
        <v>17</v>
      </c>
      <c r="BJ200" t="s">
        <v>174</v>
      </c>
      <c r="BK200" t="s">
        <v>174</v>
      </c>
      <c r="BL200" t="s">
        <v>10633</v>
      </c>
      <c r="BM200" t="s">
        <v>72</v>
      </c>
      <c r="BN200" t="s">
        <v>346</v>
      </c>
      <c r="BO200" t="s">
        <v>72</v>
      </c>
      <c r="BP200" t="s">
        <v>72</v>
      </c>
      <c r="BQ200" t="s">
        <v>100</v>
      </c>
      <c r="BR200" t="s">
        <v>10634</v>
      </c>
      <c r="BS200" t="str">
        <f>HYPERLINK("https%3A%2F%2Fwww.webofscience.com%2Fwos%2Fwoscc%2Ffull-record%2FWOS:000635997500001","View Full Record in Web of Science")</f>
        <v>View Full Record in Web of Science</v>
      </c>
    </row>
    <row r="201" spans="1:71" hidden="1" x14ac:dyDescent="0.2">
      <c r="A201" t="s">
        <v>70</v>
      </c>
      <c r="B201" t="s">
        <v>10922</v>
      </c>
      <c r="C201" t="s">
        <v>72</v>
      </c>
      <c r="D201" t="s">
        <v>72</v>
      </c>
      <c r="E201" t="s">
        <v>72</v>
      </c>
      <c r="F201" t="s">
        <v>10923</v>
      </c>
      <c r="G201" t="s">
        <v>72</v>
      </c>
      <c r="H201" t="s">
        <v>72</v>
      </c>
      <c r="I201" t="s">
        <v>10924</v>
      </c>
      <c r="J201" t="s">
        <v>5562</v>
      </c>
      <c r="K201" t="s">
        <v>72</v>
      </c>
      <c r="L201" t="s">
        <v>72</v>
      </c>
      <c r="M201" t="s">
        <v>76</v>
      </c>
      <c r="N201" t="s">
        <v>77</v>
      </c>
      <c r="O201" t="s">
        <v>72</v>
      </c>
      <c r="P201" t="s">
        <v>72</v>
      </c>
      <c r="Q201" t="s">
        <v>72</v>
      </c>
      <c r="R201" t="s">
        <v>72</v>
      </c>
      <c r="S201" t="s">
        <v>72</v>
      </c>
      <c r="T201" t="s">
        <v>10925</v>
      </c>
      <c r="U201" t="s">
        <v>10926</v>
      </c>
      <c r="V201" t="s">
        <v>10927</v>
      </c>
      <c r="W201" t="s">
        <v>10928</v>
      </c>
      <c r="X201" t="s">
        <v>164</v>
      </c>
      <c r="Y201" t="s">
        <v>10929</v>
      </c>
      <c r="Z201" t="s">
        <v>10930</v>
      </c>
      <c r="AA201" t="s">
        <v>72</v>
      </c>
      <c r="AB201" t="s">
        <v>72</v>
      </c>
      <c r="AC201" t="s">
        <v>10931</v>
      </c>
      <c r="AD201" t="s">
        <v>10931</v>
      </c>
      <c r="AE201" t="s">
        <v>10932</v>
      </c>
      <c r="AF201" t="s">
        <v>72</v>
      </c>
      <c r="AG201">
        <v>51</v>
      </c>
      <c r="AH201">
        <v>2</v>
      </c>
      <c r="AI201">
        <v>2</v>
      </c>
      <c r="AJ201">
        <v>0</v>
      </c>
      <c r="AK201">
        <v>4</v>
      </c>
      <c r="AL201" t="s">
        <v>364</v>
      </c>
      <c r="AM201" t="s">
        <v>365</v>
      </c>
      <c r="AN201" t="s">
        <v>366</v>
      </c>
      <c r="AO201" t="s">
        <v>5574</v>
      </c>
      <c r="AP201" t="s">
        <v>5575</v>
      </c>
      <c r="AQ201" t="s">
        <v>72</v>
      </c>
      <c r="AR201" t="s">
        <v>5576</v>
      </c>
      <c r="AS201" t="s">
        <v>5577</v>
      </c>
      <c r="AT201" t="s">
        <v>1172</v>
      </c>
      <c r="AU201">
        <v>2020</v>
      </c>
      <c r="AV201">
        <v>21</v>
      </c>
      <c r="AW201">
        <v>1</v>
      </c>
      <c r="AX201" t="s">
        <v>72</v>
      </c>
      <c r="AY201" t="s">
        <v>72</v>
      </c>
      <c r="AZ201" t="s">
        <v>72</v>
      </c>
      <c r="BA201" t="s">
        <v>72</v>
      </c>
      <c r="BB201">
        <v>1</v>
      </c>
      <c r="BC201">
        <v>18</v>
      </c>
      <c r="BD201" t="s">
        <v>72</v>
      </c>
      <c r="BE201" t="s">
        <v>10933</v>
      </c>
      <c r="BF201" t="str">
        <f>HYPERLINK("http://dx.doi.org/10.1080/1461670X.2019.1612266","http://dx.doi.org/10.1080/1461670X.2019.1612266")</f>
        <v>http://dx.doi.org/10.1080/1461670X.2019.1612266</v>
      </c>
      <c r="BG201" t="s">
        <v>72</v>
      </c>
      <c r="BH201" t="s">
        <v>10934</v>
      </c>
      <c r="BI201">
        <v>18</v>
      </c>
      <c r="BJ201" t="s">
        <v>174</v>
      </c>
      <c r="BK201" t="s">
        <v>174</v>
      </c>
      <c r="BL201" t="s">
        <v>10935</v>
      </c>
      <c r="BM201" t="s">
        <v>72</v>
      </c>
      <c r="BN201" t="s">
        <v>346</v>
      </c>
      <c r="BO201" t="s">
        <v>72</v>
      </c>
      <c r="BP201" t="s">
        <v>72</v>
      </c>
      <c r="BQ201" t="s">
        <v>100</v>
      </c>
      <c r="BR201" t="s">
        <v>10936</v>
      </c>
      <c r="BS201" t="str">
        <f>HYPERLINK("https%3A%2F%2Fwww.webofscience.com%2Fwos%2Fwoscc%2Ffull-record%2FWOS:000470500700001","View Full Record in Web of Science")</f>
        <v>View Full Record in Web of Science</v>
      </c>
    </row>
    <row r="202" spans="1:71" hidden="1" x14ac:dyDescent="0.2">
      <c r="A202" t="s">
        <v>70</v>
      </c>
      <c r="B202" t="s">
        <v>10937</v>
      </c>
      <c r="C202" t="s">
        <v>72</v>
      </c>
      <c r="D202" t="s">
        <v>72</v>
      </c>
      <c r="E202" t="s">
        <v>72</v>
      </c>
      <c r="F202" t="s">
        <v>10938</v>
      </c>
      <c r="G202" t="s">
        <v>72</v>
      </c>
      <c r="H202" t="s">
        <v>72</v>
      </c>
      <c r="I202" t="s">
        <v>10939</v>
      </c>
      <c r="J202" t="s">
        <v>5915</v>
      </c>
      <c r="K202" t="s">
        <v>72</v>
      </c>
      <c r="L202" t="s">
        <v>72</v>
      </c>
      <c r="M202" t="s">
        <v>76</v>
      </c>
      <c r="N202" t="s">
        <v>77</v>
      </c>
      <c r="O202" t="s">
        <v>72</v>
      </c>
      <c r="P202" t="s">
        <v>72</v>
      </c>
      <c r="Q202" t="s">
        <v>72</v>
      </c>
      <c r="R202" t="s">
        <v>72</v>
      </c>
      <c r="S202" t="s">
        <v>72</v>
      </c>
      <c r="T202" t="s">
        <v>10940</v>
      </c>
      <c r="U202" t="s">
        <v>10941</v>
      </c>
      <c r="V202" t="s">
        <v>10942</v>
      </c>
      <c r="W202" t="s">
        <v>10943</v>
      </c>
      <c r="X202" t="s">
        <v>9771</v>
      </c>
      <c r="Y202" t="s">
        <v>10944</v>
      </c>
      <c r="Z202" t="s">
        <v>9773</v>
      </c>
      <c r="AA202" t="s">
        <v>10945</v>
      </c>
      <c r="AB202" t="s">
        <v>10946</v>
      </c>
      <c r="AC202" t="s">
        <v>72</v>
      </c>
      <c r="AD202" t="s">
        <v>72</v>
      </c>
      <c r="AE202" t="s">
        <v>72</v>
      </c>
      <c r="AF202" t="s">
        <v>72</v>
      </c>
      <c r="AG202">
        <v>66</v>
      </c>
      <c r="AH202">
        <v>16</v>
      </c>
      <c r="AI202">
        <v>17</v>
      </c>
      <c r="AJ202">
        <v>3</v>
      </c>
      <c r="AK202">
        <v>60</v>
      </c>
      <c r="AL202" t="s">
        <v>190</v>
      </c>
      <c r="AM202" t="s">
        <v>191</v>
      </c>
      <c r="AN202" t="s">
        <v>192</v>
      </c>
      <c r="AO202" t="s">
        <v>5923</v>
      </c>
      <c r="AP202" t="s">
        <v>5924</v>
      </c>
      <c r="AQ202" t="s">
        <v>72</v>
      </c>
      <c r="AR202" t="s">
        <v>5925</v>
      </c>
      <c r="AS202" t="s">
        <v>5926</v>
      </c>
      <c r="AT202" t="s">
        <v>395</v>
      </c>
      <c r="AU202">
        <v>2011</v>
      </c>
      <c r="AV202">
        <v>38</v>
      </c>
      <c r="AW202">
        <v>5</v>
      </c>
      <c r="AX202" t="s">
        <v>72</v>
      </c>
      <c r="AY202" t="s">
        <v>72</v>
      </c>
      <c r="AZ202" t="s">
        <v>72</v>
      </c>
      <c r="BA202" t="s">
        <v>72</v>
      </c>
      <c r="BB202">
        <v>587</v>
      </c>
      <c r="BC202">
        <v>612</v>
      </c>
      <c r="BD202" t="s">
        <v>72</v>
      </c>
      <c r="BE202" t="s">
        <v>10947</v>
      </c>
      <c r="BF202" t="str">
        <f>HYPERLINK("http://dx.doi.org/10.1177/0093650210385225","http://dx.doi.org/10.1177/0093650210385225")</f>
        <v>http://dx.doi.org/10.1177/0093650210385225</v>
      </c>
      <c r="BG202" t="s">
        <v>72</v>
      </c>
      <c r="BH202" t="s">
        <v>72</v>
      </c>
      <c r="BI202">
        <v>26</v>
      </c>
      <c r="BJ202" t="s">
        <v>174</v>
      </c>
      <c r="BK202" t="s">
        <v>174</v>
      </c>
      <c r="BL202" t="s">
        <v>10948</v>
      </c>
      <c r="BM202" t="s">
        <v>72</v>
      </c>
      <c r="BN202" t="s">
        <v>1128</v>
      </c>
      <c r="BO202" t="s">
        <v>72</v>
      </c>
      <c r="BP202" t="s">
        <v>72</v>
      </c>
      <c r="BQ202" t="s">
        <v>100</v>
      </c>
      <c r="BR202" t="s">
        <v>10949</v>
      </c>
      <c r="BS202" t="str">
        <f>HYPERLINK("https%3A%2F%2Fwww.webofscience.com%2Fwos%2Fwoscc%2Ffull-record%2FWOS:000294258800001","View Full Record in Web of Science")</f>
        <v>View Full Record in Web of Science</v>
      </c>
    </row>
    <row r="203" spans="1:71" hidden="1" x14ac:dyDescent="0.2">
      <c r="A203" t="s">
        <v>70</v>
      </c>
      <c r="B203" t="s">
        <v>11068</v>
      </c>
      <c r="C203" t="s">
        <v>72</v>
      </c>
      <c r="D203" t="s">
        <v>72</v>
      </c>
      <c r="E203" t="s">
        <v>72</v>
      </c>
      <c r="F203" t="s">
        <v>11069</v>
      </c>
      <c r="G203" t="s">
        <v>72</v>
      </c>
      <c r="H203" t="s">
        <v>72</v>
      </c>
      <c r="I203" t="s">
        <v>11070</v>
      </c>
      <c r="J203" t="s">
        <v>584</v>
      </c>
      <c r="K203" t="s">
        <v>72</v>
      </c>
      <c r="L203" t="s">
        <v>72</v>
      </c>
      <c r="M203" t="s">
        <v>76</v>
      </c>
      <c r="N203" t="s">
        <v>77</v>
      </c>
      <c r="O203" t="s">
        <v>72</v>
      </c>
      <c r="P203" t="s">
        <v>72</v>
      </c>
      <c r="Q203" t="s">
        <v>72</v>
      </c>
      <c r="R203" t="s">
        <v>72</v>
      </c>
      <c r="S203" t="s">
        <v>72</v>
      </c>
      <c r="T203" t="s">
        <v>11071</v>
      </c>
      <c r="U203" t="s">
        <v>11072</v>
      </c>
      <c r="V203" t="s">
        <v>11073</v>
      </c>
      <c r="W203" t="s">
        <v>11074</v>
      </c>
      <c r="X203" t="s">
        <v>11075</v>
      </c>
      <c r="Y203" t="s">
        <v>11076</v>
      </c>
      <c r="Z203" t="s">
        <v>11077</v>
      </c>
      <c r="AA203" t="s">
        <v>72</v>
      </c>
      <c r="AB203" t="s">
        <v>11078</v>
      </c>
      <c r="AC203" t="s">
        <v>72</v>
      </c>
      <c r="AD203" t="s">
        <v>72</v>
      </c>
      <c r="AE203" t="s">
        <v>72</v>
      </c>
      <c r="AF203" t="s">
        <v>72</v>
      </c>
      <c r="AG203">
        <v>64</v>
      </c>
      <c r="AH203">
        <v>26</v>
      </c>
      <c r="AI203">
        <v>26</v>
      </c>
      <c r="AJ203">
        <v>0</v>
      </c>
      <c r="AK203">
        <v>13</v>
      </c>
      <c r="AL203" t="s">
        <v>594</v>
      </c>
      <c r="AM203" t="s">
        <v>595</v>
      </c>
      <c r="AN203" t="s">
        <v>596</v>
      </c>
      <c r="AO203" t="s">
        <v>597</v>
      </c>
      <c r="AP203" t="s">
        <v>72</v>
      </c>
      <c r="AQ203" t="s">
        <v>72</v>
      </c>
      <c r="AR203" t="s">
        <v>598</v>
      </c>
      <c r="AS203" t="s">
        <v>599</v>
      </c>
      <c r="AT203" t="s">
        <v>72</v>
      </c>
      <c r="AU203">
        <v>2018</v>
      </c>
      <c r="AV203">
        <v>12</v>
      </c>
      <c r="AW203" t="s">
        <v>72</v>
      </c>
      <c r="AX203" t="s">
        <v>72</v>
      </c>
      <c r="AY203" t="s">
        <v>72</v>
      </c>
      <c r="AZ203" t="s">
        <v>72</v>
      </c>
      <c r="BA203" t="s">
        <v>72</v>
      </c>
      <c r="BB203">
        <v>1768</v>
      </c>
      <c r="BC203">
        <v>1789</v>
      </c>
      <c r="BD203" t="s">
        <v>72</v>
      </c>
      <c r="BE203" t="s">
        <v>72</v>
      </c>
      <c r="BF203" t="s">
        <v>72</v>
      </c>
      <c r="BG203" t="s">
        <v>72</v>
      </c>
      <c r="BH203" t="s">
        <v>72</v>
      </c>
      <c r="BI203">
        <v>22</v>
      </c>
      <c r="BJ203" t="s">
        <v>174</v>
      </c>
      <c r="BK203" t="s">
        <v>174</v>
      </c>
      <c r="BL203" t="s">
        <v>11079</v>
      </c>
      <c r="BM203" t="s">
        <v>72</v>
      </c>
      <c r="BN203" t="s">
        <v>72</v>
      </c>
      <c r="BO203" t="s">
        <v>72</v>
      </c>
      <c r="BP203" t="s">
        <v>72</v>
      </c>
      <c r="BQ203" t="s">
        <v>100</v>
      </c>
      <c r="BR203" t="s">
        <v>11080</v>
      </c>
      <c r="BS203" t="str">
        <f>HYPERLINK("https%3A%2F%2Fwww.webofscience.com%2Fwos%2Fwoscc%2Ffull-record%2FWOS:000431821400116","View Full Record in Web of Science")</f>
        <v>View Full Record in Web of Science</v>
      </c>
    </row>
    <row r="204" spans="1:71" hidden="1" x14ac:dyDescent="0.2">
      <c r="A204" t="s">
        <v>70</v>
      </c>
      <c r="B204" t="s">
        <v>11099</v>
      </c>
      <c r="C204" t="s">
        <v>72</v>
      </c>
      <c r="D204" t="s">
        <v>72</v>
      </c>
      <c r="E204" t="s">
        <v>72</v>
      </c>
      <c r="F204" t="s">
        <v>11100</v>
      </c>
      <c r="G204" t="s">
        <v>72</v>
      </c>
      <c r="H204" t="s">
        <v>72</v>
      </c>
      <c r="I204" t="s">
        <v>11101</v>
      </c>
      <c r="J204" t="s">
        <v>1670</v>
      </c>
      <c r="K204" t="s">
        <v>72</v>
      </c>
      <c r="L204" t="s">
        <v>72</v>
      </c>
      <c r="M204" t="s">
        <v>76</v>
      </c>
      <c r="N204" t="s">
        <v>352</v>
      </c>
      <c r="O204" t="s">
        <v>72</v>
      </c>
      <c r="P204" t="s">
        <v>72</v>
      </c>
      <c r="Q204" t="s">
        <v>72</v>
      </c>
      <c r="R204" t="s">
        <v>72</v>
      </c>
      <c r="S204" t="s">
        <v>72</v>
      </c>
      <c r="T204" t="s">
        <v>11102</v>
      </c>
      <c r="U204" t="s">
        <v>11103</v>
      </c>
      <c r="V204" t="s">
        <v>11104</v>
      </c>
      <c r="W204" t="s">
        <v>11105</v>
      </c>
      <c r="X204" t="s">
        <v>10010</v>
      </c>
      <c r="Y204" t="s">
        <v>11106</v>
      </c>
      <c r="Z204" t="s">
        <v>11107</v>
      </c>
      <c r="AA204" t="s">
        <v>11108</v>
      </c>
      <c r="AB204" t="s">
        <v>11109</v>
      </c>
      <c r="AC204" t="s">
        <v>3790</v>
      </c>
      <c r="AD204" t="s">
        <v>3791</v>
      </c>
      <c r="AE204" t="s">
        <v>11110</v>
      </c>
      <c r="AF204" t="s">
        <v>72</v>
      </c>
      <c r="AG204">
        <v>75</v>
      </c>
      <c r="AH204">
        <v>1</v>
      </c>
      <c r="AI204">
        <v>1</v>
      </c>
      <c r="AJ204">
        <v>2</v>
      </c>
      <c r="AK204">
        <v>6</v>
      </c>
      <c r="AL204" t="s">
        <v>336</v>
      </c>
      <c r="AM204" t="s">
        <v>337</v>
      </c>
      <c r="AN204" t="s">
        <v>338</v>
      </c>
      <c r="AO204" t="s">
        <v>1681</v>
      </c>
      <c r="AP204" t="s">
        <v>1682</v>
      </c>
      <c r="AQ204" t="s">
        <v>72</v>
      </c>
      <c r="AR204" t="s">
        <v>1683</v>
      </c>
      <c r="AS204" t="s">
        <v>1684</v>
      </c>
      <c r="AT204" t="s">
        <v>72</v>
      </c>
      <c r="AU204" t="s">
        <v>72</v>
      </c>
      <c r="AV204" t="s">
        <v>72</v>
      </c>
      <c r="AW204" t="s">
        <v>72</v>
      </c>
      <c r="AX204" t="s">
        <v>72</v>
      </c>
      <c r="AY204" t="s">
        <v>72</v>
      </c>
      <c r="AZ204" t="s">
        <v>72</v>
      </c>
      <c r="BA204" t="s">
        <v>72</v>
      </c>
      <c r="BB204" t="s">
        <v>72</v>
      </c>
      <c r="BC204" t="s">
        <v>72</v>
      </c>
      <c r="BD204">
        <v>1.4614448221074648E+16</v>
      </c>
      <c r="BE204" t="s">
        <v>11111</v>
      </c>
      <c r="BF204" t="str">
        <f>HYPERLINK("http://dx.doi.org/10.1177/14614448221074648","http://dx.doi.org/10.1177/14614448221074648")</f>
        <v>http://dx.doi.org/10.1177/14614448221074648</v>
      </c>
      <c r="BG204" t="s">
        <v>72</v>
      </c>
      <c r="BH204" t="s">
        <v>1212</v>
      </c>
      <c r="BI204">
        <v>22</v>
      </c>
      <c r="BJ204" t="s">
        <v>174</v>
      </c>
      <c r="BK204" t="s">
        <v>174</v>
      </c>
      <c r="BL204" t="s">
        <v>11112</v>
      </c>
      <c r="BM204" t="s">
        <v>72</v>
      </c>
      <c r="BN204" t="s">
        <v>346</v>
      </c>
      <c r="BO204" t="s">
        <v>72</v>
      </c>
      <c r="BP204" t="s">
        <v>72</v>
      </c>
      <c r="BQ204" t="s">
        <v>100</v>
      </c>
      <c r="BR204" t="s">
        <v>11113</v>
      </c>
      <c r="BS204" t="str">
        <f>HYPERLINK("https%3A%2F%2Fwww.webofscience.com%2Fwos%2Fwoscc%2Ffull-record%2FWOS:000752864300001","View Full Record in Web of Science")</f>
        <v>View Full Record in Web of Science</v>
      </c>
    </row>
    <row r="205" spans="1:71" hidden="1" x14ac:dyDescent="0.2">
      <c r="A205" t="s">
        <v>70</v>
      </c>
      <c r="B205" t="s">
        <v>11157</v>
      </c>
      <c r="C205" t="s">
        <v>72</v>
      </c>
      <c r="D205" t="s">
        <v>72</v>
      </c>
      <c r="E205" t="s">
        <v>72</v>
      </c>
      <c r="F205" t="s">
        <v>11158</v>
      </c>
      <c r="G205" t="s">
        <v>72</v>
      </c>
      <c r="H205" t="s">
        <v>72</v>
      </c>
      <c r="I205" t="s">
        <v>11159</v>
      </c>
      <c r="J205" t="s">
        <v>5915</v>
      </c>
      <c r="K205" t="s">
        <v>72</v>
      </c>
      <c r="L205" t="s">
        <v>72</v>
      </c>
      <c r="M205" t="s">
        <v>76</v>
      </c>
      <c r="N205" t="s">
        <v>352</v>
      </c>
      <c r="O205" t="s">
        <v>72</v>
      </c>
      <c r="P205" t="s">
        <v>72</v>
      </c>
      <c r="Q205" t="s">
        <v>72</v>
      </c>
      <c r="R205" t="s">
        <v>72</v>
      </c>
      <c r="S205" t="s">
        <v>72</v>
      </c>
      <c r="T205" t="s">
        <v>11160</v>
      </c>
      <c r="U205" t="s">
        <v>11161</v>
      </c>
      <c r="V205" t="s">
        <v>11162</v>
      </c>
      <c r="W205" t="s">
        <v>11163</v>
      </c>
      <c r="X205" t="s">
        <v>11164</v>
      </c>
      <c r="Y205" t="s">
        <v>11165</v>
      </c>
      <c r="Z205" t="s">
        <v>11021</v>
      </c>
      <c r="AA205" t="s">
        <v>72</v>
      </c>
      <c r="AB205" t="s">
        <v>11022</v>
      </c>
      <c r="AC205" t="s">
        <v>72</v>
      </c>
      <c r="AD205" t="s">
        <v>72</v>
      </c>
      <c r="AE205" t="s">
        <v>72</v>
      </c>
      <c r="AF205" t="s">
        <v>72</v>
      </c>
      <c r="AG205">
        <v>62</v>
      </c>
      <c r="AH205">
        <v>3</v>
      </c>
      <c r="AI205">
        <v>3</v>
      </c>
      <c r="AJ205">
        <v>14</v>
      </c>
      <c r="AK205">
        <v>33</v>
      </c>
      <c r="AL205" t="s">
        <v>190</v>
      </c>
      <c r="AM205" t="s">
        <v>191</v>
      </c>
      <c r="AN205" t="s">
        <v>192</v>
      </c>
      <c r="AO205" t="s">
        <v>5923</v>
      </c>
      <c r="AP205" t="s">
        <v>5924</v>
      </c>
      <c r="AQ205" t="s">
        <v>72</v>
      </c>
      <c r="AR205" t="s">
        <v>5925</v>
      </c>
      <c r="AS205" t="s">
        <v>5926</v>
      </c>
      <c r="AT205" t="s">
        <v>72</v>
      </c>
      <c r="AU205" t="s">
        <v>72</v>
      </c>
      <c r="AV205" t="s">
        <v>72</v>
      </c>
      <c r="AW205" t="s">
        <v>72</v>
      </c>
      <c r="AX205" t="s">
        <v>72</v>
      </c>
      <c r="AY205" t="s">
        <v>72</v>
      </c>
      <c r="AZ205" t="s">
        <v>72</v>
      </c>
      <c r="BA205" t="s">
        <v>72</v>
      </c>
      <c r="BB205" t="s">
        <v>72</v>
      </c>
      <c r="BC205" t="s">
        <v>72</v>
      </c>
      <c r="BD205">
        <v>936502211023333</v>
      </c>
      <c r="BE205" t="s">
        <v>11166</v>
      </c>
      <c r="BF205" t="str">
        <f>HYPERLINK("http://dx.doi.org/10.1177/00936502211023333","http://dx.doi.org/10.1177/00936502211023333")</f>
        <v>http://dx.doi.org/10.1177/00936502211023333</v>
      </c>
      <c r="BG205" t="s">
        <v>72</v>
      </c>
      <c r="BH205" t="s">
        <v>4131</v>
      </c>
      <c r="BI205">
        <v>23</v>
      </c>
      <c r="BJ205" t="s">
        <v>174</v>
      </c>
      <c r="BK205" t="s">
        <v>174</v>
      </c>
      <c r="BL205" t="s">
        <v>11167</v>
      </c>
      <c r="BM205" t="s">
        <v>72</v>
      </c>
      <c r="BN205" t="s">
        <v>346</v>
      </c>
      <c r="BO205" t="s">
        <v>72</v>
      </c>
      <c r="BP205" t="s">
        <v>72</v>
      </c>
      <c r="BQ205" t="s">
        <v>100</v>
      </c>
      <c r="BR205" t="s">
        <v>11168</v>
      </c>
      <c r="BS205" t="str">
        <f>HYPERLINK("https%3A%2F%2Fwww.webofscience.com%2Fwos%2Fwoscc%2Ffull-record%2FWOS:000664570100001","View Full Record in Web of Science")</f>
        <v>View Full Record in Web of Science</v>
      </c>
    </row>
    <row r="206" spans="1:71" hidden="1" x14ac:dyDescent="0.2">
      <c r="A206" t="s">
        <v>70</v>
      </c>
      <c r="B206" t="s">
        <v>11169</v>
      </c>
      <c r="C206" t="s">
        <v>72</v>
      </c>
      <c r="D206" t="s">
        <v>72</v>
      </c>
      <c r="E206" t="s">
        <v>72</v>
      </c>
      <c r="F206" t="s">
        <v>11170</v>
      </c>
      <c r="G206" t="s">
        <v>72</v>
      </c>
      <c r="H206" t="s">
        <v>72</v>
      </c>
      <c r="I206" t="s">
        <v>11171</v>
      </c>
      <c r="J206" t="s">
        <v>7834</v>
      </c>
      <c r="K206" t="s">
        <v>72</v>
      </c>
      <c r="L206" t="s">
        <v>72</v>
      </c>
      <c r="M206" t="s">
        <v>76</v>
      </c>
      <c r="N206" t="s">
        <v>77</v>
      </c>
      <c r="O206" t="s">
        <v>72</v>
      </c>
      <c r="P206" t="s">
        <v>72</v>
      </c>
      <c r="Q206" t="s">
        <v>72</v>
      </c>
      <c r="R206" t="s">
        <v>72</v>
      </c>
      <c r="S206" t="s">
        <v>72</v>
      </c>
      <c r="T206" t="s">
        <v>11172</v>
      </c>
      <c r="U206" t="s">
        <v>11173</v>
      </c>
      <c r="V206" t="s">
        <v>11174</v>
      </c>
      <c r="W206" t="s">
        <v>11175</v>
      </c>
      <c r="X206" t="s">
        <v>11176</v>
      </c>
      <c r="Y206" t="s">
        <v>11177</v>
      </c>
      <c r="Z206" t="s">
        <v>11178</v>
      </c>
      <c r="AA206" t="s">
        <v>72</v>
      </c>
      <c r="AB206" t="s">
        <v>11179</v>
      </c>
      <c r="AC206" t="s">
        <v>72</v>
      </c>
      <c r="AD206" t="s">
        <v>72</v>
      </c>
      <c r="AE206" t="s">
        <v>72</v>
      </c>
      <c r="AF206" t="s">
        <v>72</v>
      </c>
      <c r="AG206">
        <v>43</v>
      </c>
      <c r="AH206">
        <v>3</v>
      </c>
      <c r="AI206">
        <v>3</v>
      </c>
      <c r="AJ206">
        <v>5</v>
      </c>
      <c r="AK206">
        <v>15</v>
      </c>
      <c r="AL206" t="s">
        <v>336</v>
      </c>
      <c r="AM206" t="s">
        <v>337</v>
      </c>
      <c r="AN206" t="s">
        <v>338</v>
      </c>
      <c r="AO206" t="s">
        <v>7846</v>
      </c>
      <c r="AP206" t="s">
        <v>7847</v>
      </c>
      <c r="AQ206" t="s">
        <v>72</v>
      </c>
      <c r="AR206" t="s">
        <v>7848</v>
      </c>
      <c r="AS206" t="s">
        <v>7849</v>
      </c>
      <c r="AT206" t="s">
        <v>395</v>
      </c>
      <c r="AU206">
        <v>2020</v>
      </c>
      <c r="AV206">
        <v>35</v>
      </c>
      <c r="AW206">
        <v>5</v>
      </c>
      <c r="AX206" t="s">
        <v>72</v>
      </c>
      <c r="AY206" t="s">
        <v>72</v>
      </c>
      <c r="AZ206" t="s">
        <v>72</v>
      </c>
      <c r="BA206" t="s">
        <v>72</v>
      </c>
      <c r="BB206">
        <v>453</v>
      </c>
      <c r="BC206">
        <v>468</v>
      </c>
      <c r="BD206">
        <v>267323120909288</v>
      </c>
      <c r="BE206" t="s">
        <v>11180</v>
      </c>
      <c r="BF206" t="str">
        <f>HYPERLINK("http://dx.doi.org/10.1177/0267323120909288","http://dx.doi.org/10.1177/0267323120909288")</f>
        <v>http://dx.doi.org/10.1177/0267323120909288</v>
      </c>
      <c r="BG206" t="s">
        <v>72</v>
      </c>
      <c r="BH206" t="s">
        <v>199</v>
      </c>
      <c r="BI206">
        <v>16</v>
      </c>
      <c r="BJ206" t="s">
        <v>174</v>
      </c>
      <c r="BK206" t="s">
        <v>174</v>
      </c>
      <c r="BL206" t="s">
        <v>11181</v>
      </c>
      <c r="BM206" t="s">
        <v>72</v>
      </c>
      <c r="BN206" t="s">
        <v>2403</v>
      </c>
      <c r="BO206" t="s">
        <v>72</v>
      </c>
      <c r="BP206" t="s">
        <v>72</v>
      </c>
      <c r="BQ206" t="s">
        <v>100</v>
      </c>
      <c r="BR206" t="s">
        <v>11182</v>
      </c>
      <c r="BS206" t="str">
        <f>HYPERLINK("https%3A%2F%2Fwww.webofscience.com%2Fwos%2Fwoscc%2Ffull-record%2FWOS:000523778700001","View Full Record in Web of Science")</f>
        <v>View Full Record in Web of Science</v>
      </c>
    </row>
    <row r="207" spans="1:71" hidden="1" x14ac:dyDescent="0.2">
      <c r="A207" t="s">
        <v>70</v>
      </c>
      <c r="B207" t="s">
        <v>11183</v>
      </c>
      <c r="C207" t="s">
        <v>72</v>
      </c>
      <c r="D207" t="s">
        <v>72</v>
      </c>
      <c r="E207" t="s">
        <v>72</v>
      </c>
      <c r="F207" t="s">
        <v>11184</v>
      </c>
      <c r="G207" t="s">
        <v>72</v>
      </c>
      <c r="H207" t="s">
        <v>72</v>
      </c>
      <c r="I207" t="s">
        <v>11185</v>
      </c>
      <c r="J207" t="s">
        <v>11186</v>
      </c>
      <c r="K207" t="s">
        <v>72</v>
      </c>
      <c r="L207" t="s">
        <v>72</v>
      </c>
      <c r="M207" t="s">
        <v>76</v>
      </c>
      <c r="N207" t="s">
        <v>77</v>
      </c>
      <c r="O207" t="s">
        <v>72</v>
      </c>
      <c r="P207" t="s">
        <v>72</v>
      </c>
      <c r="Q207" t="s">
        <v>72</v>
      </c>
      <c r="R207" t="s">
        <v>72</v>
      </c>
      <c r="S207" t="s">
        <v>72</v>
      </c>
      <c r="T207" t="s">
        <v>11187</v>
      </c>
      <c r="U207" t="s">
        <v>11188</v>
      </c>
      <c r="V207" t="s">
        <v>11189</v>
      </c>
      <c r="W207" t="s">
        <v>11190</v>
      </c>
      <c r="X207" t="s">
        <v>11191</v>
      </c>
      <c r="Y207" t="s">
        <v>11192</v>
      </c>
      <c r="Z207" t="s">
        <v>11193</v>
      </c>
      <c r="AA207" t="s">
        <v>72</v>
      </c>
      <c r="AB207" t="s">
        <v>72</v>
      </c>
      <c r="AC207" t="s">
        <v>11194</v>
      </c>
      <c r="AD207" t="s">
        <v>116</v>
      </c>
      <c r="AE207" t="s">
        <v>11195</v>
      </c>
      <c r="AF207" t="s">
        <v>72</v>
      </c>
      <c r="AG207">
        <v>53</v>
      </c>
      <c r="AH207">
        <v>0</v>
      </c>
      <c r="AI207">
        <v>0</v>
      </c>
      <c r="AJ207">
        <v>0</v>
      </c>
      <c r="AK207">
        <v>0</v>
      </c>
      <c r="AL207" t="s">
        <v>336</v>
      </c>
      <c r="AM207" t="s">
        <v>337</v>
      </c>
      <c r="AN207" t="s">
        <v>338</v>
      </c>
      <c r="AO207" t="s">
        <v>11196</v>
      </c>
      <c r="AP207" t="s">
        <v>11197</v>
      </c>
      <c r="AQ207" t="s">
        <v>72</v>
      </c>
      <c r="AR207" t="s">
        <v>11198</v>
      </c>
      <c r="AS207" t="s">
        <v>11199</v>
      </c>
      <c r="AT207" t="s">
        <v>95</v>
      </c>
      <c r="AU207">
        <v>2022</v>
      </c>
      <c r="AV207">
        <v>15</v>
      </c>
      <c r="AW207">
        <v>3</v>
      </c>
      <c r="AX207" t="s">
        <v>72</v>
      </c>
      <c r="AY207" t="s">
        <v>72</v>
      </c>
      <c r="AZ207" t="s">
        <v>72</v>
      </c>
      <c r="BA207" t="s">
        <v>72</v>
      </c>
      <c r="BB207">
        <v>334</v>
      </c>
      <c r="BC207">
        <v>352</v>
      </c>
      <c r="BD207">
        <v>1750635220953656</v>
      </c>
      <c r="BE207" t="s">
        <v>11200</v>
      </c>
      <c r="BF207" t="str">
        <f>HYPERLINK("http://dx.doi.org/10.1177/1750635220953656","http://dx.doi.org/10.1177/1750635220953656")</f>
        <v>http://dx.doi.org/10.1177/1750635220953656</v>
      </c>
      <c r="BG207" t="s">
        <v>72</v>
      </c>
      <c r="BH207" t="s">
        <v>2703</v>
      </c>
      <c r="BI207">
        <v>19</v>
      </c>
      <c r="BJ207" t="s">
        <v>174</v>
      </c>
      <c r="BK207" t="s">
        <v>174</v>
      </c>
      <c r="BL207" t="s">
        <v>11201</v>
      </c>
      <c r="BM207" t="s">
        <v>72</v>
      </c>
      <c r="BN207" t="s">
        <v>72</v>
      </c>
      <c r="BO207" t="s">
        <v>72</v>
      </c>
      <c r="BP207" t="s">
        <v>72</v>
      </c>
      <c r="BQ207" t="s">
        <v>100</v>
      </c>
      <c r="BR207" t="s">
        <v>11202</v>
      </c>
      <c r="BS207" t="str">
        <f>HYPERLINK("https%3A%2F%2Fwww.webofscience.com%2Fwos%2Fwoscc%2Ffull-record%2FWOS:000571061300001","View Full Record in Web of Science")</f>
        <v>View Full Record in Web of Science</v>
      </c>
    </row>
    <row r="208" spans="1:71" hidden="1" x14ac:dyDescent="0.2">
      <c r="A208" t="s">
        <v>70</v>
      </c>
      <c r="B208" t="s">
        <v>11203</v>
      </c>
      <c r="C208" t="s">
        <v>72</v>
      </c>
      <c r="D208" t="s">
        <v>72</v>
      </c>
      <c r="E208" t="s">
        <v>72</v>
      </c>
      <c r="F208" t="s">
        <v>11204</v>
      </c>
      <c r="G208" t="s">
        <v>72</v>
      </c>
      <c r="H208" t="s">
        <v>72</v>
      </c>
      <c r="I208" t="s">
        <v>11205</v>
      </c>
      <c r="J208" t="s">
        <v>800</v>
      </c>
      <c r="K208" t="s">
        <v>72</v>
      </c>
      <c r="L208" t="s">
        <v>72</v>
      </c>
      <c r="M208" t="s">
        <v>76</v>
      </c>
      <c r="N208" t="s">
        <v>77</v>
      </c>
      <c r="O208" t="s">
        <v>72</v>
      </c>
      <c r="P208" t="s">
        <v>72</v>
      </c>
      <c r="Q208" t="s">
        <v>72</v>
      </c>
      <c r="R208" t="s">
        <v>72</v>
      </c>
      <c r="S208" t="s">
        <v>72</v>
      </c>
      <c r="T208" t="s">
        <v>11206</v>
      </c>
      <c r="U208" t="s">
        <v>11207</v>
      </c>
      <c r="V208" t="s">
        <v>11208</v>
      </c>
      <c r="W208" t="s">
        <v>11209</v>
      </c>
      <c r="X208" t="s">
        <v>164</v>
      </c>
      <c r="Y208" t="s">
        <v>11210</v>
      </c>
      <c r="Z208" t="s">
        <v>11211</v>
      </c>
      <c r="AA208" t="s">
        <v>72</v>
      </c>
      <c r="AB208" t="s">
        <v>11212</v>
      </c>
      <c r="AC208" t="s">
        <v>11213</v>
      </c>
      <c r="AD208" t="s">
        <v>11213</v>
      </c>
      <c r="AE208" t="s">
        <v>11214</v>
      </c>
      <c r="AF208" t="s">
        <v>72</v>
      </c>
      <c r="AG208">
        <v>75</v>
      </c>
      <c r="AH208">
        <v>15</v>
      </c>
      <c r="AI208">
        <v>15</v>
      </c>
      <c r="AJ208">
        <v>7</v>
      </c>
      <c r="AK208">
        <v>30</v>
      </c>
      <c r="AL208" t="s">
        <v>364</v>
      </c>
      <c r="AM208" t="s">
        <v>365</v>
      </c>
      <c r="AN208" t="s">
        <v>366</v>
      </c>
      <c r="AO208" t="s">
        <v>810</v>
      </c>
      <c r="AP208" t="s">
        <v>811</v>
      </c>
      <c r="AQ208" t="s">
        <v>72</v>
      </c>
      <c r="AR208" t="s">
        <v>812</v>
      </c>
      <c r="AS208" t="s">
        <v>813</v>
      </c>
      <c r="AT208" t="s">
        <v>11215</v>
      </c>
      <c r="AU208">
        <v>2020</v>
      </c>
      <c r="AV208">
        <v>8</v>
      </c>
      <c r="AW208">
        <v>9</v>
      </c>
      <c r="AX208" t="s">
        <v>72</v>
      </c>
      <c r="AY208" t="s">
        <v>72</v>
      </c>
      <c r="AZ208" t="s">
        <v>72</v>
      </c>
      <c r="BA208" t="s">
        <v>72</v>
      </c>
      <c r="BB208">
        <v>1114</v>
      </c>
      <c r="BC208">
        <v>1141</v>
      </c>
      <c r="BD208" t="s">
        <v>72</v>
      </c>
      <c r="BE208" t="s">
        <v>11216</v>
      </c>
      <c r="BF208" t="str">
        <f>HYPERLINK("http://dx.doi.org/10.1080/21670811.2020.1767509","http://dx.doi.org/10.1080/21670811.2020.1767509")</f>
        <v>http://dx.doi.org/10.1080/21670811.2020.1767509</v>
      </c>
      <c r="BG208" t="s">
        <v>72</v>
      </c>
      <c r="BH208" t="s">
        <v>2942</v>
      </c>
      <c r="BI208">
        <v>28</v>
      </c>
      <c r="BJ208" t="s">
        <v>174</v>
      </c>
      <c r="BK208" t="s">
        <v>174</v>
      </c>
      <c r="BL208" t="s">
        <v>11217</v>
      </c>
      <c r="BM208" t="s">
        <v>72</v>
      </c>
      <c r="BN208" t="s">
        <v>346</v>
      </c>
      <c r="BO208" t="s">
        <v>72</v>
      </c>
      <c r="BP208" t="s">
        <v>72</v>
      </c>
      <c r="BQ208" t="s">
        <v>100</v>
      </c>
      <c r="BR208" t="s">
        <v>11218</v>
      </c>
      <c r="BS208" t="str">
        <f>HYPERLINK("https%3A%2F%2Fwww.webofscience.com%2Fwos%2Fwoscc%2Ffull-record%2FWOS:000546012300001","View Full Record in Web of Science")</f>
        <v>View Full Record in Web of Science</v>
      </c>
    </row>
    <row r="209" spans="1:71" hidden="1" x14ac:dyDescent="0.2">
      <c r="A209" t="s">
        <v>70</v>
      </c>
      <c r="B209" t="s">
        <v>11277</v>
      </c>
      <c r="C209" t="s">
        <v>72</v>
      </c>
      <c r="D209" t="s">
        <v>72</v>
      </c>
      <c r="E209" t="s">
        <v>72</v>
      </c>
      <c r="F209" t="s">
        <v>11278</v>
      </c>
      <c r="G209" t="s">
        <v>72</v>
      </c>
      <c r="H209" t="s">
        <v>72</v>
      </c>
      <c r="I209" t="s">
        <v>11279</v>
      </c>
      <c r="J209" t="s">
        <v>1563</v>
      </c>
      <c r="K209" t="s">
        <v>72</v>
      </c>
      <c r="L209" t="s">
        <v>72</v>
      </c>
      <c r="M209" t="s">
        <v>76</v>
      </c>
      <c r="N209" t="s">
        <v>77</v>
      </c>
      <c r="O209" t="s">
        <v>72</v>
      </c>
      <c r="P209" t="s">
        <v>72</v>
      </c>
      <c r="Q209" t="s">
        <v>72</v>
      </c>
      <c r="R209" t="s">
        <v>72</v>
      </c>
      <c r="S209" t="s">
        <v>72</v>
      </c>
      <c r="T209" t="s">
        <v>11280</v>
      </c>
      <c r="U209" t="s">
        <v>11281</v>
      </c>
      <c r="V209" t="s">
        <v>11282</v>
      </c>
      <c r="W209" t="s">
        <v>11283</v>
      </c>
      <c r="X209" t="s">
        <v>164</v>
      </c>
      <c r="Y209" t="s">
        <v>11284</v>
      </c>
      <c r="Z209" t="s">
        <v>11285</v>
      </c>
      <c r="AA209" t="s">
        <v>11286</v>
      </c>
      <c r="AB209" t="s">
        <v>11287</v>
      </c>
      <c r="AC209" t="s">
        <v>11288</v>
      </c>
      <c r="AD209" t="s">
        <v>11289</v>
      </c>
      <c r="AE209" t="s">
        <v>11290</v>
      </c>
      <c r="AF209" t="s">
        <v>72</v>
      </c>
      <c r="AG209">
        <v>43</v>
      </c>
      <c r="AH209">
        <v>2</v>
      </c>
      <c r="AI209">
        <v>2</v>
      </c>
      <c r="AJ209">
        <v>1</v>
      </c>
      <c r="AK209">
        <v>9</v>
      </c>
      <c r="AL209" t="s">
        <v>142</v>
      </c>
      <c r="AM209" t="s">
        <v>143</v>
      </c>
      <c r="AN209" t="s">
        <v>144</v>
      </c>
      <c r="AO209" t="s">
        <v>1576</v>
      </c>
      <c r="AP209" t="s">
        <v>1577</v>
      </c>
      <c r="AQ209" t="s">
        <v>72</v>
      </c>
      <c r="AR209" t="s">
        <v>1578</v>
      </c>
      <c r="AS209" t="s">
        <v>1579</v>
      </c>
      <c r="AT209" t="s">
        <v>395</v>
      </c>
      <c r="AU209">
        <v>2020</v>
      </c>
      <c r="AV209">
        <v>70</v>
      </c>
      <c r="AW209">
        <v>5</v>
      </c>
      <c r="AX209" t="s">
        <v>72</v>
      </c>
      <c r="AY209" t="s">
        <v>72</v>
      </c>
      <c r="AZ209" t="s">
        <v>72</v>
      </c>
      <c r="BA209" t="s">
        <v>72</v>
      </c>
      <c r="BB209">
        <v>744</v>
      </c>
      <c r="BC209">
        <v>767</v>
      </c>
      <c r="BD209" t="s">
        <v>72</v>
      </c>
      <c r="BE209" t="s">
        <v>11291</v>
      </c>
      <c r="BF209" t="str">
        <f>HYPERLINK("http://dx.doi.org/10.1093/joc/jqaa029","http://dx.doi.org/10.1093/joc/jqaa029")</f>
        <v>http://dx.doi.org/10.1093/joc/jqaa029</v>
      </c>
      <c r="BG209" t="s">
        <v>72</v>
      </c>
      <c r="BH209" t="s">
        <v>72</v>
      </c>
      <c r="BI209">
        <v>24</v>
      </c>
      <c r="BJ209" t="s">
        <v>174</v>
      </c>
      <c r="BK209" t="s">
        <v>174</v>
      </c>
      <c r="BL209" t="s">
        <v>11292</v>
      </c>
      <c r="BM209" t="s">
        <v>72</v>
      </c>
      <c r="BN209" t="s">
        <v>346</v>
      </c>
      <c r="BO209" t="s">
        <v>72</v>
      </c>
      <c r="BP209" t="s">
        <v>72</v>
      </c>
      <c r="BQ209" t="s">
        <v>100</v>
      </c>
      <c r="BR209" t="s">
        <v>11293</v>
      </c>
      <c r="BS209" t="str">
        <f>HYPERLINK("https%3A%2F%2Fwww.webofscience.com%2Fwos%2Fwoscc%2Ffull-record%2FWOS:000607162100007","View Full Record in Web of Science")</f>
        <v>View Full Record in Web of Science</v>
      </c>
    </row>
    <row r="210" spans="1:71" hidden="1" x14ac:dyDescent="0.2">
      <c r="A210" t="s">
        <v>70</v>
      </c>
      <c r="B210" t="s">
        <v>11414</v>
      </c>
      <c r="C210" t="s">
        <v>72</v>
      </c>
      <c r="D210" t="s">
        <v>72</v>
      </c>
      <c r="E210" t="s">
        <v>72</v>
      </c>
      <c r="F210" t="s">
        <v>11415</v>
      </c>
      <c r="G210" t="s">
        <v>72</v>
      </c>
      <c r="H210" t="s">
        <v>72</v>
      </c>
      <c r="I210" t="s">
        <v>11416</v>
      </c>
      <c r="J210" t="s">
        <v>1670</v>
      </c>
      <c r="K210" t="s">
        <v>72</v>
      </c>
      <c r="L210" t="s">
        <v>72</v>
      </c>
      <c r="M210" t="s">
        <v>76</v>
      </c>
      <c r="N210" t="s">
        <v>77</v>
      </c>
      <c r="O210" t="s">
        <v>72</v>
      </c>
      <c r="P210" t="s">
        <v>72</v>
      </c>
      <c r="Q210" t="s">
        <v>72</v>
      </c>
      <c r="R210" t="s">
        <v>72</v>
      </c>
      <c r="S210" t="s">
        <v>72</v>
      </c>
      <c r="T210" t="s">
        <v>11417</v>
      </c>
      <c r="U210" t="s">
        <v>72</v>
      </c>
      <c r="V210" t="s">
        <v>11418</v>
      </c>
      <c r="W210" t="s">
        <v>11419</v>
      </c>
      <c r="X210" t="s">
        <v>2622</v>
      </c>
      <c r="Y210" t="s">
        <v>11420</v>
      </c>
      <c r="Z210" t="s">
        <v>11421</v>
      </c>
      <c r="AA210" t="s">
        <v>72</v>
      </c>
      <c r="AB210" t="s">
        <v>72</v>
      </c>
      <c r="AC210" t="s">
        <v>72</v>
      </c>
      <c r="AD210" t="s">
        <v>72</v>
      </c>
      <c r="AE210" t="s">
        <v>72</v>
      </c>
      <c r="AF210" t="s">
        <v>72</v>
      </c>
      <c r="AG210">
        <v>55</v>
      </c>
      <c r="AH210">
        <v>6</v>
      </c>
      <c r="AI210">
        <v>6</v>
      </c>
      <c r="AJ210">
        <v>7</v>
      </c>
      <c r="AK210">
        <v>18</v>
      </c>
      <c r="AL210" t="s">
        <v>336</v>
      </c>
      <c r="AM210" t="s">
        <v>337</v>
      </c>
      <c r="AN210" t="s">
        <v>338</v>
      </c>
      <c r="AO210" t="s">
        <v>1681</v>
      </c>
      <c r="AP210" t="s">
        <v>1682</v>
      </c>
      <c r="AQ210" t="s">
        <v>72</v>
      </c>
      <c r="AR210" t="s">
        <v>1683</v>
      </c>
      <c r="AS210" t="s">
        <v>1684</v>
      </c>
      <c r="AT210" t="s">
        <v>299</v>
      </c>
      <c r="AU210">
        <v>2022</v>
      </c>
      <c r="AV210">
        <v>24</v>
      </c>
      <c r="AW210">
        <v>6</v>
      </c>
      <c r="AX210" t="s">
        <v>72</v>
      </c>
      <c r="AY210" t="s">
        <v>72</v>
      </c>
      <c r="AZ210" t="s">
        <v>72</v>
      </c>
      <c r="BA210" t="s">
        <v>72</v>
      </c>
      <c r="BB210">
        <v>1481</v>
      </c>
      <c r="BC210">
        <v>1499</v>
      </c>
      <c r="BD210">
        <v>1461444820976970</v>
      </c>
      <c r="BE210" t="s">
        <v>11422</v>
      </c>
      <c r="BF210" t="str">
        <f>HYPERLINK("http://dx.doi.org/10.1177/1461444820976970","http://dx.doi.org/10.1177/1461444820976970")</f>
        <v>http://dx.doi.org/10.1177/1461444820976970</v>
      </c>
      <c r="BG210" t="s">
        <v>72</v>
      </c>
      <c r="BH210" t="s">
        <v>4447</v>
      </c>
      <c r="BI210">
        <v>19</v>
      </c>
      <c r="BJ210" t="s">
        <v>174</v>
      </c>
      <c r="BK210" t="s">
        <v>174</v>
      </c>
      <c r="BL210" t="s">
        <v>11423</v>
      </c>
      <c r="BM210" t="s">
        <v>72</v>
      </c>
      <c r="BN210" t="s">
        <v>280</v>
      </c>
      <c r="BO210" t="s">
        <v>72</v>
      </c>
      <c r="BP210" t="s">
        <v>72</v>
      </c>
      <c r="BQ210" t="s">
        <v>100</v>
      </c>
      <c r="BR210" t="s">
        <v>11424</v>
      </c>
      <c r="BS210" t="str">
        <f>HYPERLINK("https%3A%2F%2Fwww.webofscience.com%2Fwos%2Fwoscc%2Ffull-record%2FWOS:000623429900001","View Full Record in Web of Science")</f>
        <v>View Full Record in Web of Science</v>
      </c>
    </row>
    <row r="211" spans="1:71" hidden="1" x14ac:dyDescent="0.2">
      <c r="A211" t="s">
        <v>70</v>
      </c>
      <c r="B211" t="s">
        <v>11447</v>
      </c>
      <c r="C211" t="s">
        <v>72</v>
      </c>
      <c r="D211" t="s">
        <v>72</v>
      </c>
      <c r="E211" t="s">
        <v>72</v>
      </c>
      <c r="F211" t="s">
        <v>11448</v>
      </c>
      <c r="G211" t="s">
        <v>72</v>
      </c>
      <c r="H211" t="s">
        <v>72</v>
      </c>
      <c r="I211" t="s">
        <v>11449</v>
      </c>
      <c r="J211" t="s">
        <v>1670</v>
      </c>
      <c r="K211" t="s">
        <v>72</v>
      </c>
      <c r="L211" t="s">
        <v>72</v>
      </c>
      <c r="M211" t="s">
        <v>76</v>
      </c>
      <c r="N211" t="s">
        <v>352</v>
      </c>
      <c r="O211" t="s">
        <v>72</v>
      </c>
      <c r="P211" t="s">
        <v>72</v>
      </c>
      <c r="Q211" t="s">
        <v>72</v>
      </c>
      <c r="R211" t="s">
        <v>72</v>
      </c>
      <c r="S211" t="s">
        <v>72</v>
      </c>
      <c r="T211" t="s">
        <v>11450</v>
      </c>
      <c r="U211" t="s">
        <v>11451</v>
      </c>
      <c r="V211" t="s">
        <v>11452</v>
      </c>
      <c r="W211" t="s">
        <v>11453</v>
      </c>
      <c r="X211" t="s">
        <v>11454</v>
      </c>
      <c r="Y211" t="s">
        <v>11165</v>
      </c>
      <c r="Z211" t="s">
        <v>11021</v>
      </c>
      <c r="AA211" t="s">
        <v>72</v>
      </c>
      <c r="AB211" t="s">
        <v>11455</v>
      </c>
      <c r="AC211" t="s">
        <v>72</v>
      </c>
      <c r="AD211" t="s">
        <v>72</v>
      </c>
      <c r="AE211" t="s">
        <v>72</v>
      </c>
      <c r="AF211" t="s">
        <v>72</v>
      </c>
      <c r="AG211">
        <v>59</v>
      </c>
      <c r="AH211">
        <v>1</v>
      </c>
      <c r="AI211">
        <v>1</v>
      </c>
      <c r="AJ211">
        <v>2</v>
      </c>
      <c r="AK211">
        <v>2</v>
      </c>
      <c r="AL211" t="s">
        <v>336</v>
      </c>
      <c r="AM211" t="s">
        <v>337</v>
      </c>
      <c r="AN211" t="s">
        <v>338</v>
      </c>
      <c r="AO211" t="s">
        <v>1681</v>
      </c>
      <c r="AP211" t="s">
        <v>1682</v>
      </c>
      <c r="AQ211" t="s">
        <v>72</v>
      </c>
      <c r="AR211" t="s">
        <v>1683</v>
      </c>
      <c r="AS211" t="s">
        <v>1684</v>
      </c>
      <c r="AT211" t="s">
        <v>72</v>
      </c>
      <c r="AU211" t="s">
        <v>72</v>
      </c>
      <c r="AV211" t="s">
        <v>72</v>
      </c>
      <c r="AW211" t="s">
        <v>72</v>
      </c>
      <c r="AX211" t="s">
        <v>72</v>
      </c>
      <c r="AY211" t="s">
        <v>72</v>
      </c>
      <c r="AZ211" t="s">
        <v>72</v>
      </c>
      <c r="BA211" t="s">
        <v>72</v>
      </c>
      <c r="BB211" t="s">
        <v>72</v>
      </c>
      <c r="BC211" t="s">
        <v>72</v>
      </c>
      <c r="BD211" t="s">
        <v>72</v>
      </c>
      <c r="BE211" t="s">
        <v>11456</v>
      </c>
      <c r="BF211" t="str">
        <f>HYPERLINK("http://dx.doi.org/10.1177/14614448221127899","http://dx.doi.org/10.1177/14614448221127899")</f>
        <v>http://dx.doi.org/10.1177/14614448221127899</v>
      </c>
      <c r="BG211" t="s">
        <v>72</v>
      </c>
      <c r="BH211" t="s">
        <v>2868</v>
      </c>
      <c r="BI211">
        <v>22</v>
      </c>
      <c r="BJ211" t="s">
        <v>174</v>
      </c>
      <c r="BK211" t="s">
        <v>174</v>
      </c>
      <c r="BL211" t="s">
        <v>11457</v>
      </c>
      <c r="BM211" t="s">
        <v>72</v>
      </c>
      <c r="BN211" t="s">
        <v>280</v>
      </c>
      <c r="BO211" t="s">
        <v>72</v>
      </c>
      <c r="BP211" t="s">
        <v>72</v>
      </c>
      <c r="BQ211" t="s">
        <v>100</v>
      </c>
      <c r="BR211" t="s">
        <v>11458</v>
      </c>
      <c r="BS211" t="str">
        <f>HYPERLINK("https%3A%2F%2Fwww.webofscience.com%2Fwos%2Fwoscc%2Ffull-record%2FWOS:000863952100001","View Full Record in Web of Science")</f>
        <v>View Full Record in Web of Science</v>
      </c>
    </row>
    <row r="212" spans="1:71" hidden="1" x14ac:dyDescent="0.2">
      <c r="A212" t="s">
        <v>70</v>
      </c>
      <c r="B212" t="s">
        <v>11476</v>
      </c>
      <c r="C212" t="s">
        <v>72</v>
      </c>
      <c r="D212" t="s">
        <v>72</v>
      </c>
      <c r="E212" t="s">
        <v>72</v>
      </c>
      <c r="F212" t="s">
        <v>11477</v>
      </c>
      <c r="G212" t="s">
        <v>72</v>
      </c>
      <c r="H212" t="s">
        <v>72</v>
      </c>
      <c r="I212" t="s">
        <v>11478</v>
      </c>
      <c r="J212" t="s">
        <v>11479</v>
      </c>
      <c r="K212" t="s">
        <v>72</v>
      </c>
      <c r="L212" t="s">
        <v>72</v>
      </c>
      <c r="M212" t="s">
        <v>76</v>
      </c>
      <c r="N212" t="s">
        <v>77</v>
      </c>
      <c r="O212" t="s">
        <v>72</v>
      </c>
      <c r="P212" t="s">
        <v>72</v>
      </c>
      <c r="Q212" t="s">
        <v>72</v>
      </c>
      <c r="R212" t="s">
        <v>72</v>
      </c>
      <c r="S212" t="s">
        <v>72</v>
      </c>
      <c r="T212" t="s">
        <v>11480</v>
      </c>
      <c r="U212" t="s">
        <v>11481</v>
      </c>
      <c r="V212" t="s">
        <v>11482</v>
      </c>
      <c r="W212" t="s">
        <v>11483</v>
      </c>
      <c r="X212" t="s">
        <v>11484</v>
      </c>
      <c r="Y212" t="s">
        <v>11485</v>
      </c>
      <c r="Z212" t="s">
        <v>11486</v>
      </c>
      <c r="AA212" t="s">
        <v>11487</v>
      </c>
      <c r="AB212" t="s">
        <v>11488</v>
      </c>
      <c r="AC212" t="s">
        <v>11489</v>
      </c>
      <c r="AD212" t="s">
        <v>11490</v>
      </c>
      <c r="AE212" t="s">
        <v>11491</v>
      </c>
      <c r="AF212" t="s">
        <v>72</v>
      </c>
      <c r="AG212">
        <v>41</v>
      </c>
      <c r="AH212">
        <v>1</v>
      </c>
      <c r="AI212">
        <v>1</v>
      </c>
      <c r="AJ212">
        <v>0</v>
      </c>
      <c r="AK212">
        <v>5</v>
      </c>
      <c r="AL212" t="s">
        <v>11492</v>
      </c>
      <c r="AM212" t="s">
        <v>620</v>
      </c>
      <c r="AN212" t="s">
        <v>11493</v>
      </c>
      <c r="AO212" t="s">
        <v>11494</v>
      </c>
      <c r="AP212" t="s">
        <v>11495</v>
      </c>
      <c r="AQ212" t="s">
        <v>72</v>
      </c>
      <c r="AR212" t="s">
        <v>11496</v>
      </c>
      <c r="AS212" t="s">
        <v>11497</v>
      </c>
      <c r="AT212" t="s">
        <v>5203</v>
      </c>
      <c r="AU212">
        <v>2019</v>
      </c>
      <c r="AV212">
        <v>8</v>
      </c>
      <c r="AW212">
        <v>3</v>
      </c>
      <c r="AX212" t="s">
        <v>72</v>
      </c>
      <c r="AY212" t="s">
        <v>72</v>
      </c>
      <c r="AZ212" t="s">
        <v>72</v>
      </c>
      <c r="BA212" t="s">
        <v>72</v>
      </c>
      <c r="BB212">
        <v>311</v>
      </c>
      <c r="BC212">
        <v>329</v>
      </c>
      <c r="BD212" t="s">
        <v>72</v>
      </c>
      <c r="BE212" t="s">
        <v>11498</v>
      </c>
      <c r="BF212" t="str">
        <f>HYPERLINK("http://dx.doi.org/10.1386/ajms_00004_1","http://dx.doi.org/10.1386/ajms_00004_1")</f>
        <v>http://dx.doi.org/10.1386/ajms_00004_1</v>
      </c>
      <c r="BG212" t="s">
        <v>72</v>
      </c>
      <c r="BH212" t="s">
        <v>72</v>
      </c>
      <c r="BI212">
        <v>19</v>
      </c>
      <c r="BJ212" t="s">
        <v>174</v>
      </c>
      <c r="BK212" t="s">
        <v>174</v>
      </c>
      <c r="BL212" t="s">
        <v>11499</v>
      </c>
      <c r="BM212" t="s">
        <v>72</v>
      </c>
      <c r="BN212" t="s">
        <v>72</v>
      </c>
      <c r="BO212" t="s">
        <v>72</v>
      </c>
      <c r="BP212" t="s">
        <v>72</v>
      </c>
      <c r="BQ212" t="s">
        <v>100</v>
      </c>
      <c r="BR212" t="s">
        <v>11500</v>
      </c>
      <c r="BS212" t="str">
        <f>HYPERLINK("https%3A%2F%2Fwww.webofscience.com%2Fwos%2Fwoscc%2Ffull-record%2FWOS:000499117000004","View Full Record in Web of Science")</f>
        <v>View Full Record in Web of Science</v>
      </c>
    </row>
    <row r="213" spans="1:71" hidden="1" x14ac:dyDescent="0.2">
      <c r="A213" t="s">
        <v>70</v>
      </c>
      <c r="B213" t="s">
        <v>11846</v>
      </c>
      <c r="C213" t="s">
        <v>72</v>
      </c>
      <c r="D213" t="s">
        <v>72</v>
      </c>
      <c r="E213" t="s">
        <v>72</v>
      </c>
      <c r="F213" t="s">
        <v>11847</v>
      </c>
      <c r="G213" t="s">
        <v>72</v>
      </c>
      <c r="H213" t="s">
        <v>72</v>
      </c>
      <c r="I213" t="s">
        <v>11848</v>
      </c>
      <c r="J213" t="s">
        <v>3086</v>
      </c>
      <c r="K213" t="s">
        <v>72</v>
      </c>
      <c r="L213" t="s">
        <v>72</v>
      </c>
      <c r="M213" t="s">
        <v>76</v>
      </c>
      <c r="N213" t="s">
        <v>77</v>
      </c>
      <c r="O213" t="s">
        <v>72</v>
      </c>
      <c r="P213" t="s">
        <v>72</v>
      </c>
      <c r="Q213" t="s">
        <v>72</v>
      </c>
      <c r="R213" t="s">
        <v>72</v>
      </c>
      <c r="S213" t="s">
        <v>72</v>
      </c>
      <c r="T213" t="s">
        <v>72</v>
      </c>
      <c r="U213" t="s">
        <v>11849</v>
      </c>
      <c r="V213" t="s">
        <v>11850</v>
      </c>
      <c r="W213" t="s">
        <v>11851</v>
      </c>
      <c r="X213" t="s">
        <v>11852</v>
      </c>
      <c r="Y213" t="s">
        <v>11853</v>
      </c>
      <c r="Z213" t="s">
        <v>3421</v>
      </c>
      <c r="AA213" t="s">
        <v>72</v>
      </c>
      <c r="AB213" t="s">
        <v>3422</v>
      </c>
      <c r="AC213" t="s">
        <v>11854</v>
      </c>
      <c r="AD213" t="s">
        <v>11855</v>
      </c>
      <c r="AE213" t="s">
        <v>11856</v>
      </c>
      <c r="AF213" t="s">
        <v>72</v>
      </c>
      <c r="AG213">
        <v>62</v>
      </c>
      <c r="AH213">
        <v>16</v>
      </c>
      <c r="AI213">
        <v>16</v>
      </c>
      <c r="AJ213">
        <v>4</v>
      </c>
      <c r="AK213">
        <v>11</v>
      </c>
      <c r="AL213" t="s">
        <v>364</v>
      </c>
      <c r="AM213" t="s">
        <v>365</v>
      </c>
      <c r="AN213" t="s">
        <v>366</v>
      </c>
      <c r="AO213" t="s">
        <v>3096</v>
      </c>
      <c r="AP213" t="s">
        <v>3097</v>
      </c>
      <c r="AQ213" t="s">
        <v>72</v>
      </c>
      <c r="AR213" t="s">
        <v>3098</v>
      </c>
      <c r="AS213" t="s">
        <v>3099</v>
      </c>
      <c r="AT213" t="s">
        <v>5039</v>
      </c>
      <c r="AU213">
        <v>2021</v>
      </c>
      <c r="AV213">
        <v>15</v>
      </c>
      <c r="AW213">
        <v>2</v>
      </c>
      <c r="AX213" t="s">
        <v>72</v>
      </c>
      <c r="AY213" t="s">
        <v>72</v>
      </c>
      <c r="AZ213" t="s">
        <v>72</v>
      </c>
      <c r="BA213" t="s">
        <v>72</v>
      </c>
      <c r="BB213">
        <v>81</v>
      </c>
      <c r="BC213">
        <v>102</v>
      </c>
      <c r="BD213" t="s">
        <v>72</v>
      </c>
      <c r="BE213" t="s">
        <v>11857</v>
      </c>
      <c r="BF213" t="str">
        <f>HYPERLINK("http://dx.doi.org/10.1080/19312458.2020.1832976","http://dx.doi.org/10.1080/19312458.2020.1832976")</f>
        <v>http://dx.doi.org/10.1080/19312458.2020.1832976</v>
      </c>
      <c r="BG213" t="s">
        <v>72</v>
      </c>
      <c r="BH213" t="s">
        <v>8184</v>
      </c>
      <c r="BI213">
        <v>22</v>
      </c>
      <c r="BJ213" t="s">
        <v>174</v>
      </c>
      <c r="BK213" t="s">
        <v>174</v>
      </c>
      <c r="BL213" t="s">
        <v>6118</v>
      </c>
      <c r="BM213" t="s">
        <v>72</v>
      </c>
      <c r="BN213" t="s">
        <v>346</v>
      </c>
      <c r="BO213" t="s">
        <v>72</v>
      </c>
      <c r="BP213" t="s">
        <v>72</v>
      </c>
      <c r="BQ213" t="s">
        <v>100</v>
      </c>
      <c r="BR213" t="s">
        <v>11858</v>
      </c>
      <c r="BS213" t="str">
        <f>HYPERLINK("https%3A%2F%2Fwww.webofscience.com%2Fwos%2Fwoscc%2Ffull-record%2FWOS:000588113600001","View Full Record in Web of Science")</f>
        <v>View Full Record in Web of Science</v>
      </c>
    </row>
    <row r="214" spans="1:71" hidden="1" x14ac:dyDescent="0.2">
      <c r="A214" t="s">
        <v>70</v>
      </c>
      <c r="B214" t="s">
        <v>12002</v>
      </c>
      <c r="C214" t="s">
        <v>72</v>
      </c>
      <c r="D214" t="s">
        <v>72</v>
      </c>
      <c r="E214" t="s">
        <v>72</v>
      </c>
      <c r="F214" t="s">
        <v>12003</v>
      </c>
      <c r="G214" t="s">
        <v>72</v>
      </c>
      <c r="H214" t="s">
        <v>72</v>
      </c>
      <c r="I214" t="s">
        <v>12004</v>
      </c>
      <c r="J214" t="s">
        <v>12005</v>
      </c>
      <c r="K214" t="s">
        <v>72</v>
      </c>
      <c r="L214" t="s">
        <v>72</v>
      </c>
      <c r="M214" t="s">
        <v>76</v>
      </c>
      <c r="N214" t="s">
        <v>77</v>
      </c>
      <c r="O214" t="s">
        <v>72</v>
      </c>
      <c r="P214" t="s">
        <v>72</v>
      </c>
      <c r="Q214" t="s">
        <v>72</v>
      </c>
      <c r="R214" t="s">
        <v>72</v>
      </c>
      <c r="S214" t="s">
        <v>72</v>
      </c>
      <c r="T214" t="s">
        <v>12006</v>
      </c>
      <c r="U214" t="s">
        <v>12007</v>
      </c>
      <c r="V214" t="s">
        <v>12008</v>
      </c>
      <c r="W214" t="s">
        <v>12009</v>
      </c>
      <c r="X214" t="s">
        <v>805</v>
      </c>
      <c r="Y214" t="s">
        <v>12010</v>
      </c>
      <c r="Z214" t="s">
        <v>12011</v>
      </c>
      <c r="AA214" t="s">
        <v>12012</v>
      </c>
      <c r="AB214" t="s">
        <v>12013</v>
      </c>
      <c r="AC214" t="s">
        <v>12014</v>
      </c>
      <c r="AD214" t="s">
        <v>12015</v>
      </c>
      <c r="AE214" t="s">
        <v>12016</v>
      </c>
      <c r="AF214" t="s">
        <v>72</v>
      </c>
      <c r="AG214">
        <v>50</v>
      </c>
      <c r="AH214">
        <v>3</v>
      </c>
      <c r="AI214">
        <v>3</v>
      </c>
      <c r="AJ214">
        <v>3</v>
      </c>
      <c r="AK214">
        <v>13</v>
      </c>
      <c r="AL214" t="s">
        <v>9972</v>
      </c>
      <c r="AM214" t="s">
        <v>9973</v>
      </c>
      <c r="AN214" t="s">
        <v>9974</v>
      </c>
      <c r="AO214" t="s">
        <v>12017</v>
      </c>
      <c r="AP214" t="s">
        <v>72</v>
      </c>
      <c r="AQ214" t="s">
        <v>72</v>
      </c>
      <c r="AR214" t="s">
        <v>12018</v>
      </c>
      <c r="AS214" t="s">
        <v>12019</v>
      </c>
      <c r="AT214" t="s">
        <v>72</v>
      </c>
      <c r="AU214">
        <v>2020</v>
      </c>
      <c r="AV214">
        <v>8</v>
      </c>
      <c r="AW214">
        <v>3</v>
      </c>
      <c r="AX214" t="s">
        <v>72</v>
      </c>
      <c r="AY214" t="s">
        <v>72</v>
      </c>
      <c r="AZ214" t="s">
        <v>72</v>
      </c>
      <c r="BA214" t="s">
        <v>72</v>
      </c>
      <c r="BB214">
        <v>205</v>
      </c>
      <c r="BC214">
        <v>218</v>
      </c>
      <c r="BD214" t="s">
        <v>72</v>
      </c>
      <c r="BE214" t="s">
        <v>12020</v>
      </c>
      <c r="BF214" t="str">
        <f>HYPERLINK("http://dx.doi.org/10.17645/mac.v8i3.3128","http://dx.doi.org/10.17645/mac.v8i3.3128")</f>
        <v>http://dx.doi.org/10.17645/mac.v8i3.3128</v>
      </c>
      <c r="BG214" t="s">
        <v>72</v>
      </c>
      <c r="BH214" t="s">
        <v>72</v>
      </c>
      <c r="BI214">
        <v>14</v>
      </c>
      <c r="BJ214" t="s">
        <v>174</v>
      </c>
      <c r="BK214" t="s">
        <v>174</v>
      </c>
      <c r="BL214" t="s">
        <v>12021</v>
      </c>
      <c r="BM214" t="s">
        <v>72</v>
      </c>
      <c r="BN214" t="s">
        <v>910</v>
      </c>
      <c r="BO214" t="s">
        <v>72</v>
      </c>
      <c r="BP214" t="s">
        <v>72</v>
      </c>
      <c r="BQ214" t="s">
        <v>100</v>
      </c>
      <c r="BR214" t="s">
        <v>12022</v>
      </c>
      <c r="BS214" t="str">
        <f>HYPERLINK("https%3A%2F%2Fwww.webofscience.com%2Fwos%2Fwoscc%2Ffull-record%2FWOS:000562709200006","View Full Record in Web of Science")</f>
        <v>View Full Record in Web of Science</v>
      </c>
    </row>
    <row r="215" spans="1:71" hidden="1" x14ac:dyDescent="0.2">
      <c r="A215" t="s">
        <v>70</v>
      </c>
      <c r="B215" t="s">
        <v>12094</v>
      </c>
      <c r="C215" t="s">
        <v>72</v>
      </c>
      <c r="D215" t="s">
        <v>72</v>
      </c>
      <c r="E215" t="s">
        <v>72</v>
      </c>
      <c r="F215" t="s">
        <v>12095</v>
      </c>
      <c r="G215" t="s">
        <v>72</v>
      </c>
      <c r="H215" t="s">
        <v>72</v>
      </c>
      <c r="I215" t="s">
        <v>12096</v>
      </c>
      <c r="J215" t="s">
        <v>5915</v>
      </c>
      <c r="K215" t="s">
        <v>72</v>
      </c>
      <c r="L215" t="s">
        <v>72</v>
      </c>
      <c r="M215" t="s">
        <v>76</v>
      </c>
      <c r="N215" t="s">
        <v>352</v>
      </c>
      <c r="O215" t="s">
        <v>72</v>
      </c>
      <c r="P215" t="s">
        <v>72</v>
      </c>
      <c r="Q215" t="s">
        <v>72</v>
      </c>
      <c r="R215" t="s">
        <v>72</v>
      </c>
      <c r="S215" t="s">
        <v>72</v>
      </c>
      <c r="T215" t="s">
        <v>12097</v>
      </c>
      <c r="U215" t="s">
        <v>12098</v>
      </c>
      <c r="V215" t="s">
        <v>12099</v>
      </c>
      <c r="W215" t="s">
        <v>12100</v>
      </c>
      <c r="X215" t="s">
        <v>12101</v>
      </c>
      <c r="Y215" t="s">
        <v>12102</v>
      </c>
      <c r="Z215" t="s">
        <v>12103</v>
      </c>
      <c r="AA215" t="s">
        <v>12104</v>
      </c>
      <c r="AB215" t="s">
        <v>12105</v>
      </c>
      <c r="AC215" t="s">
        <v>12106</v>
      </c>
      <c r="AD215" t="s">
        <v>12107</v>
      </c>
      <c r="AE215" t="s">
        <v>12108</v>
      </c>
      <c r="AF215" t="s">
        <v>72</v>
      </c>
      <c r="AG215">
        <v>56</v>
      </c>
      <c r="AH215">
        <v>0</v>
      </c>
      <c r="AI215">
        <v>0</v>
      </c>
      <c r="AJ215">
        <v>32</v>
      </c>
      <c r="AK215">
        <v>48</v>
      </c>
      <c r="AL215" t="s">
        <v>190</v>
      </c>
      <c r="AM215" t="s">
        <v>191</v>
      </c>
      <c r="AN215" t="s">
        <v>192</v>
      </c>
      <c r="AO215" t="s">
        <v>5923</v>
      </c>
      <c r="AP215" t="s">
        <v>5924</v>
      </c>
      <c r="AQ215" t="s">
        <v>72</v>
      </c>
      <c r="AR215" t="s">
        <v>5925</v>
      </c>
      <c r="AS215" t="s">
        <v>5926</v>
      </c>
      <c r="AT215" t="s">
        <v>72</v>
      </c>
      <c r="AU215" t="s">
        <v>72</v>
      </c>
      <c r="AV215" t="s">
        <v>72</v>
      </c>
      <c r="AW215" t="s">
        <v>72</v>
      </c>
      <c r="AX215" t="s">
        <v>72</v>
      </c>
      <c r="AY215" t="s">
        <v>72</v>
      </c>
      <c r="AZ215" t="s">
        <v>72</v>
      </c>
      <c r="BA215" t="s">
        <v>72</v>
      </c>
      <c r="BB215" t="s">
        <v>72</v>
      </c>
      <c r="BC215" t="s">
        <v>72</v>
      </c>
      <c r="BD215">
        <v>936502211073290</v>
      </c>
      <c r="BE215" t="s">
        <v>12109</v>
      </c>
      <c r="BF215" t="str">
        <f>HYPERLINK("http://dx.doi.org/10.1177/00936502211073290","http://dx.doi.org/10.1177/00936502211073290")</f>
        <v>http://dx.doi.org/10.1177/00936502211073290</v>
      </c>
      <c r="BG215" t="s">
        <v>72</v>
      </c>
      <c r="BH215" t="s">
        <v>2211</v>
      </c>
      <c r="BI215">
        <v>26</v>
      </c>
      <c r="BJ215" t="s">
        <v>174</v>
      </c>
      <c r="BK215" t="s">
        <v>174</v>
      </c>
      <c r="BL215" t="s">
        <v>12110</v>
      </c>
      <c r="BM215" t="s">
        <v>72</v>
      </c>
      <c r="BN215" t="s">
        <v>72</v>
      </c>
      <c r="BO215" t="s">
        <v>72</v>
      </c>
      <c r="BP215" t="s">
        <v>72</v>
      </c>
      <c r="BQ215" t="s">
        <v>100</v>
      </c>
      <c r="BR215" t="s">
        <v>12111</v>
      </c>
      <c r="BS215" t="str">
        <f>HYPERLINK("https%3A%2F%2Fwww.webofscience.com%2Fwos%2Fwoscc%2Ffull-record%2FWOS:000775949900001","View Full Record in Web of Science")</f>
        <v>View Full Record in Web of Science</v>
      </c>
    </row>
    <row r="216" spans="1:71" hidden="1" x14ac:dyDescent="0.2">
      <c r="A216" t="s">
        <v>70</v>
      </c>
      <c r="B216" t="s">
        <v>12112</v>
      </c>
      <c r="C216" t="s">
        <v>72</v>
      </c>
      <c r="D216" t="s">
        <v>72</v>
      </c>
      <c r="E216" t="s">
        <v>72</v>
      </c>
      <c r="F216" t="s">
        <v>12113</v>
      </c>
      <c r="G216" t="s">
        <v>72</v>
      </c>
      <c r="H216" t="s">
        <v>72</v>
      </c>
      <c r="I216" t="s">
        <v>12114</v>
      </c>
      <c r="J216" t="s">
        <v>5915</v>
      </c>
      <c r="K216" t="s">
        <v>72</v>
      </c>
      <c r="L216" t="s">
        <v>72</v>
      </c>
      <c r="M216" t="s">
        <v>76</v>
      </c>
      <c r="N216" t="s">
        <v>352</v>
      </c>
      <c r="O216" t="s">
        <v>72</v>
      </c>
      <c r="P216" t="s">
        <v>72</v>
      </c>
      <c r="Q216" t="s">
        <v>72</v>
      </c>
      <c r="R216" t="s">
        <v>72</v>
      </c>
      <c r="S216" t="s">
        <v>72</v>
      </c>
      <c r="T216" t="s">
        <v>12115</v>
      </c>
      <c r="U216" t="s">
        <v>12116</v>
      </c>
      <c r="V216" t="s">
        <v>12117</v>
      </c>
      <c r="W216" t="s">
        <v>12118</v>
      </c>
      <c r="X216" t="s">
        <v>1242</v>
      </c>
      <c r="Y216" t="s">
        <v>12119</v>
      </c>
      <c r="Z216" t="s">
        <v>12120</v>
      </c>
      <c r="AA216" t="s">
        <v>72</v>
      </c>
      <c r="AB216" t="s">
        <v>12121</v>
      </c>
      <c r="AC216" t="s">
        <v>12122</v>
      </c>
      <c r="AD216" t="s">
        <v>12123</v>
      </c>
      <c r="AE216" t="s">
        <v>12124</v>
      </c>
      <c r="AF216" t="s">
        <v>72</v>
      </c>
      <c r="AG216">
        <v>73</v>
      </c>
      <c r="AH216">
        <v>0</v>
      </c>
      <c r="AI216">
        <v>0</v>
      </c>
      <c r="AJ216">
        <v>6</v>
      </c>
      <c r="AK216">
        <v>10</v>
      </c>
      <c r="AL216" t="s">
        <v>190</v>
      </c>
      <c r="AM216" t="s">
        <v>191</v>
      </c>
      <c r="AN216" t="s">
        <v>192</v>
      </c>
      <c r="AO216" t="s">
        <v>5923</v>
      </c>
      <c r="AP216" t="s">
        <v>5924</v>
      </c>
      <c r="AQ216" t="s">
        <v>72</v>
      </c>
      <c r="AR216" t="s">
        <v>5925</v>
      </c>
      <c r="AS216" t="s">
        <v>5926</v>
      </c>
      <c r="AT216" t="s">
        <v>72</v>
      </c>
      <c r="AU216" t="s">
        <v>72</v>
      </c>
      <c r="AV216" t="s">
        <v>72</v>
      </c>
      <c r="AW216" t="s">
        <v>72</v>
      </c>
      <c r="AX216" t="s">
        <v>72</v>
      </c>
      <c r="AY216" t="s">
        <v>72</v>
      </c>
      <c r="AZ216" t="s">
        <v>72</v>
      </c>
      <c r="BA216" t="s">
        <v>72</v>
      </c>
      <c r="BB216" t="s">
        <v>72</v>
      </c>
      <c r="BC216" t="s">
        <v>72</v>
      </c>
      <c r="BD216">
        <v>936502211062773</v>
      </c>
      <c r="BE216" t="s">
        <v>12125</v>
      </c>
      <c r="BF216" t="str">
        <f>HYPERLINK("http://dx.doi.org/10.1177/00936502211062773","http://dx.doi.org/10.1177/00936502211062773")</f>
        <v>http://dx.doi.org/10.1177/00936502211062773</v>
      </c>
      <c r="BG216" t="s">
        <v>72</v>
      </c>
      <c r="BH216" t="s">
        <v>1212</v>
      </c>
      <c r="BI216">
        <v>24</v>
      </c>
      <c r="BJ216" t="s">
        <v>174</v>
      </c>
      <c r="BK216" t="s">
        <v>174</v>
      </c>
      <c r="BL216" t="s">
        <v>12126</v>
      </c>
      <c r="BM216" t="s">
        <v>72</v>
      </c>
      <c r="BN216" t="s">
        <v>2403</v>
      </c>
      <c r="BO216" t="s">
        <v>72</v>
      </c>
      <c r="BP216" t="s">
        <v>72</v>
      </c>
      <c r="BQ216" t="s">
        <v>100</v>
      </c>
      <c r="BR216" t="s">
        <v>12127</v>
      </c>
      <c r="BS216" t="str">
        <f>HYPERLINK("https%3A%2F%2Fwww.webofscience.com%2Fwos%2Fwoscc%2Ffull-record%2FWOS:000752976700001","View Full Record in Web of Science")</f>
        <v>View Full Record in Web of Science</v>
      </c>
    </row>
    <row r="217" spans="1:71" hidden="1" x14ac:dyDescent="0.2">
      <c r="A217" t="s">
        <v>70</v>
      </c>
      <c r="B217" t="s">
        <v>12128</v>
      </c>
      <c r="C217" t="s">
        <v>72</v>
      </c>
      <c r="D217" t="s">
        <v>72</v>
      </c>
      <c r="E217" t="s">
        <v>72</v>
      </c>
      <c r="F217" t="s">
        <v>12129</v>
      </c>
      <c r="G217" t="s">
        <v>72</v>
      </c>
      <c r="H217" t="s">
        <v>72</v>
      </c>
      <c r="I217" t="s">
        <v>12130</v>
      </c>
      <c r="J217" t="s">
        <v>9694</v>
      </c>
      <c r="K217" t="s">
        <v>72</v>
      </c>
      <c r="L217" t="s">
        <v>72</v>
      </c>
      <c r="M217" t="s">
        <v>76</v>
      </c>
      <c r="N217" t="s">
        <v>77</v>
      </c>
      <c r="O217" t="s">
        <v>72</v>
      </c>
      <c r="P217" t="s">
        <v>72</v>
      </c>
      <c r="Q217" t="s">
        <v>72</v>
      </c>
      <c r="R217" t="s">
        <v>72</v>
      </c>
      <c r="S217" t="s">
        <v>72</v>
      </c>
      <c r="T217" t="s">
        <v>12131</v>
      </c>
      <c r="U217" t="s">
        <v>12132</v>
      </c>
      <c r="V217" t="s">
        <v>12133</v>
      </c>
      <c r="W217" t="s">
        <v>12134</v>
      </c>
      <c r="X217" t="s">
        <v>12135</v>
      </c>
      <c r="Y217" t="s">
        <v>12136</v>
      </c>
      <c r="Z217" t="s">
        <v>12137</v>
      </c>
      <c r="AA217" t="s">
        <v>72</v>
      </c>
      <c r="AB217" t="s">
        <v>12138</v>
      </c>
      <c r="AC217" t="s">
        <v>72</v>
      </c>
      <c r="AD217" t="s">
        <v>72</v>
      </c>
      <c r="AE217" t="s">
        <v>72</v>
      </c>
      <c r="AF217" t="s">
        <v>72</v>
      </c>
      <c r="AG217">
        <v>77</v>
      </c>
      <c r="AH217">
        <v>4</v>
      </c>
      <c r="AI217">
        <v>4</v>
      </c>
      <c r="AJ217">
        <v>10</v>
      </c>
      <c r="AK217">
        <v>22</v>
      </c>
      <c r="AL217" t="s">
        <v>336</v>
      </c>
      <c r="AM217" t="s">
        <v>337</v>
      </c>
      <c r="AN217" t="s">
        <v>338</v>
      </c>
      <c r="AO217" t="s">
        <v>9704</v>
      </c>
      <c r="AP217" t="s">
        <v>72</v>
      </c>
      <c r="AQ217" t="s">
        <v>72</v>
      </c>
      <c r="AR217" t="s">
        <v>9705</v>
      </c>
      <c r="AS217" t="s">
        <v>9706</v>
      </c>
      <c r="AT217" t="s">
        <v>395</v>
      </c>
      <c r="AU217">
        <v>2021</v>
      </c>
      <c r="AV217">
        <v>7</v>
      </c>
      <c r="AW217">
        <v>4</v>
      </c>
      <c r="AX217" t="s">
        <v>72</v>
      </c>
      <c r="AY217" t="s">
        <v>72</v>
      </c>
      <c r="AZ217" t="s">
        <v>72</v>
      </c>
      <c r="BA217" t="s">
        <v>72</v>
      </c>
      <c r="BB217" t="s">
        <v>72</v>
      </c>
      <c r="BC217" t="s">
        <v>72</v>
      </c>
      <c r="BD217">
        <v>2.0563051211059712E+16</v>
      </c>
      <c r="BE217" t="s">
        <v>12139</v>
      </c>
      <c r="BF217" t="str">
        <f>HYPERLINK("http://dx.doi.org/10.1177/20563051211059710","http://dx.doi.org/10.1177/20563051211059710")</f>
        <v>http://dx.doi.org/10.1177/20563051211059710</v>
      </c>
      <c r="BG217" t="s">
        <v>72</v>
      </c>
      <c r="BH217" t="s">
        <v>72</v>
      </c>
      <c r="BI217">
        <v>12</v>
      </c>
      <c r="BJ217" t="s">
        <v>174</v>
      </c>
      <c r="BK217" t="s">
        <v>174</v>
      </c>
      <c r="BL217" t="s">
        <v>12140</v>
      </c>
      <c r="BM217" t="s">
        <v>72</v>
      </c>
      <c r="BN217" t="s">
        <v>910</v>
      </c>
      <c r="BO217" t="s">
        <v>72</v>
      </c>
      <c r="BP217" t="s">
        <v>72</v>
      </c>
      <c r="BQ217" t="s">
        <v>100</v>
      </c>
      <c r="BR217" t="s">
        <v>12141</v>
      </c>
      <c r="BS217" t="str">
        <f>HYPERLINK("https%3A%2F%2Fwww.webofscience.com%2Fwos%2Fwoscc%2Ffull-record%2FWOS:000723882600001","View Full Record in Web of Science")</f>
        <v>View Full Record in Web of Science</v>
      </c>
    </row>
    <row r="218" spans="1:71" hidden="1" x14ac:dyDescent="0.2">
      <c r="A218" t="s">
        <v>70</v>
      </c>
      <c r="B218" t="s">
        <v>12264</v>
      </c>
      <c r="C218" t="s">
        <v>72</v>
      </c>
      <c r="D218" t="s">
        <v>72</v>
      </c>
      <c r="E218" t="s">
        <v>72</v>
      </c>
      <c r="F218" t="s">
        <v>12265</v>
      </c>
      <c r="G218" t="s">
        <v>72</v>
      </c>
      <c r="H218" t="s">
        <v>72</v>
      </c>
      <c r="I218" t="s">
        <v>12266</v>
      </c>
      <c r="J218" t="s">
        <v>9645</v>
      </c>
      <c r="K218" t="s">
        <v>72</v>
      </c>
      <c r="L218" t="s">
        <v>72</v>
      </c>
      <c r="M218" t="s">
        <v>76</v>
      </c>
      <c r="N218" t="s">
        <v>77</v>
      </c>
      <c r="O218" t="s">
        <v>72</v>
      </c>
      <c r="P218" t="s">
        <v>72</v>
      </c>
      <c r="Q218" t="s">
        <v>72</v>
      </c>
      <c r="R218" t="s">
        <v>72</v>
      </c>
      <c r="S218" t="s">
        <v>72</v>
      </c>
      <c r="T218" t="s">
        <v>72</v>
      </c>
      <c r="U218" t="s">
        <v>12267</v>
      </c>
      <c r="V218" t="s">
        <v>12268</v>
      </c>
      <c r="W218" t="s">
        <v>12269</v>
      </c>
      <c r="X218" t="s">
        <v>12270</v>
      </c>
      <c r="Y218" t="s">
        <v>12271</v>
      </c>
      <c r="Z218" t="s">
        <v>12272</v>
      </c>
      <c r="AA218" t="s">
        <v>12273</v>
      </c>
      <c r="AB218" t="s">
        <v>12274</v>
      </c>
      <c r="AC218" t="s">
        <v>12275</v>
      </c>
      <c r="AD218" t="s">
        <v>362</v>
      </c>
      <c r="AE218" t="s">
        <v>12276</v>
      </c>
      <c r="AF218" t="s">
        <v>72</v>
      </c>
      <c r="AG218">
        <v>65</v>
      </c>
      <c r="AH218">
        <v>0</v>
      </c>
      <c r="AI218">
        <v>0</v>
      </c>
      <c r="AJ218">
        <v>1</v>
      </c>
      <c r="AK218">
        <v>5</v>
      </c>
      <c r="AL218" t="s">
        <v>364</v>
      </c>
      <c r="AM218" t="s">
        <v>365</v>
      </c>
      <c r="AN218" t="s">
        <v>366</v>
      </c>
      <c r="AO218" t="s">
        <v>9655</v>
      </c>
      <c r="AP218" t="s">
        <v>9656</v>
      </c>
      <c r="AQ218" t="s">
        <v>72</v>
      </c>
      <c r="AR218" t="s">
        <v>9657</v>
      </c>
      <c r="AS218" t="s">
        <v>9658</v>
      </c>
      <c r="AT218" t="s">
        <v>1172</v>
      </c>
      <c r="AU218">
        <v>2022</v>
      </c>
      <c r="AV218">
        <v>25</v>
      </c>
      <c r="AW218">
        <v>1</v>
      </c>
      <c r="AX218" t="s">
        <v>72</v>
      </c>
      <c r="AY218" t="s">
        <v>72</v>
      </c>
      <c r="AZ218" t="s">
        <v>72</v>
      </c>
      <c r="BA218" t="s">
        <v>72</v>
      </c>
      <c r="BB218">
        <v>134</v>
      </c>
      <c r="BC218">
        <v>157</v>
      </c>
      <c r="BD218" t="s">
        <v>72</v>
      </c>
      <c r="BE218" t="s">
        <v>12277</v>
      </c>
      <c r="BF218" t="str">
        <f>HYPERLINK("http://dx.doi.org/10.1080/15205436.2021.1936068","http://dx.doi.org/10.1080/15205436.2021.1936068")</f>
        <v>http://dx.doi.org/10.1080/15205436.2021.1936068</v>
      </c>
      <c r="BG218" t="s">
        <v>72</v>
      </c>
      <c r="BH218" t="s">
        <v>4131</v>
      </c>
      <c r="BI218">
        <v>24</v>
      </c>
      <c r="BJ218" t="s">
        <v>174</v>
      </c>
      <c r="BK218" t="s">
        <v>174</v>
      </c>
      <c r="BL218" t="s">
        <v>12278</v>
      </c>
      <c r="BM218" t="s">
        <v>72</v>
      </c>
      <c r="BN218" t="s">
        <v>72</v>
      </c>
      <c r="BO218" t="s">
        <v>72</v>
      </c>
      <c r="BP218" t="s">
        <v>72</v>
      </c>
      <c r="BQ218" t="s">
        <v>100</v>
      </c>
      <c r="BR218" t="s">
        <v>12279</v>
      </c>
      <c r="BS218" t="str">
        <f>HYPERLINK("https%3A%2F%2Fwww.webofscience.com%2Fwos%2Fwoscc%2Ffull-record%2FWOS:000664943200001","View Full Record in Web of Science")</f>
        <v>View Full Record in Web of Science</v>
      </c>
    </row>
    <row r="219" spans="1:71" hidden="1" x14ac:dyDescent="0.2">
      <c r="A219" t="s">
        <v>70</v>
      </c>
      <c r="B219" t="s">
        <v>12309</v>
      </c>
      <c r="C219" t="s">
        <v>72</v>
      </c>
      <c r="D219" t="s">
        <v>72</v>
      </c>
      <c r="E219" t="s">
        <v>72</v>
      </c>
      <c r="F219" t="s">
        <v>12310</v>
      </c>
      <c r="G219" t="s">
        <v>72</v>
      </c>
      <c r="H219" t="s">
        <v>72</v>
      </c>
      <c r="I219" t="s">
        <v>12311</v>
      </c>
      <c r="J219" t="s">
        <v>1880</v>
      </c>
      <c r="K219" t="s">
        <v>72</v>
      </c>
      <c r="L219" t="s">
        <v>72</v>
      </c>
      <c r="M219" t="s">
        <v>76</v>
      </c>
      <c r="N219" t="s">
        <v>352</v>
      </c>
      <c r="O219" t="s">
        <v>72</v>
      </c>
      <c r="P219" t="s">
        <v>72</v>
      </c>
      <c r="Q219" t="s">
        <v>72</v>
      </c>
      <c r="R219" t="s">
        <v>72</v>
      </c>
      <c r="S219" t="s">
        <v>72</v>
      </c>
      <c r="T219" t="s">
        <v>12312</v>
      </c>
      <c r="U219" t="s">
        <v>12313</v>
      </c>
      <c r="V219" t="s">
        <v>12314</v>
      </c>
      <c r="W219" t="s">
        <v>12315</v>
      </c>
      <c r="X219" t="s">
        <v>999</v>
      </c>
      <c r="Y219" t="s">
        <v>12316</v>
      </c>
      <c r="Z219" t="s">
        <v>12317</v>
      </c>
      <c r="AA219" t="s">
        <v>72</v>
      </c>
      <c r="AB219" t="s">
        <v>12318</v>
      </c>
      <c r="AC219" t="s">
        <v>12319</v>
      </c>
      <c r="AD219" t="s">
        <v>12319</v>
      </c>
      <c r="AE219" t="s">
        <v>12320</v>
      </c>
      <c r="AF219" t="s">
        <v>72</v>
      </c>
      <c r="AG219">
        <v>74</v>
      </c>
      <c r="AH219">
        <v>0</v>
      </c>
      <c r="AI219">
        <v>0</v>
      </c>
      <c r="AJ219">
        <v>4</v>
      </c>
      <c r="AK219">
        <v>6</v>
      </c>
      <c r="AL219" t="s">
        <v>190</v>
      </c>
      <c r="AM219" t="s">
        <v>191</v>
      </c>
      <c r="AN219" t="s">
        <v>192</v>
      </c>
      <c r="AO219" t="s">
        <v>1891</v>
      </c>
      <c r="AP219" t="s">
        <v>1892</v>
      </c>
      <c r="AQ219" t="s">
        <v>72</v>
      </c>
      <c r="AR219" t="s">
        <v>1880</v>
      </c>
      <c r="AS219" t="s">
        <v>1893</v>
      </c>
      <c r="AT219" t="s">
        <v>72</v>
      </c>
      <c r="AU219" t="s">
        <v>72</v>
      </c>
      <c r="AV219" t="s">
        <v>72</v>
      </c>
      <c r="AW219" t="s">
        <v>72</v>
      </c>
      <c r="AX219" t="s">
        <v>72</v>
      </c>
      <c r="AY219" t="s">
        <v>72</v>
      </c>
      <c r="AZ219" t="s">
        <v>72</v>
      </c>
      <c r="BA219" t="s">
        <v>72</v>
      </c>
      <c r="BB219" t="s">
        <v>72</v>
      </c>
      <c r="BC219" t="s">
        <v>72</v>
      </c>
      <c r="BD219">
        <v>1.4648849211036308E+16</v>
      </c>
      <c r="BE219" t="s">
        <v>12321</v>
      </c>
      <c r="BF219" t="str">
        <f>HYPERLINK("http://dx.doi.org/10.1177/14648849211036309","http://dx.doi.org/10.1177/14648849211036309")</f>
        <v>http://dx.doi.org/10.1177/14648849211036309</v>
      </c>
      <c r="BG219" t="s">
        <v>72</v>
      </c>
      <c r="BH219" t="s">
        <v>4769</v>
      </c>
      <c r="BI219">
        <v>21</v>
      </c>
      <c r="BJ219" t="s">
        <v>174</v>
      </c>
      <c r="BK219" t="s">
        <v>174</v>
      </c>
      <c r="BL219" t="s">
        <v>12322</v>
      </c>
      <c r="BM219" t="s">
        <v>72</v>
      </c>
      <c r="BN219" t="s">
        <v>2403</v>
      </c>
      <c r="BO219" t="s">
        <v>72</v>
      </c>
      <c r="BP219" t="s">
        <v>72</v>
      </c>
      <c r="BQ219" t="s">
        <v>100</v>
      </c>
      <c r="BR219" t="s">
        <v>12323</v>
      </c>
      <c r="BS219" t="str">
        <f>HYPERLINK("https%3A%2F%2Fwww.webofscience.com%2Fwos%2Fwoscc%2Ffull-record%2FWOS:000680145500001","View Full Record in Web of Science")</f>
        <v>View Full Record in Web of Science</v>
      </c>
    </row>
    <row r="220" spans="1:71" hidden="1" x14ac:dyDescent="0.2">
      <c r="A220" t="s">
        <v>70</v>
      </c>
      <c r="B220" t="s">
        <v>12324</v>
      </c>
      <c r="C220" t="s">
        <v>72</v>
      </c>
      <c r="D220" t="s">
        <v>72</v>
      </c>
      <c r="E220" t="s">
        <v>72</v>
      </c>
      <c r="F220" t="s">
        <v>12325</v>
      </c>
      <c r="G220" t="s">
        <v>72</v>
      </c>
      <c r="H220" t="s">
        <v>72</v>
      </c>
      <c r="I220" t="s">
        <v>12326</v>
      </c>
      <c r="J220" t="s">
        <v>12327</v>
      </c>
      <c r="K220" t="s">
        <v>72</v>
      </c>
      <c r="L220" t="s">
        <v>72</v>
      </c>
      <c r="M220" t="s">
        <v>76</v>
      </c>
      <c r="N220" t="s">
        <v>77</v>
      </c>
      <c r="O220" t="s">
        <v>72</v>
      </c>
      <c r="P220" t="s">
        <v>72</v>
      </c>
      <c r="Q220" t="s">
        <v>72</v>
      </c>
      <c r="R220" t="s">
        <v>72</v>
      </c>
      <c r="S220" t="s">
        <v>72</v>
      </c>
      <c r="T220" t="s">
        <v>12328</v>
      </c>
      <c r="U220" t="s">
        <v>72</v>
      </c>
      <c r="V220" t="s">
        <v>12329</v>
      </c>
      <c r="W220" t="s">
        <v>12330</v>
      </c>
      <c r="X220" t="s">
        <v>12331</v>
      </c>
      <c r="Y220" t="s">
        <v>12332</v>
      </c>
      <c r="Z220" t="s">
        <v>12333</v>
      </c>
      <c r="AA220" t="s">
        <v>12334</v>
      </c>
      <c r="AB220" t="s">
        <v>12335</v>
      </c>
      <c r="AC220" t="s">
        <v>72</v>
      </c>
      <c r="AD220" t="s">
        <v>72</v>
      </c>
      <c r="AE220" t="s">
        <v>72</v>
      </c>
      <c r="AF220" t="s">
        <v>72</v>
      </c>
      <c r="AG220">
        <v>51</v>
      </c>
      <c r="AH220">
        <v>2</v>
      </c>
      <c r="AI220">
        <v>2</v>
      </c>
      <c r="AJ220">
        <v>4</v>
      </c>
      <c r="AK220">
        <v>11</v>
      </c>
      <c r="AL220" t="s">
        <v>336</v>
      </c>
      <c r="AM220" t="s">
        <v>337</v>
      </c>
      <c r="AN220" t="s">
        <v>338</v>
      </c>
      <c r="AO220" t="s">
        <v>12336</v>
      </c>
      <c r="AP220" t="s">
        <v>12337</v>
      </c>
      <c r="AQ220" t="s">
        <v>72</v>
      </c>
      <c r="AR220" t="s">
        <v>12338</v>
      </c>
      <c r="AS220" t="s">
        <v>12339</v>
      </c>
      <c r="AT220" t="s">
        <v>12340</v>
      </c>
      <c r="AU220">
        <v>2017</v>
      </c>
      <c r="AV220">
        <v>2</v>
      </c>
      <c r="AW220" t="s">
        <v>414</v>
      </c>
      <c r="AX220" t="s">
        <v>72</v>
      </c>
      <c r="AY220" t="s">
        <v>72</v>
      </c>
      <c r="AZ220" t="s">
        <v>72</v>
      </c>
      <c r="BA220" t="s">
        <v>72</v>
      </c>
      <c r="BB220">
        <v>251</v>
      </c>
      <c r="BC220">
        <v>268</v>
      </c>
      <c r="BD220" t="s">
        <v>72</v>
      </c>
      <c r="BE220" t="s">
        <v>12341</v>
      </c>
      <c r="BF220" t="str">
        <f>HYPERLINK("http://dx.doi.org/10.1177/2059436418754890","http://dx.doi.org/10.1177/2059436418754890")</f>
        <v>http://dx.doi.org/10.1177/2059436418754890</v>
      </c>
      <c r="BG220" t="s">
        <v>72</v>
      </c>
      <c r="BH220" t="s">
        <v>72</v>
      </c>
      <c r="BI220">
        <v>18</v>
      </c>
      <c r="BJ220" t="s">
        <v>174</v>
      </c>
      <c r="BK220" t="s">
        <v>174</v>
      </c>
      <c r="BL220" t="s">
        <v>12342</v>
      </c>
      <c r="BM220" t="s">
        <v>72</v>
      </c>
      <c r="BN220" t="s">
        <v>222</v>
      </c>
      <c r="BO220" t="s">
        <v>72</v>
      </c>
      <c r="BP220" t="s">
        <v>72</v>
      </c>
      <c r="BQ220" t="s">
        <v>100</v>
      </c>
      <c r="BR220" t="s">
        <v>12343</v>
      </c>
      <c r="BS220" t="str">
        <f>HYPERLINK("https%3A%2F%2Fwww.webofscience.com%2Fwos%2Fwoscc%2Ffull-record%2FWOS:000564250700003","View Full Record in Web of Science")</f>
        <v>View Full Record in Web of Science</v>
      </c>
    </row>
    <row r="221" spans="1:71" hidden="1" x14ac:dyDescent="0.2">
      <c r="A221" t="s">
        <v>70</v>
      </c>
      <c r="B221" t="s">
        <v>12357</v>
      </c>
      <c r="C221" t="s">
        <v>72</v>
      </c>
      <c r="D221" t="s">
        <v>72</v>
      </c>
      <c r="E221" t="s">
        <v>72</v>
      </c>
      <c r="F221" t="s">
        <v>12358</v>
      </c>
      <c r="G221" t="s">
        <v>72</v>
      </c>
      <c r="H221" t="s">
        <v>72</v>
      </c>
      <c r="I221" t="s">
        <v>12359</v>
      </c>
      <c r="J221" t="s">
        <v>800</v>
      </c>
      <c r="K221" t="s">
        <v>72</v>
      </c>
      <c r="L221" t="s">
        <v>72</v>
      </c>
      <c r="M221" t="s">
        <v>76</v>
      </c>
      <c r="N221" t="s">
        <v>3914</v>
      </c>
      <c r="O221" t="s">
        <v>72</v>
      </c>
      <c r="P221" t="s">
        <v>72</v>
      </c>
      <c r="Q221" t="s">
        <v>72</v>
      </c>
      <c r="R221" t="s">
        <v>72</v>
      </c>
      <c r="S221" t="s">
        <v>72</v>
      </c>
      <c r="T221" t="s">
        <v>12360</v>
      </c>
      <c r="U221" t="s">
        <v>12361</v>
      </c>
      <c r="V221" t="s">
        <v>12362</v>
      </c>
      <c r="W221" t="s">
        <v>12363</v>
      </c>
      <c r="X221" t="s">
        <v>493</v>
      </c>
      <c r="Y221" t="s">
        <v>12364</v>
      </c>
      <c r="Z221" t="s">
        <v>12365</v>
      </c>
      <c r="AA221" t="s">
        <v>12366</v>
      </c>
      <c r="AB221" t="s">
        <v>12367</v>
      </c>
      <c r="AC221" t="s">
        <v>12368</v>
      </c>
      <c r="AD221" t="s">
        <v>12369</v>
      </c>
      <c r="AE221" t="s">
        <v>12370</v>
      </c>
      <c r="AF221" t="s">
        <v>72</v>
      </c>
      <c r="AG221">
        <v>250</v>
      </c>
      <c r="AH221">
        <v>0</v>
      </c>
      <c r="AI221">
        <v>0</v>
      </c>
      <c r="AJ221">
        <v>13</v>
      </c>
      <c r="AK221">
        <v>38</v>
      </c>
      <c r="AL221" t="s">
        <v>364</v>
      </c>
      <c r="AM221" t="s">
        <v>365</v>
      </c>
      <c r="AN221" t="s">
        <v>366</v>
      </c>
      <c r="AO221" t="s">
        <v>810</v>
      </c>
      <c r="AP221" t="s">
        <v>811</v>
      </c>
      <c r="AQ221" t="s">
        <v>72</v>
      </c>
      <c r="AR221" t="s">
        <v>812</v>
      </c>
      <c r="AS221" t="s">
        <v>813</v>
      </c>
      <c r="AT221" t="s">
        <v>72</v>
      </c>
      <c r="AU221" t="s">
        <v>72</v>
      </c>
      <c r="AV221" t="s">
        <v>72</v>
      </c>
      <c r="AW221" t="s">
        <v>72</v>
      </c>
      <c r="AX221" t="s">
        <v>72</v>
      </c>
      <c r="AY221" t="s">
        <v>72</v>
      </c>
      <c r="AZ221" t="s">
        <v>72</v>
      </c>
      <c r="BA221" t="s">
        <v>72</v>
      </c>
      <c r="BB221" t="s">
        <v>72</v>
      </c>
      <c r="BC221" t="s">
        <v>72</v>
      </c>
      <c r="BD221" t="s">
        <v>72</v>
      </c>
      <c r="BE221" t="s">
        <v>12371</v>
      </c>
      <c r="BF221" t="str">
        <f>HYPERLINK("http://dx.doi.org/10.1080/21670811.2021.1882868","http://dx.doi.org/10.1080/21670811.2021.1882868")</f>
        <v>http://dx.doi.org/10.1080/21670811.2021.1882868</v>
      </c>
      <c r="BG221" t="s">
        <v>72</v>
      </c>
      <c r="BH221" t="s">
        <v>344</v>
      </c>
      <c r="BI221">
        <v>38</v>
      </c>
      <c r="BJ221" t="s">
        <v>174</v>
      </c>
      <c r="BK221" t="s">
        <v>174</v>
      </c>
      <c r="BL221" t="s">
        <v>12372</v>
      </c>
      <c r="BM221" t="s">
        <v>72</v>
      </c>
      <c r="BN221" t="s">
        <v>280</v>
      </c>
      <c r="BO221" t="s">
        <v>72</v>
      </c>
      <c r="BP221" t="s">
        <v>72</v>
      </c>
      <c r="BQ221" t="s">
        <v>100</v>
      </c>
      <c r="BR221" t="s">
        <v>12373</v>
      </c>
      <c r="BS221" t="str">
        <f>HYPERLINK("https%3A%2F%2Fwww.webofscience.com%2Fwos%2Fwoscc%2Ffull-record%2FWOS:000636478900001","View Full Record in Web of Science")</f>
        <v>View Full Record in Web of Science</v>
      </c>
    </row>
    <row r="222" spans="1:71" hidden="1" x14ac:dyDescent="0.2">
      <c r="A222" t="s">
        <v>70</v>
      </c>
      <c r="B222" t="s">
        <v>12404</v>
      </c>
      <c r="C222" t="s">
        <v>72</v>
      </c>
      <c r="D222" t="s">
        <v>72</v>
      </c>
      <c r="E222" t="s">
        <v>72</v>
      </c>
      <c r="F222" t="s">
        <v>12405</v>
      </c>
      <c r="G222" t="s">
        <v>72</v>
      </c>
      <c r="H222" t="s">
        <v>72</v>
      </c>
      <c r="I222" t="s">
        <v>12406</v>
      </c>
      <c r="J222" t="s">
        <v>584</v>
      </c>
      <c r="K222" t="s">
        <v>72</v>
      </c>
      <c r="L222" t="s">
        <v>72</v>
      </c>
      <c r="M222" t="s">
        <v>76</v>
      </c>
      <c r="N222" t="s">
        <v>77</v>
      </c>
      <c r="O222" t="s">
        <v>72</v>
      </c>
      <c r="P222" t="s">
        <v>72</v>
      </c>
      <c r="Q222" t="s">
        <v>72</v>
      </c>
      <c r="R222" t="s">
        <v>72</v>
      </c>
      <c r="S222" t="s">
        <v>72</v>
      </c>
      <c r="T222" t="s">
        <v>12407</v>
      </c>
      <c r="U222" t="s">
        <v>12408</v>
      </c>
      <c r="V222" t="s">
        <v>12409</v>
      </c>
      <c r="W222" t="s">
        <v>12410</v>
      </c>
      <c r="X222" t="s">
        <v>12411</v>
      </c>
      <c r="Y222" t="s">
        <v>12412</v>
      </c>
      <c r="Z222" t="s">
        <v>12413</v>
      </c>
      <c r="AA222" t="s">
        <v>72</v>
      </c>
      <c r="AB222" t="s">
        <v>72</v>
      </c>
      <c r="AC222" t="s">
        <v>72</v>
      </c>
      <c r="AD222" t="s">
        <v>72</v>
      </c>
      <c r="AE222" t="s">
        <v>72</v>
      </c>
      <c r="AF222" t="s">
        <v>72</v>
      </c>
      <c r="AG222">
        <v>51</v>
      </c>
      <c r="AH222">
        <v>5</v>
      </c>
      <c r="AI222">
        <v>5</v>
      </c>
      <c r="AJ222">
        <v>1</v>
      </c>
      <c r="AK222">
        <v>8</v>
      </c>
      <c r="AL222" t="s">
        <v>594</v>
      </c>
      <c r="AM222" t="s">
        <v>595</v>
      </c>
      <c r="AN222" t="s">
        <v>596</v>
      </c>
      <c r="AO222" t="s">
        <v>597</v>
      </c>
      <c r="AP222" t="s">
        <v>72</v>
      </c>
      <c r="AQ222" t="s">
        <v>72</v>
      </c>
      <c r="AR222" t="s">
        <v>598</v>
      </c>
      <c r="AS222" t="s">
        <v>599</v>
      </c>
      <c r="AT222" t="s">
        <v>72</v>
      </c>
      <c r="AU222">
        <v>2021</v>
      </c>
      <c r="AV222">
        <v>15</v>
      </c>
      <c r="AW222" t="s">
        <v>72</v>
      </c>
      <c r="AX222" t="s">
        <v>72</v>
      </c>
      <c r="AY222" t="s">
        <v>72</v>
      </c>
      <c r="AZ222" t="s">
        <v>72</v>
      </c>
      <c r="BA222" t="s">
        <v>72</v>
      </c>
      <c r="BB222">
        <v>688</v>
      </c>
      <c r="BC222">
        <v>714</v>
      </c>
      <c r="BD222" t="s">
        <v>72</v>
      </c>
      <c r="BE222" t="s">
        <v>72</v>
      </c>
      <c r="BF222" t="s">
        <v>72</v>
      </c>
      <c r="BG222" t="s">
        <v>72</v>
      </c>
      <c r="BH222" t="s">
        <v>72</v>
      </c>
      <c r="BI222">
        <v>27</v>
      </c>
      <c r="BJ222" t="s">
        <v>174</v>
      </c>
      <c r="BK222" t="s">
        <v>174</v>
      </c>
      <c r="BL222" t="s">
        <v>12414</v>
      </c>
      <c r="BM222" t="s">
        <v>72</v>
      </c>
      <c r="BN222" t="s">
        <v>72</v>
      </c>
      <c r="BO222" t="s">
        <v>72</v>
      </c>
      <c r="BP222" t="s">
        <v>72</v>
      </c>
      <c r="BQ222" t="s">
        <v>100</v>
      </c>
      <c r="BR222" t="s">
        <v>12415</v>
      </c>
      <c r="BS222" t="str">
        <f>HYPERLINK("https%3A%2F%2Fwww.webofscience.com%2Fwos%2Fwoscc%2Ffull-record%2FWOS:000645928600039","View Full Record in Web of Science")</f>
        <v>View Full Record in Web of Science</v>
      </c>
    </row>
    <row r="223" spans="1:71" hidden="1" x14ac:dyDescent="0.2">
      <c r="A223" t="s">
        <v>70</v>
      </c>
      <c r="B223" t="s">
        <v>12568</v>
      </c>
      <c r="C223" t="s">
        <v>72</v>
      </c>
      <c r="D223" t="s">
        <v>72</v>
      </c>
      <c r="E223" t="s">
        <v>72</v>
      </c>
      <c r="F223" t="s">
        <v>12569</v>
      </c>
      <c r="G223" t="s">
        <v>72</v>
      </c>
      <c r="H223" t="s">
        <v>72</v>
      </c>
      <c r="I223" t="s">
        <v>12570</v>
      </c>
      <c r="J223" t="s">
        <v>4375</v>
      </c>
      <c r="K223" t="s">
        <v>72</v>
      </c>
      <c r="L223" t="s">
        <v>72</v>
      </c>
      <c r="M223" t="s">
        <v>76</v>
      </c>
      <c r="N223" t="s">
        <v>77</v>
      </c>
      <c r="O223" t="s">
        <v>72</v>
      </c>
      <c r="P223" t="s">
        <v>72</v>
      </c>
      <c r="Q223" t="s">
        <v>72</v>
      </c>
      <c r="R223" t="s">
        <v>72</v>
      </c>
      <c r="S223" t="s">
        <v>72</v>
      </c>
      <c r="T223" t="s">
        <v>12571</v>
      </c>
      <c r="U223" t="s">
        <v>12572</v>
      </c>
      <c r="V223" t="s">
        <v>12573</v>
      </c>
      <c r="W223" t="s">
        <v>12574</v>
      </c>
      <c r="X223" t="s">
        <v>3621</v>
      </c>
      <c r="Y223" t="s">
        <v>12575</v>
      </c>
      <c r="Z223" t="s">
        <v>12576</v>
      </c>
      <c r="AA223" t="s">
        <v>72</v>
      </c>
      <c r="AB223" t="s">
        <v>12577</v>
      </c>
      <c r="AC223" t="s">
        <v>72</v>
      </c>
      <c r="AD223" t="s">
        <v>72</v>
      </c>
      <c r="AE223" t="s">
        <v>72</v>
      </c>
      <c r="AF223" t="s">
        <v>72</v>
      </c>
      <c r="AG223">
        <v>88</v>
      </c>
      <c r="AH223">
        <v>12</v>
      </c>
      <c r="AI223">
        <v>12</v>
      </c>
      <c r="AJ223">
        <v>0</v>
      </c>
      <c r="AK223">
        <v>12</v>
      </c>
      <c r="AL223" t="s">
        <v>190</v>
      </c>
      <c r="AM223" t="s">
        <v>191</v>
      </c>
      <c r="AN223" t="s">
        <v>192</v>
      </c>
      <c r="AO223" t="s">
        <v>4387</v>
      </c>
      <c r="AP223" t="s">
        <v>4388</v>
      </c>
      <c r="AQ223" t="s">
        <v>72</v>
      </c>
      <c r="AR223" t="s">
        <v>4389</v>
      </c>
      <c r="AS223" t="s">
        <v>4390</v>
      </c>
      <c r="AT223" t="s">
        <v>149</v>
      </c>
      <c r="AU223">
        <v>2019</v>
      </c>
      <c r="AV223">
        <v>36</v>
      </c>
      <c r="AW223">
        <v>2</v>
      </c>
      <c r="AX223" t="s">
        <v>72</v>
      </c>
      <c r="AY223" t="s">
        <v>72</v>
      </c>
      <c r="AZ223" t="s">
        <v>72</v>
      </c>
      <c r="BA223" t="s">
        <v>72</v>
      </c>
      <c r="BB223">
        <v>231</v>
      </c>
      <c r="BC223">
        <v>266</v>
      </c>
      <c r="BD223" t="s">
        <v>72</v>
      </c>
      <c r="BE223" t="s">
        <v>12578</v>
      </c>
      <c r="BF223" t="str">
        <f>HYPERLINK("http://dx.doi.org/10.1177/0741088318819473","http://dx.doi.org/10.1177/0741088318819473")</f>
        <v>http://dx.doi.org/10.1177/0741088318819473</v>
      </c>
      <c r="BG223" t="s">
        <v>72</v>
      </c>
      <c r="BH223" t="s">
        <v>72</v>
      </c>
      <c r="BI223">
        <v>36</v>
      </c>
      <c r="BJ223" t="s">
        <v>174</v>
      </c>
      <c r="BK223" t="s">
        <v>174</v>
      </c>
      <c r="BL223" t="s">
        <v>12579</v>
      </c>
      <c r="BM223" t="s">
        <v>72</v>
      </c>
      <c r="BN223" t="s">
        <v>251</v>
      </c>
      <c r="BO223" t="s">
        <v>72</v>
      </c>
      <c r="BP223" t="s">
        <v>72</v>
      </c>
      <c r="BQ223" t="s">
        <v>100</v>
      </c>
      <c r="BR223" t="s">
        <v>12580</v>
      </c>
      <c r="BS223" t="str">
        <f>HYPERLINK("https%3A%2F%2Fwww.webofscience.com%2Fwos%2Fwoscc%2Ffull-record%2FWOS:000461791600002","View Full Record in Web of Science")</f>
        <v>View Full Record in Web of Science</v>
      </c>
    </row>
    <row r="224" spans="1:71" hidden="1" x14ac:dyDescent="0.2">
      <c r="A224" t="s">
        <v>70</v>
      </c>
      <c r="B224" t="s">
        <v>12619</v>
      </c>
      <c r="C224" t="s">
        <v>72</v>
      </c>
      <c r="D224" t="s">
        <v>72</v>
      </c>
      <c r="E224" t="s">
        <v>72</v>
      </c>
      <c r="F224" t="s">
        <v>12620</v>
      </c>
      <c r="G224" t="s">
        <v>72</v>
      </c>
      <c r="H224" t="s">
        <v>72</v>
      </c>
      <c r="I224" t="s">
        <v>12621</v>
      </c>
      <c r="J224" t="s">
        <v>12622</v>
      </c>
      <c r="K224" t="s">
        <v>72</v>
      </c>
      <c r="L224" t="s">
        <v>72</v>
      </c>
      <c r="M224" t="s">
        <v>311</v>
      </c>
      <c r="N224" t="s">
        <v>77</v>
      </c>
      <c r="O224" t="s">
        <v>72</v>
      </c>
      <c r="P224" t="s">
        <v>72</v>
      </c>
      <c r="Q224" t="s">
        <v>72</v>
      </c>
      <c r="R224" t="s">
        <v>72</v>
      </c>
      <c r="S224" t="s">
        <v>72</v>
      </c>
      <c r="T224" t="s">
        <v>12623</v>
      </c>
      <c r="U224" t="s">
        <v>12624</v>
      </c>
      <c r="V224" t="s">
        <v>12625</v>
      </c>
      <c r="W224" t="s">
        <v>72</v>
      </c>
      <c r="X224" t="s">
        <v>72</v>
      </c>
      <c r="Y224" t="s">
        <v>72</v>
      </c>
      <c r="Z224" t="s">
        <v>72</v>
      </c>
      <c r="AA224" t="s">
        <v>72</v>
      </c>
      <c r="AB224" t="s">
        <v>72</v>
      </c>
      <c r="AC224" t="s">
        <v>72</v>
      </c>
      <c r="AD224" t="s">
        <v>72</v>
      </c>
      <c r="AE224" t="s">
        <v>72</v>
      </c>
      <c r="AF224" t="s">
        <v>72</v>
      </c>
      <c r="AG224">
        <v>45</v>
      </c>
      <c r="AH224">
        <v>0</v>
      </c>
      <c r="AI224">
        <v>0</v>
      </c>
      <c r="AJ224">
        <v>1</v>
      </c>
      <c r="AK224">
        <v>1</v>
      </c>
      <c r="AL224" t="s">
        <v>12626</v>
      </c>
      <c r="AM224" t="s">
        <v>12627</v>
      </c>
      <c r="AN224" t="s">
        <v>12628</v>
      </c>
      <c r="AO224" t="s">
        <v>12629</v>
      </c>
      <c r="AP224" t="s">
        <v>72</v>
      </c>
      <c r="AQ224" t="s">
        <v>72</v>
      </c>
      <c r="AR224" t="s">
        <v>12630</v>
      </c>
      <c r="AS224" t="s">
        <v>12631</v>
      </c>
      <c r="AT224" t="s">
        <v>72</v>
      </c>
      <c r="AU224">
        <v>2021</v>
      </c>
      <c r="AV224">
        <v>19</v>
      </c>
      <c r="AW224" t="s">
        <v>72</v>
      </c>
      <c r="AX224" t="s">
        <v>72</v>
      </c>
      <c r="AY224" t="s">
        <v>72</v>
      </c>
      <c r="AZ224" t="s">
        <v>72</v>
      </c>
      <c r="BA224" t="s">
        <v>72</v>
      </c>
      <c r="BB224">
        <v>207</v>
      </c>
      <c r="BC224">
        <v>231</v>
      </c>
      <c r="BD224" t="s">
        <v>72</v>
      </c>
      <c r="BE224" t="s">
        <v>12632</v>
      </c>
      <c r="BF224" t="str">
        <f>HYPERLINK("http://dx.doi.org/10.1285/i22840753n19p207","http://dx.doi.org/10.1285/i22840753n19p207")</f>
        <v>http://dx.doi.org/10.1285/i22840753n19p207</v>
      </c>
      <c r="BG224" t="s">
        <v>72</v>
      </c>
      <c r="BH224" t="s">
        <v>72</v>
      </c>
      <c r="BI224">
        <v>25</v>
      </c>
      <c r="BJ224" t="s">
        <v>174</v>
      </c>
      <c r="BK224" t="s">
        <v>174</v>
      </c>
      <c r="BL224" t="s">
        <v>12633</v>
      </c>
      <c r="BM224" t="s">
        <v>72</v>
      </c>
      <c r="BN224" t="s">
        <v>72</v>
      </c>
      <c r="BO224" t="s">
        <v>72</v>
      </c>
      <c r="BP224" t="s">
        <v>72</v>
      </c>
      <c r="BQ224" t="s">
        <v>100</v>
      </c>
      <c r="BR224" t="s">
        <v>12634</v>
      </c>
      <c r="BS224" t="str">
        <f>HYPERLINK("https%3A%2F%2Fwww.webofscience.com%2Fwos%2Fwoscc%2Ffull-record%2FWOS:000670081500010","View Full Record in Web of Science")</f>
        <v>View Full Record in Web of Science</v>
      </c>
    </row>
    <row r="225" spans="1:71" hidden="1" x14ac:dyDescent="0.2">
      <c r="A225" t="s">
        <v>70</v>
      </c>
      <c r="B225" t="s">
        <v>12950</v>
      </c>
      <c r="C225" t="s">
        <v>72</v>
      </c>
      <c r="D225" t="s">
        <v>72</v>
      </c>
      <c r="E225" t="s">
        <v>72</v>
      </c>
      <c r="F225" t="s">
        <v>12951</v>
      </c>
      <c r="G225" t="s">
        <v>72</v>
      </c>
      <c r="H225" t="s">
        <v>72</v>
      </c>
      <c r="I225" t="s">
        <v>12952</v>
      </c>
      <c r="J225" t="s">
        <v>12005</v>
      </c>
      <c r="K225" t="s">
        <v>72</v>
      </c>
      <c r="L225" t="s">
        <v>72</v>
      </c>
      <c r="M225" t="s">
        <v>76</v>
      </c>
      <c r="N225" t="s">
        <v>77</v>
      </c>
      <c r="O225" t="s">
        <v>72</v>
      </c>
      <c r="P225" t="s">
        <v>72</v>
      </c>
      <c r="Q225" t="s">
        <v>72</v>
      </c>
      <c r="R225" t="s">
        <v>72</v>
      </c>
      <c r="S225" t="s">
        <v>72</v>
      </c>
      <c r="T225" t="s">
        <v>12953</v>
      </c>
      <c r="U225" t="s">
        <v>12954</v>
      </c>
      <c r="V225" t="s">
        <v>12955</v>
      </c>
      <c r="W225" t="s">
        <v>12956</v>
      </c>
      <c r="X225" t="s">
        <v>805</v>
      </c>
      <c r="Y225" t="s">
        <v>12957</v>
      </c>
      <c r="Z225" t="s">
        <v>12958</v>
      </c>
      <c r="AA225" t="s">
        <v>12959</v>
      </c>
      <c r="AB225" t="s">
        <v>12960</v>
      </c>
      <c r="AC225" t="s">
        <v>12961</v>
      </c>
      <c r="AD225" t="s">
        <v>12962</v>
      </c>
      <c r="AE225" t="s">
        <v>12963</v>
      </c>
      <c r="AF225" t="s">
        <v>72</v>
      </c>
      <c r="AG225">
        <v>54</v>
      </c>
      <c r="AH225">
        <v>23</v>
      </c>
      <c r="AI225">
        <v>24</v>
      </c>
      <c r="AJ225">
        <v>2</v>
      </c>
      <c r="AK225">
        <v>10</v>
      </c>
      <c r="AL225" t="s">
        <v>9972</v>
      </c>
      <c r="AM225" t="s">
        <v>9973</v>
      </c>
      <c r="AN225" t="s">
        <v>9974</v>
      </c>
      <c r="AO225" t="s">
        <v>12017</v>
      </c>
      <c r="AP225" t="s">
        <v>72</v>
      </c>
      <c r="AQ225" t="s">
        <v>72</v>
      </c>
      <c r="AR225" t="s">
        <v>12018</v>
      </c>
      <c r="AS225" t="s">
        <v>12019</v>
      </c>
      <c r="AT225" t="s">
        <v>72</v>
      </c>
      <c r="AU225">
        <v>2018</v>
      </c>
      <c r="AV225">
        <v>6</v>
      </c>
      <c r="AW225">
        <v>4</v>
      </c>
      <c r="AX225" t="s">
        <v>72</v>
      </c>
      <c r="AY225" t="s">
        <v>72</v>
      </c>
      <c r="AZ225" t="s">
        <v>72</v>
      </c>
      <c r="BA225" t="s">
        <v>72</v>
      </c>
      <c r="BB225">
        <v>58</v>
      </c>
      <c r="BC225">
        <v>69</v>
      </c>
      <c r="BD225" t="s">
        <v>72</v>
      </c>
      <c r="BE225" t="s">
        <v>12964</v>
      </c>
      <c r="BF225" t="str">
        <f>HYPERLINK("http://dx.doi.org/10.17645/mac.v6i4.1493","http://dx.doi.org/10.17645/mac.v6i4.1493")</f>
        <v>http://dx.doi.org/10.17645/mac.v6i4.1493</v>
      </c>
      <c r="BG225" t="s">
        <v>72</v>
      </c>
      <c r="BH225" t="s">
        <v>72</v>
      </c>
      <c r="BI225">
        <v>12</v>
      </c>
      <c r="BJ225" t="s">
        <v>174</v>
      </c>
      <c r="BK225" t="s">
        <v>174</v>
      </c>
      <c r="BL225" t="s">
        <v>12965</v>
      </c>
      <c r="BM225" t="s">
        <v>72</v>
      </c>
      <c r="BN225" t="s">
        <v>12524</v>
      </c>
      <c r="BO225" t="s">
        <v>72</v>
      </c>
      <c r="BP225" t="s">
        <v>72</v>
      </c>
      <c r="BQ225" t="s">
        <v>100</v>
      </c>
      <c r="BR225" t="s">
        <v>12966</v>
      </c>
      <c r="BS225" t="str">
        <f>HYPERLINK("https%3A%2F%2Fwww.webofscience.com%2Fwos%2Fwoscc%2Ffull-record%2FWOS:000449674200006","View Full Record in Web of Science")</f>
        <v>View Full Record in Web of Science</v>
      </c>
    </row>
    <row r="226" spans="1:71" hidden="1" x14ac:dyDescent="0.2">
      <c r="A226" t="s">
        <v>70</v>
      </c>
      <c r="B226" t="s">
        <v>12981</v>
      </c>
      <c r="C226" t="s">
        <v>72</v>
      </c>
      <c r="D226" t="s">
        <v>72</v>
      </c>
      <c r="E226" t="s">
        <v>72</v>
      </c>
      <c r="F226" t="s">
        <v>12982</v>
      </c>
      <c r="G226" t="s">
        <v>72</v>
      </c>
      <c r="H226" t="s">
        <v>72</v>
      </c>
      <c r="I226" t="s">
        <v>12983</v>
      </c>
      <c r="J226" t="s">
        <v>800</v>
      </c>
      <c r="K226" t="s">
        <v>72</v>
      </c>
      <c r="L226" t="s">
        <v>72</v>
      </c>
      <c r="M226" t="s">
        <v>76</v>
      </c>
      <c r="N226" t="s">
        <v>352</v>
      </c>
      <c r="O226" t="s">
        <v>72</v>
      </c>
      <c r="P226" t="s">
        <v>72</v>
      </c>
      <c r="Q226" t="s">
        <v>72</v>
      </c>
      <c r="R226" t="s">
        <v>72</v>
      </c>
      <c r="S226" t="s">
        <v>72</v>
      </c>
      <c r="T226" t="s">
        <v>12984</v>
      </c>
      <c r="U226" t="s">
        <v>12985</v>
      </c>
      <c r="V226" t="s">
        <v>12986</v>
      </c>
      <c r="W226" t="s">
        <v>12987</v>
      </c>
      <c r="X226" t="s">
        <v>12988</v>
      </c>
      <c r="Y226" t="s">
        <v>12989</v>
      </c>
      <c r="Z226" t="s">
        <v>12990</v>
      </c>
      <c r="AA226" t="s">
        <v>72</v>
      </c>
      <c r="AB226" t="s">
        <v>72</v>
      </c>
      <c r="AC226" t="s">
        <v>12991</v>
      </c>
      <c r="AD226" t="s">
        <v>12992</v>
      </c>
      <c r="AE226" t="s">
        <v>12993</v>
      </c>
      <c r="AF226" t="s">
        <v>72</v>
      </c>
      <c r="AG226">
        <v>54</v>
      </c>
      <c r="AH226">
        <v>0</v>
      </c>
      <c r="AI226">
        <v>0</v>
      </c>
      <c r="AJ226">
        <v>2</v>
      </c>
      <c r="AK226">
        <v>2</v>
      </c>
      <c r="AL226" t="s">
        <v>364</v>
      </c>
      <c r="AM226" t="s">
        <v>365</v>
      </c>
      <c r="AN226" t="s">
        <v>366</v>
      </c>
      <c r="AO226" t="s">
        <v>810</v>
      </c>
      <c r="AP226" t="s">
        <v>811</v>
      </c>
      <c r="AQ226" t="s">
        <v>72</v>
      </c>
      <c r="AR226" t="s">
        <v>812</v>
      </c>
      <c r="AS226" t="s">
        <v>813</v>
      </c>
      <c r="AT226" t="s">
        <v>72</v>
      </c>
      <c r="AU226" t="s">
        <v>72</v>
      </c>
      <c r="AV226" t="s">
        <v>72</v>
      </c>
      <c r="AW226" t="s">
        <v>72</v>
      </c>
      <c r="AX226" t="s">
        <v>72</v>
      </c>
      <c r="AY226" t="s">
        <v>72</v>
      </c>
      <c r="AZ226" t="s">
        <v>72</v>
      </c>
      <c r="BA226" t="s">
        <v>72</v>
      </c>
      <c r="BB226" t="s">
        <v>72</v>
      </c>
      <c r="BC226" t="s">
        <v>72</v>
      </c>
      <c r="BD226" t="s">
        <v>72</v>
      </c>
      <c r="BE226" t="s">
        <v>12994</v>
      </c>
      <c r="BF226" t="str">
        <f>HYPERLINK("http://dx.doi.org/10.1080/21670811.2022.2114920","http://dx.doi.org/10.1080/21670811.2022.2114920")</f>
        <v>http://dx.doi.org/10.1080/21670811.2022.2114920</v>
      </c>
      <c r="BG226" t="s">
        <v>72</v>
      </c>
      <c r="BH226" t="s">
        <v>1072</v>
      </c>
      <c r="BI226">
        <v>23</v>
      </c>
      <c r="BJ226" t="s">
        <v>174</v>
      </c>
      <c r="BK226" t="s">
        <v>174</v>
      </c>
      <c r="BL226" t="s">
        <v>12995</v>
      </c>
      <c r="BM226" t="s">
        <v>72</v>
      </c>
      <c r="BN226" t="s">
        <v>4811</v>
      </c>
      <c r="BO226" t="s">
        <v>72</v>
      </c>
      <c r="BP226" t="s">
        <v>72</v>
      </c>
      <c r="BQ226" t="s">
        <v>100</v>
      </c>
      <c r="BR226" t="s">
        <v>12996</v>
      </c>
      <c r="BS226" t="str">
        <f>HYPERLINK("https%3A%2F%2Fwww.webofscience.com%2Fwos%2Fwoscc%2Ffull-record%2FWOS:000857781200001","View Full Record in Web of Science")</f>
        <v>View Full Record in Web of Science</v>
      </c>
    </row>
    <row r="227" spans="1:71" hidden="1" x14ac:dyDescent="0.2">
      <c r="A227" t="s">
        <v>70</v>
      </c>
      <c r="B227" t="s">
        <v>13039</v>
      </c>
      <c r="C227" t="s">
        <v>72</v>
      </c>
      <c r="D227" t="s">
        <v>72</v>
      </c>
      <c r="E227" t="s">
        <v>72</v>
      </c>
      <c r="F227" t="s">
        <v>13040</v>
      </c>
      <c r="G227" t="s">
        <v>72</v>
      </c>
      <c r="H227" t="s">
        <v>72</v>
      </c>
      <c r="I227" t="s">
        <v>13041</v>
      </c>
      <c r="J227" t="s">
        <v>13042</v>
      </c>
      <c r="K227" t="s">
        <v>72</v>
      </c>
      <c r="L227" t="s">
        <v>72</v>
      </c>
      <c r="M227" t="s">
        <v>76</v>
      </c>
      <c r="N227" t="s">
        <v>77</v>
      </c>
      <c r="O227" t="s">
        <v>72</v>
      </c>
      <c r="P227" t="s">
        <v>72</v>
      </c>
      <c r="Q227" t="s">
        <v>72</v>
      </c>
      <c r="R227" t="s">
        <v>72</v>
      </c>
      <c r="S227" t="s">
        <v>72</v>
      </c>
      <c r="T227" t="s">
        <v>13043</v>
      </c>
      <c r="U227" t="s">
        <v>13044</v>
      </c>
      <c r="V227" t="s">
        <v>13045</v>
      </c>
      <c r="W227" t="s">
        <v>13046</v>
      </c>
      <c r="X227" t="s">
        <v>13047</v>
      </c>
      <c r="Y227" t="s">
        <v>13048</v>
      </c>
      <c r="Z227" t="s">
        <v>13049</v>
      </c>
      <c r="AA227" t="s">
        <v>13050</v>
      </c>
      <c r="AB227" t="s">
        <v>13051</v>
      </c>
      <c r="AC227" t="s">
        <v>72</v>
      </c>
      <c r="AD227" t="s">
        <v>72</v>
      </c>
      <c r="AE227" t="s">
        <v>72</v>
      </c>
      <c r="AF227" t="s">
        <v>72</v>
      </c>
      <c r="AG227">
        <v>59</v>
      </c>
      <c r="AH227">
        <v>3</v>
      </c>
      <c r="AI227">
        <v>3</v>
      </c>
      <c r="AJ227">
        <v>1</v>
      </c>
      <c r="AK227">
        <v>6</v>
      </c>
      <c r="AL227" t="s">
        <v>364</v>
      </c>
      <c r="AM227" t="s">
        <v>365</v>
      </c>
      <c r="AN227" t="s">
        <v>366</v>
      </c>
      <c r="AO227" t="s">
        <v>13052</v>
      </c>
      <c r="AP227" t="s">
        <v>13053</v>
      </c>
      <c r="AQ227" t="s">
        <v>72</v>
      </c>
      <c r="AR227" t="s">
        <v>13054</v>
      </c>
      <c r="AS227" t="s">
        <v>13055</v>
      </c>
      <c r="AT227" t="s">
        <v>13056</v>
      </c>
      <c r="AU227">
        <v>2020</v>
      </c>
      <c r="AV227">
        <v>41</v>
      </c>
      <c r="AW227">
        <v>4</v>
      </c>
      <c r="AX227" t="s">
        <v>72</v>
      </c>
      <c r="AY227" t="s">
        <v>72</v>
      </c>
      <c r="AZ227" t="s">
        <v>478</v>
      </c>
      <c r="BA227" t="s">
        <v>72</v>
      </c>
      <c r="BB227">
        <v>68</v>
      </c>
      <c r="BC227">
        <v>82</v>
      </c>
      <c r="BD227" t="s">
        <v>72</v>
      </c>
      <c r="BE227" t="s">
        <v>13057</v>
      </c>
      <c r="BF227" t="str">
        <f>HYPERLINK("http://dx.doi.org/10.1080/23743670.2020.1820885","http://dx.doi.org/10.1080/23743670.2020.1820885")</f>
        <v>http://dx.doi.org/10.1080/23743670.2020.1820885</v>
      </c>
      <c r="BG227" t="s">
        <v>72</v>
      </c>
      <c r="BH227" t="s">
        <v>5788</v>
      </c>
      <c r="BI227">
        <v>15</v>
      </c>
      <c r="BJ227" t="s">
        <v>174</v>
      </c>
      <c r="BK227" t="s">
        <v>174</v>
      </c>
      <c r="BL227" t="s">
        <v>13058</v>
      </c>
      <c r="BM227" t="s">
        <v>72</v>
      </c>
      <c r="BN227" t="s">
        <v>72</v>
      </c>
      <c r="BO227" t="s">
        <v>72</v>
      </c>
      <c r="BP227" t="s">
        <v>72</v>
      </c>
      <c r="BQ227" t="s">
        <v>100</v>
      </c>
      <c r="BR227" t="s">
        <v>13059</v>
      </c>
      <c r="BS227" t="str">
        <f>HYPERLINK("https%3A%2F%2Fwww.webofscience.com%2Fwos%2Fwoscc%2Ffull-record%2FWOS:000577371300001","View Full Record in Web of Science")</f>
        <v>View Full Record in Web of Science</v>
      </c>
    </row>
    <row r="228" spans="1:71" hidden="1" x14ac:dyDescent="0.2">
      <c r="A228" t="s">
        <v>70</v>
      </c>
      <c r="B228" t="s">
        <v>13060</v>
      </c>
      <c r="C228" t="s">
        <v>72</v>
      </c>
      <c r="D228" t="s">
        <v>72</v>
      </c>
      <c r="E228" t="s">
        <v>72</v>
      </c>
      <c r="F228" t="s">
        <v>13061</v>
      </c>
      <c r="G228" t="s">
        <v>72</v>
      </c>
      <c r="H228" t="s">
        <v>72</v>
      </c>
      <c r="I228" t="s">
        <v>13062</v>
      </c>
      <c r="J228" t="s">
        <v>13063</v>
      </c>
      <c r="K228" t="s">
        <v>72</v>
      </c>
      <c r="L228" t="s">
        <v>72</v>
      </c>
      <c r="M228" t="s">
        <v>76</v>
      </c>
      <c r="N228" t="s">
        <v>77</v>
      </c>
      <c r="O228" t="s">
        <v>72</v>
      </c>
      <c r="P228" t="s">
        <v>72</v>
      </c>
      <c r="Q228" t="s">
        <v>72</v>
      </c>
      <c r="R228" t="s">
        <v>72</v>
      </c>
      <c r="S228" t="s">
        <v>72</v>
      </c>
      <c r="T228" t="s">
        <v>13064</v>
      </c>
      <c r="U228" t="s">
        <v>13065</v>
      </c>
      <c r="V228" t="s">
        <v>13066</v>
      </c>
      <c r="W228" t="s">
        <v>13067</v>
      </c>
      <c r="X228" t="s">
        <v>13068</v>
      </c>
      <c r="Y228" t="s">
        <v>13069</v>
      </c>
      <c r="Z228" t="s">
        <v>9349</v>
      </c>
      <c r="AA228" t="s">
        <v>72</v>
      </c>
      <c r="AB228" t="s">
        <v>13070</v>
      </c>
      <c r="AC228" t="s">
        <v>13071</v>
      </c>
      <c r="AD228" t="s">
        <v>13072</v>
      </c>
      <c r="AE228" t="s">
        <v>13073</v>
      </c>
      <c r="AF228" t="s">
        <v>72</v>
      </c>
      <c r="AG228">
        <v>117</v>
      </c>
      <c r="AH228">
        <v>1</v>
      </c>
      <c r="AI228">
        <v>1</v>
      </c>
      <c r="AJ228">
        <v>3</v>
      </c>
      <c r="AK228">
        <v>3</v>
      </c>
      <c r="AL228" t="s">
        <v>190</v>
      </c>
      <c r="AM228" t="s">
        <v>191</v>
      </c>
      <c r="AN228" t="s">
        <v>192</v>
      </c>
      <c r="AO228" t="s">
        <v>13074</v>
      </c>
      <c r="AP228" t="s">
        <v>13075</v>
      </c>
      <c r="AQ228" t="s">
        <v>72</v>
      </c>
      <c r="AR228" t="s">
        <v>13076</v>
      </c>
      <c r="AS228" t="s">
        <v>13077</v>
      </c>
      <c r="AT228" t="s">
        <v>639</v>
      </c>
      <c r="AU228">
        <v>2022</v>
      </c>
      <c r="AV228">
        <v>28</v>
      </c>
      <c r="AW228">
        <v>4</v>
      </c>
      <c r="AX228" t="s">
        <v>72</v>
      </c>
      <c r="AY228" t="s">
        <v>72</v>
      </c>
      <c r="AZ228" t="s">
        <v>72</v>
      </c>
      <c r="BA228" t="s">
        <v>72</v>
      </c>
      <c r="BB228">
        <v>1144</v>
      </c>
      <c r="BC228">
        <v>1171</v>
      </c>
      <c r="BD228">
        <v>1.354856522110944E+16</v>
      </c>
      <c r="BE228" t="s">
        <v>13078</v>
      </c>
      <c r="BF228" t="str">
        <f>HYPERLINK("http://dx.doi.org/10.1177/13548565221109440","http://dx.doi.org/10.1177/13548565221109440")</f>
        <v>http://dx.doi.org/10.1177/13548565221109440</v>
      </c>
      <c r="BG228" t="s">
        <v>72</v>
      </c>
      <c r="BH228" t="s">
        <v>988</v>
      </c>
      <c r="BI228">
        <v>28</v>
      </c>
      <c r="BJ228" t="s">
        <v>174</v>
      </c>
      <c r="BK228" t="s">
        <v>174</v>
      </c>
      <c r="BL228" t="s">
        <v>13079</v>
      </c>
      <c r="BM228">
        <v>36186680</v>
      </c>
      <c r="BN228" t="s">
        <v>13080</v>
      </c>
      <c r="BO228" t="s">
        <v>72</v>
      </c>
      <c r="BP228" t="s">
        <v>72</v>
      </c>
      <c r="BQ228" t="s">
        <v>100</v>
      </c>
      <c r="BR228" t="s">
        <v>13081</v>
      </c>
      <c r="BS228" t="str">
        <f>HYPERLINK("https%3A%2F%2Fwww.webofscience.com%2Fwos%2Fwoscc%2Ffull-record%2FWOS:000815128400001","View Full Record in Web of Science")</f>
        <v>View Full Record in Web of Science</v>
      </c>
    </row>
    <row r="229" spans="1:71" hidden="1" x14ac:dyDescent="0.2">
      <c r="A229" t="s">
        <v>70</v>
      </c>
      <c r="B229" t="s">
        <v>13242</v>
      </c>
      <c r="C229" t="s">
        <v>72</v>
      </c>
      <c r="D229" t="s">
        <v>72</v>
      </c>
      <c r="E229" t="s">
        <v>72</v>
      </c>
      <c r="F229" t="s">
        <v>13243</v>
      </c>
      <c r="G229" t="s">
        <v>72</v>
      </c>
      <c r="H229" t="s">
        <v>72</v>
      </c>
      <c r="I229" t="s">
        <v>13244</v>
      </c>
      <c r="J229" t="s">
        <v>13245</v>
      </c>
      <c r="K229" t="s">
        <v>72</v>
      </c>
      <c r="L229" t="s">
        <v>72</v>
      </c>
      <c r="M229" t="s">
        <v>76</v>
      </c>
      <c r="N229" t="s">
        <v>77</v>
      </c>
      <c r="O229" t="s">
        <v>72</v>
      </c>
      <c r="P229" t="s">
        <v>72</v>
      </c>
      <c r="Q229" t="s">
        <v>72</v>
      </c>
      <c r="R229" t="s">
        <v>72</v>
      </c>
      <c r="S229" t="s">
        <v>72</v>
      </c>
      <c r="T229" t="s">
        <v>13246</v>
      </c>
      <c r="U229" t="s">
        <v>13247</v>
      </c>
      <c r="V229" t="s">
        <v>13248</v>
      </c>
      <c r="W229" t="s">
        <v>13249</v>
      </c>
      <c r="X229" t="s">
        <v>13250</v>
      </c>
      <c r="Y229" t="s">
        <v>13251</v>
      </c>
      <c r="Z229" t="s">
        <v>13252</v>
      </c>
      <c r="AA229" t="s">
        <v>13253</v>
      </c>
      <c r="AB229" t="s">
        <v>13254</v>
      </c>
      <c r="AC229" t="s">
        <v>72</v>
      </c>
      <c r="AD229" t="s">
        <v>72</v>
      </c>
      <c r="AE229" t="s">
        <v>72</v>
      </c>
      <c r="AF229" t="s">
        <v>72</v>
      </c>
      <c r="AG229">
        <v>72</v>
      </c>
      <c r="AH229">
        <v>5</v>
      </c>
      <c r="AI229">
        <v>5</v>
      </c>
      <c r="AJ229">
        <v>4</v>
      </c>
      <c r="AK229">
        <v>20</v>
      </c>
      <c r="AL229" t="s">
        <v>1165</v>
      </c>
      <c r="AM229" t="s">
        <v>1166</v>
      </c>
      <c r="AN229" t="s">
        <v>1167</v>
      </c>
      <c r="AO229" t="s">
        <v>13255</v>
      </c>
      <c r="AP229" t="s">
        <v>13256</v>
      </c>
      <c r="AQ229" t="s">
        <v>72</v>
      </c>
      <c r="AR229" t="s">
        <v>13257</v>
      </c>
      <c r="AS229" t="s">
        <v>13258</v>
      </c>
      <c r="AT229" t="s">
        <v>5432</v>
      </c>
      <c r="AU229">
        <v>2020</v>
      </c>
      <c r="AV229">
        <v>24</v>
      </c>
      <c r="AW229">
        <v>3</v>
      </c>
      <c r="AX229" t="s">
        <v>72</v>
      </c>
      <c r="AY229" t="s">
        <v>72</v>
      </c>
      <c r="AZ229" t="s">
        <v>478</v>
      </c>
      <c r="BA229" t="s">
        <v>72</v>
      </c>
      <c r="BB229">
        <v>265</v>
      </c>
      <c r="BC229">
        <v>283</v>
      </c>
      <c r="BD229" t="s">
        <v>72</v>
      </c>
      <c r="BE229" t="s">
        <v>13259</v>
      </c>
      <c r="BF229" t="str">
        <f>HYPERLINK("http://dx.doi.org/10.1108/JCOM-06-2019-0090","http://dx.doi.org/10.1108/JCOM-06-2019-0090")</f>
        <v>http://dx.doi.org/10.1108/JCOM-06-2019-0090</v>
      </c>
      <c r="BG229" t="s">
        <v>72</v>
      </c>
      <c r="BH229" t="s">
        <v>2237</v>
      </c>
      <c r="BI229">
        <v>19</v>
      </c>
      <c r="BJ229" t="s">
        <v>174</v>
      </c>
      <c r="BK229" t="s">
        <v>174</v>
      </c>
      <c r="BL229" t="s">
        <v>13260</v>
      </c>
      <c r="BM229" t="s">
        <v>72</v>
      </c>
      <c r="BN229" t="s">
        <v>72</v>
      </c>
      <c r="BO229" t="s">
        <v>72</v>
      </c>
      <c r="BP229" t="s">
        <v>72</v>
      </c>
      <c r="BQ229" t="s">
        <v>100</v>
      </c>
      <c r="BR229" t="s">
        <v>13261</v>
      </c>
      <c r="BS229" t="str">
        <f>HYPERLINK("https%3A%2F%2Fwww.webofscience.com%2Fwos%2Fwoscc%2Ffull-record%2FWOS:000532711800001","View Full Record in Web of Science")</f>
        <v>View Full Record in Web of Science</v>
      </c>
    </row>
    <row r="230" spans="1:71" hidden="1" x14ac:dyDescent="0.2">
      <c r="A230" t="s">
        <v>70</v>
      </c>
      <c r="B230" t="s">
        <v>13349</v>
      </c>
      <c r="C230" t="s">
        <v>72</v>
      </c>
      <c r="D230" t="s">
        <v>72</v>
      </c>
      <c r="E230" t="s">
        <v>72</v>
      </c>
      <c r="F230" t="s">
        <v>13350</v>
      </c>
      <c r="G230" t="s">
        <v>72</v>
      </c>
      <c r="H230" t="s">
        <v>72</v>
      </c>
      <c r="I230" t="s">
        <v>13351</v>
      </c>
      <c r="J230" t="s">
        <v>800</v>
      </c>
      <c r="K230" t="s">
        <v>72</v>
      </c>
      <c r="L230" t="s">
        <v>72</v>
      </c>
      <c r="M230" t="s">
        <v>76</v>
      </c>
      <c r="N230" t="s">
        <v>77</v>
      </c>
      <c r="O230" t="s">
        <v>72</v>
      </c>
      <c r="P230" t="s">
        <v>72</v>
      </c>
      <c r="Q230" t="s">
        <v>72</v>
      </c>
      <c r="R230" t="s">
        <v>72</v>
      </c>
      <c r="S230" t="s">
        <v>72</v>
      </c>
      <c r="T230" t="s">
        <v>13352</v>
      </c>
      <c r="U230" t="s">
        <v>13353</v>
      </c>
      <c r="V230" t="s">
        <v>13354</v>
      </c>
      <c r="W230" t="s">
        <v>13355</v>
      </c>
      <c r="X230" t="s">
        <v>13356</v>
      </c>
      <c r="Y230" t="s">
        <v>2734</v>
      </c>
      <c r="Z230" t="s">
        <v>2735</v>
      </c>
      <c r="AA230" t="s">
        <v>72</v>
      </c>
      <c r="AB230" t="s">
        <v>13357</v>
      </c>
      <c r="AC230" t="s">
        <v>13358</v>
      </c>
      <c r="AD230" t="s">
        <v>13359</v>
      </c>
      <c r="AE230" t="s">
        <v>13360</v>
      </c>
      <c r="AF230" t="s">
        <v>72</v>
      </c>
      <c r="AG230">
        <v>79</v>
      </c>
      <c r="AH230">
        <v>2</v>
      </c>
      <c r="AI230">
        <v>2</v>
      </c>
      <c r="AJ230">
        <v>6</v>
      </c>
      <c r="AK230">
        <v>11</v>
      </c>
      <c r="AL230" t="s">
        <v>364</v>
      </c>
      <c r="AM230" t="s">
        <v>365</v>
      </c>
      <c r="AN230" t="s">
        <v>366</v>
      </c>
      <c r="AO230" t="s">
        <v>810</v>
      </c>
      <c r="AP230" t="s">
        <v>811</v>
      </c>
      <c r="AQ230" t="s">
        <v>72</v>
      </c>
      <c r="AR230" t="s">
        <v>812</v>
      </c>
      <c r="AS230" t="s">
        <v>813</v>
      </c>
      <c r="AT230" t="s">
        <v>276</v>
      </c>
      <c r="AU230">
        <v>2022</v>
      </c>
      <c r="AV230">
        <v>10</v>
      </c>
      <c r="AW230">
        <v>6</v>
      </c>
      <c r="AX230" t="s">
        <v>72</v>
      </c>
      <c r="AY230" t="s">
        <v>72</v>
      </c>
      <c r="AZ230" t="s">
        <v>72</v>
      </c>
      <c r="BA230" t="s">
        <v>72</v>
      </c>
      <c r="BB230">
        <v>952</v>
      </c>
      <c r="BC230">
        <v>975</v>
      </c>
      <c r="BD230" t="s">
        <v>72</v>
      </c>
      <c r="BE230" t="s">
        <v>13361</v>
      </c>
      <c r="BF230" t="str">
        <f>HYPERLINK("http://dx.doi.org/10.1080/21670811.2021.2004552","http://dx.doi.org/10.1080/21670811.2021.2004552")</f>
        <v>http://dx.doi.org/10.1080/21670811.2021.2004552</v>
      </c>
      <c r="BG230" t="s">
        <v>72</v>
      </c>
      <c r="BH230" t="s">
        <v>1792</v>
      </c>
      <c r="BI230">
        <v>24</v>
      </c>
      <c r="BJ230" t="s">
        <v>174</v>
      </c>
      <c r="BK230" t="s">
        <v>174</v>
      </c>
      <c r="BL230" t="s">
        <v>13362</v>
      </c>
      <c r="BM230" t="s">
        <v>72</v>
      </c>
      <c r="BN230" t="s">
        <v>280</v>
      </c>
      <c r="BO230" t="s">
        <v>72</v>
      </c>
      <c r="BP230" t="s">
        <v>72</v>
      </c>
      <c r="BQ230" t="s">
        <v>100</v>
      </c>
      <c r="BR230" t="s">
        <v>13363</v>
      </c>
      <c r="BS230" t="str">
        <f>HYPERLINK("https%3A%2F%2Fwww.webofscience.com%2Fwos%2Fwoscc%2Ffull-record%2FWOS:000724671800001","View Full Record in Web of Science")</f>
        <v>View Full Record in Web of Science</v>
      </c>
    </row>
    <row r="231" spans="1:71" hidden="1" x14ac:dyDescent="0.2">
      <c r="A231" t="s">
        <v>70</v>
      </c>
      <c r="B231" t="s">
        <v>13364</v>
      </c>
      <c r="C231" t="s">
        <v>72</v>
      </c>
      <c r="D231" t="s">
        <v>72</v>
      </c>
      <c r="E231" t="s">
        <v>72</v>
      </c>
      <c r="F231" t="s">
        <v>13365</v>
      </c>
      <c r="G231" t="s">
        <v>72</v>
      </c>
      <c r="H231" t="s">
        <v>72</v>
      </c>
      <c r="I231" t="s">
        <v>13366</v>
      </c>
      <c r="J231" t="s">
        <v>800</v>
      </c>
      <c r="K231" t="s">
        <v>72</v>
      </c>
      <c r="L231" t="s">
        <v>72</v>
      </c>
      <c r="M231" t="s">
        <v>76</v>
      </c>
      <c r="N231" t="s">
        <v>77</v>
      </c>
      <c r="O231" t="s">
        <v>72</v>
      </c>
      <c r="P231" t="s">
        <v>72</v>
      </c>
      <c r="Q231" t="s">
        <v>72</v>
      </c>
      <c r="R231" t="s">
        <v>72</v>
      </c>
      <c r="S231" t="s">
        <v>72</v>
      </c>
      <c r="T231" t="s">
        <v>13367</v>
      </c>
      <c r="U231" t="s">
        <v>13368</v>
      </c>
      <c r="V231" t="s">
        <v>13369</v>
      </c>
      <c r="W231" t="s">
        <v>13370</v>
      </c>
      <c r="X231" t="s">
        <v>13371</v>
      </c>
      <c r="Y231" t="s">
        <v>13372</v>
      </c>
      <c r="Z231" t="s">
        <v>13373</v>
      </c>
      <c r="AA231" t="s">
        <v>72</v>
      </c>
      <c r="AB231" t="s">
        <v>13374</v>
      </c>
      <c r="AC231" t="s">
        <v>72</v>
      </c>
      <c r="AD231" t="s">
        <v>72</v>
      </c>
      <c r="AE231" t="s">
        <v>72</v>
      </c>
      <c r="AF231" t="s">
        <v>72</v>
      </c>
      <c r="AG231">
        <v>44</v>
      </c>
      <c r="AH231">
        <v>3</v>
      </c>
      <c r="AI231">
        <v>3</v>
      </c>
      <c r="AJ231">
        <v>3</v>
      </c>
      <c r="AK231">
        <v>18</v>
      </c>
      <c r="AL231" t="s">
        <v>364</v>
      </c>
      <c r="AM231" t="s">
        <v>365</v>
      </c>
      <c r="AN231" t="s">
        <v>366</v>
      </c>
      <c r="AO231" t="s">
        <v>810</v>
      </c>
      <c r="AP231" t="s">
        <v>811</v>
      </c>
      <c r="AQ231" t="s">
        <v>72</v>
      </c>
      <c r="AR231" t="s">
        <v>812</v>
      </c>
      <c r="AS231" t="s">
        <v>813</v>
      </c>
      <c r="AT231" t="s">
        <v>72</v>
      </c>
      <c r="AU231">
        <v>2018</v>
      </c>
      <c r="AV231">
        <v>6</v>
      </c>
      <c r="AW231">
        <v>9</v>
      </c>
      <c r="AX231" t="s">
        <v>72</v>
      </c>
      <c r="AY231" t="s">
        <v>72</v>
      </c>
      <c r="AZ231" t="s">
        <v>478</v>
      </c>
      <c r="BA231" t="s">
        <v>72</v>
      </c>
      <c r="BB231">
        <v>1121</v>
      </c>
      <c r="BC231">
        <v>1135</v>
      </c>
      <c r="BD231" t="s">
        <v>72</v>
      </c>
      <c r="BE231" t="s">
        <v>13375</v>
      </c>
      <c r="BF231" t="str">
        <f>HYPERLINK("http://dx.doi.org/10.1080/21670811.2018.1514271","http://dx.doi.org/10.1080/21670811.2018.1514271")</f>
        <v>http://dx.doi.org/10.1080/21670811.2018.1514271</v>
      </c>
      <c r="BG231" t="s">
        <v>72</v>
      </c>
      <c r="BH231" t="s">
        <v>72</v>
      </c>
      <c r="BI231">
        <v>15</v>
      </c>
      <c r="BJ231" t="s">
        <v>174</v>
      </c>
      <c r="BK231" t="s">
        <v>174</v>
      </c>
      <c r="BL231" t="s">
        <v>13376</v>
      </c>
      <c r="BM231" t="s">
        <v>72</v>
      </c>
      <c r="BN231" t="s">
        <v>72</v>
      </c>
      <c r="BO231" t="s">
        <v>72</v>
      </c>
      <c r="BP231" t="s">
        <v>72</v>
      </c>
      <c r="BQ231" t="s">
        <v>100</v>
      </c>
      <c r="BR231" t="s">
        <v>13377</v>
      </c>
      <c r="BS231" t="str">
        <f>HYPERLINK("https%3A%2F%2Fwww.webofscience.com%2Fwos%2Fwoscc%2Ffull-record%2FWOS:000455680800002","View Full Record in Web of Science")</f>
        <v>View Full Record in Web of Science</v>
      </c>
    </row>
    <row r="232" spans="1:71" hidden="1" x14ac:dyDescent="0.2">
      <c r="A232" t="s">
        <v>70</v>
      </c>
      <c r="B232" t="s">
        <v>13378</v>
      </c>
      <c r="C232" t="s">
        <v>72</v>
      </c>
      <c r="D232" t="s">
        <v>72</v>
      </c>
      <c r="E232" t="s">
        <v>72</v>
      </c>
      <c r="F232" t="s">
        <v>13379</v>
      </c>
      <c r="G232" t="s">
        <v>72</v>
      </c>
      <c r="H232" t="s">
        <v>72</v>
      </c>
      <c r="I232" t="s">
        <v>13380</v>
      </c>
      <c r="J232" t="s">
        <v>12005</v>
      </c>
      <c r="K232" t="s">
        <v>72</v>
      </c>
      <c r="L232" t="s">
        <v>72</v>
      </c>
      <c r="M232" t="s">
        <v>76</v>
      </c>
      <c r="N232" t="s">
        <v>77</v>
      </c>
      <c r="O232" t="s">
        <v>72</v>
      </c>
      <c r="P232" t="s">
        <v>72</v>
      </c>
      <c r="Q232" t="s">
        <v>72</v>
      </c>
      <c r="R232" t="s">
        <v>72</v>
      </c>
      <c r="S232" t="s">
        <v>72</v>
      </c>
      <c r="T232" t="s">
        <v>13381</v>
      </c>
      <c r="U232" t="s">
        <v>13382</v>
      </c>
      <c r="V232" t="s">
        <v>13383</v>
      </c>
      <c r="W232" t="s">
        <v>13384</v>
      </c>
      <c r="X232" t="s">
        <v>2379</v>
      </c>
      <c r="Y232" t="s">
        <v>13385</v>
      </c>
      <c r="Z232" t="s">
        <v>13386</v>
      </c>
      <c r="AA232" t="s">
        <v>72</v>
      </c>
      <c r="AB232" t="s">
        <v>13387</v>
      </c>
      <c r="AC232" t="s">
        <v>72</v>
      </c>
      <c r="AD232" t="s">
        <v>72</v>
      </c>
      <c r="AE232" t="s">
        <v>72</v>
      </c>
      <c r="AF232" t="s">
        <v>72</v>
      </c>
      <c r="AG232">
        <v>34</v>
      </c>
      <c r="AH232">
        <v>1</v>
      </c>
      <c r="AI232">
        <v>1</v>
      </c>
      <c r="AJ232">
        <v>1</v>
      </c>
      <c r="AK232">
        <v>4</v>
      </c>
      <c r="AL232" t="s">
        <v>9972</v>
      </c>
      <c r="AM232" t="s">
        <v>9973</v>
      </c>
      <c r="AN232" t="s">
        <v>9974</v>
      </c>
      <c r="AO232" t="s">
        <v>12017</v>
      </c>
      <c r="AP232" t="s">
        <v>72</v>
      </c>
      <c r="AQ232" t="s">
        <v>72</v>
      </c>
      <c r="AR232" t="s">
        <v>12018</v>
      </c>
      <c r="AS232" t="s">
        <v>12019</v>
      </c>
      <c r="AT232" t="s">
        <v>72</v>
      </c>
      <c r="AU232">
        <v>2020</v>
      </c>
      <c r="AV232">
        <v>8</v>
      </c>
      <c r="AW232">
        <v>3</v>
      </c>
      <c r="AX232" t="s">
        <v>72</v>
      </c>
      <c r="AY232" t="s">
        <v>72</v>
      </c>
      <c r="AZ232" t="s">
        <v>72</v>
      </c>
      <c r="BA232" t="s">
        <v>72</v>
      </c>
      <c r="BB232">
        <v>180</v>
      </c>
      <c r="BC232">
        <v>190</v>
      </c>
      <c r="BD232" t="s">
        <v>72</v>
      </c>
      <c r="BE232" t="s">
        <v>13388</v>
      </c>
      <c r="BF232" t="str">
        <f>HYPERLINK("http://dx.doi.org/10.17645/mac.v8i3.3046","http://dx.doi.org/10.17645/mac.v8i3.3046")</f>
        <v>http://dx.doi.org/10.17645/mac.v8i3.3046</v>
      </c>
      <c r="BG232" t="s">
        <v>72</v>
      </c>
      <c r="BH232" t="s">
        <v>72</v>
      </c>
      <c r="BI232">
        <v>11</v>
      </c>
      <c r="BJ232" t="s">
        <v>174</v>
      </c>
      <c r="BK232" t="s">
        <v>174</v>
      </c>
      <c r="BL232" t="s">
        <v>12021</v>
      </c>
      <c r="BM232" t="s">
        <v>72</v>
      </c>
      <c r="BN232" t="s">
        <v>910</v>
      </c>
      <c r="BO232" t="s">
        <v>72</v>
      </c>
      <c r="BP232" t="s">
        <v>72</v>
      </c>
      <c r="BQ232" t="s">
        <v>100</v>
      </c>
      <c r="BR232" t="s">
        <v>13389</v>
      </c>
      <c r="BS232" t="str">
        <f>HYPERLINK("https%3A%2F%2Fwww.webofscience.com%2Fwos%2Fwoscc%2Ffull-record%2FWOS:000562709200004","View Full Record in Web of Science")</f>
        <v>View Full Record in Web of Science</v>
      </c>
    </row>
    <row r="233" spans="1:71" hidden="1" x14ac:dyDescent="0.2">
      <c r="A233" t="s">
        <v>70</v>
      </c>
      <c r="B233" t="s">
        <v>13625</v>
      </c>
      <c r="C233" t="s">
        <v>72</v>
      </c>
      <c r="D233" t="s">
        <v>72</v>
      </c>
      <c r="E233" t="s">
        <v>72</v>
      </c>
      <c r="F233" t="s">
        <v>13626</v>
      </c>
      <c r="G233" t="s">
        <v>72</v>
      </c>
      <c r="H233" t="s">
        <v>72</v>
      </c>
      <c r="I233" t="s">
        <v>13627</v>
      </c>
      <c r="J233" t="s">
        <v>6314</v>
      </c>
      <c r="K233" t="s">
        <v>72</v>
      </c>
      <c r="L233" t="s">
        <v>72</v>
      </c>
      <c r="M233" t="s">
        <v>76</v>
      </c>
      <c r="N233" t="s">
        <v>77</v>
      </c>
      <c r="O233" t="s">
        <v>72</v>
      </c>
      <c r="P233" t="s">
        <v>72</v>
      </c>
      <c r="Q233" t="s">
        <v>72</v>
      </c>
      <c r="R233" t="s">
        <v>72</v>
      </c>
      <c r="S233" t="s">
        <v>72</v>
      </c>
      <c r="T233" t="s">
        <v>13628</v>
      </c>
      <c r="U233" t="s">
        <v>13629</v>
      </c>
      <c r="V233" t="s">
        <v>13630</v>
      </c>
      <c r="W233" t="s">
        <v>13631</v>
      </c>
      <c r="X233" t="s">
        <v>13632</v>
      </c>
      <c r="Y233" t="s">
        <v>13633</v>
      </c>
      <c r="Z233" t="s">
        <v>13634</v>
      </c>
      <c r="AA233" t="s">
        <v>72</v>
      </c>
      <c r="AB233" t="s">
        <v>72</v>
      </c>
      <c r="AC233" t="s">
        <v>72</v>
      </c>
      <c r="AD233" t="s">
        <v>72</v>
      </c>
      <c r="AE233" t="s">
        <v>72</v>
      </c>
      <c r="AF233" t="s">
        <v>72</v>
      </c>
      <c r="AG233">
        <v>38</v>
      </c>
      <c r="AH233">
        <v>0</v>
      </c>
      <c r="AI233">
        <v>0</v>
      </c>
      <c r="AJ233">
        <v>5</v>
      </c>
      <c r="AK233">
        <v>5</v>
      </c>
      <c r="AL233" t="s">
        <v>901</v>
      </c>
      <c r="AM233" t="s">
        <v>902</v>
      </c>
      <c r="AN233" t="s">
        <v>903</v>
      </c>
      <c r="AO233" t="s">
        <v>72</v>
      </c>
      <c r="AP233" t="s">
        <v>6318</v>
      </c>
      <c r="AQ233" t="s">
        <v>72</v>
      </c>
      <c r="AR233" t="s">
        <v>6319</v>
      </c>
      <c r="AS233" t="s">
        <v>6320</v>
      </c>
      <c r="AT233" t="s">
        <v>13635</v>
      </c>
      <c r="AU233">
        <v>2022</v>
      </c>
      <c r="AV233">
        <v>7</v>
      </c>
      <c r="AW233" t="s">
        <v>72</v>
      </c>
      <c r="AX233" t="s">
        <v>72</v>
      </c>
      <c r="AY233" t="s">
        <v>72</v>
      </c>
      <c r="AZ233" t="s">
        <v>72</v>
      </c>
      <c r="BA233" t="s">
        <v>72</v>
      </c>
      <c r="BB233" t="s">
        <v>72</v>
      </c>
      <c r="BC233" t="s">
        <v>72</v>
      </c>
      <c r="BD233">
        <v>894435</v>
      </c>
      <c r="BE233" t="s">
        <v>13636</v>
      </c>
      <c r="BF233" t="str">
        <f>HYPERLINK("http://dx.doi.org/10.3389/fcomm.2022.894435","http://dx.doi.org/10.3389/fcomm.2022.894435")</f>
        <v>http://dx.doi.org/10.3389/fcomm.2022.894435</v>
      </c>
      <c r="BG233" t="s">
        <v>72</v>
      </c>
      <c r="BH233" t="s">
        <v>72</v>
      </c>
      <c r="BI233">
        <v>8</v>
      </c>
      <c r="BJ233" t="s">
        <v>174</v>
      </c>
      <c r="BK233" t="s">
        <v>174</v>
      </c>
      <c r="BL233" t="s">
        <v>13637</v>
      </c>
      <c r="BM233" t="s">
        <v>72</v>
      </c>
      <c r="BN233" t="s">
        <v>910</v>
      </c>
      <c r="BO233" t="s">
        <v>72</v>
      </c>
      <c r="BP233" t="s">
        <v>72</v>
      </c>
      <c r="BQ233" t="s">
        <v>100</v>
      </c>
      <c r="BR233" t="s">
        <v>13638</v>
      </c>
      <c r="BS233" t="str">
        <f>HYPERLINK("https%3A%2F%2Fwww.webofscience.com%2Fwos%2Fwoscc%2Ffull-record%2FWOS:000800110700001","View Full Record in Web of Science")</f>
        <v>View Full Record in Web of Science</v>
      </c>
    </row>
    <row r="234" spans="1:71" hidden="1" x14ac:dyDescent="0.2">
      <c r="A234" t="s">
        <v>70</v>
      </c>
      <c r="B234" t="s">
        <v>13786</v>
      </c>
      <c r="C234" t="s">
        <v>72</v>
      </c>
      <c r="D234" t="s">
        <v>72</v>
      </c>
      <c r="E234" t="s">
        <v>72</v>
      </c>
      <c r="F234" t="s">
        <v>13787</v>
      </c>
      <c r="G234" t="s">
        <v>72</v>
      </c>
      <c r="H234" t="s">
        <v>72</v>
      </c>
      <c r="I234" t="s">
        <v>13788</v>
      </c>
      <c r="J234" t="s">
        <v>5562</v>
      </c>
      <c r="K234" t="s">
        <v>72</v>
      </c>
      <c r="L234" t="s">
        <v>72</v>
      </c>
      <c r="M234" t="s">
        <v>76</v>
      </c>
      <c r="N234" t="s">
        <v>77</v>
      </c>
      <c r="O234" t="s">
        <v>72</v>
      </c>
      <c r="P234" t="s">
        <v>72</v>
      </c>
      <c r="Q234" t="s">
        <v>72</v>
      </c>
      <c r="R234" t="s">
        <v>72</v>
      </c>
      <c r="S234" t="s">
        <v>72</v>
      </c>
      <c r="T234" t="s">
        <v>13789</v>
      </c>
      <c r="U234" t="s">
        <v>13790</v>
      </c>
      <c r="V234" t="s">
        <v>13791</v>
      </c>
      <c r="W234" t="s">
        <v>13792</v>
      </c>
      <c r="X234" t="s">
        <v>164</v>
      </c>
      <c r="Y234" t="s">
        <v>13793</v>
      </c>
      <c r="Z234" t="s">
        <v>13794</v>
      </c>
      <c r="AA234" t="s">
        <v>72</v>
      </c>
      <c r="AB234" t="s">
        <v>72</v>
      </c>
      <c r="AC234" t="s">
        <v>72</v>
      </c>
      <c r="AD234" t="s">
        <v>72</v>
      </c>
      <c r="AE234" t="s">
        <v>72</v>
      </c>
      <c r="AF234" t="s">
        <v>72</v>
      </c>
      <c r="AG234">
        <v>43</v>
      </c>
      <c r="AH234">
        <v>15</v>
      </c>
      <c r="AI234">
        <v>15</v>
      </c>
      <c r="AJ234">
        <v>1</v>
      </c>
      <c r="AK234">
        <v>19</v>
      </c>
      <c r="AL234" t="s">
        <v>364</v>
      </c>
      <c r="AM234" t="s">
        <v>365</v>
      </c>
      <c r="AN234" t="s">
        <v>366</v>
      </c>
      <c r="AO234" t="s">
        <v>5574</v>
      </c>
      <c r="AP234" t="s">
        <v>5575</v>
      </c>
      <c r="AQ234" t="s">
        <v>72</v>
      </c>
      <c r="AR234" t="s">
        <v>5576</v>
      </c>
      <c r="AS234" t="s">
        <v>5577</v>
      </c>
      <c r="AT234" t="s">
        <v>11132</v>
      </c>
      <c r="AU234">
        <v>2018</v>
      </c>
      <c r="AV234">
        <v>19</v>
      </c>
      <c r="AW234">
        <v>15</v>
      </c>
      <c r="AX234" t="s">
        <v>72</v>
      </c>
      <c r="AY234" t="s">
        <v>72</v>
      </c>
      <c r="AZ234" t="s">
        <v>72</v>
      </c>
      <c r="BA234" t="s">
        <v>72</v>
      </c>
      <c r="BB234">
        <v>2264</v>
      </c>
      <c r="BC234">
        <v>2282</v>
      </c>
      <c r="BD234" t="s">
        <v>72</v>
      </c>
      <c r="BE234" t="s">
        <v>13795</v>
      </c>
      <c r="BF234" t="str">
        <f>HYPERLINK("http://dx.doi.org/10.1080/1461670X.2017.1338154","http://dx.doi.org/10.1080/1461670X.2017.1338154")</f>
        <v>http://dx.doi.org/10.1080/1461670X.2017.1338154</v>
      </c>
      <c r="BG234" t="s">
        <v>72</v>
      </c>
      <c r="BH234" t="s">
        <v>72</v>
      </c>
      <c r="BI234">
        <v>19</v>
      </c>
      <c r="BJ234" t="s">
        <v>174</v>
      </c>
      <c r="BK234" t="s">
        <v>174</v>
      </c>
      <c r="BL234" t="s">
        <v>13796</v>
      </c>
      <c r="BM234" t="s">
        <v>72</v>
      </c>
      <c r="BN234" t="s">
        <v>2403</v>
      </c>
      <c r="BO234" t="s">
        <v>72</v>
      </c>
      <c r="BP234" t="s">
        <v>72</v>
      </c>
      <c r="BQ234" t="s">
        <v>100</v>
      </c>
      <c r="BR234" t="s">
        <v>13797</v>
      </c>
      <c r="BS234" t="str">
        <f>HYPERLINK("https%3A%2F%2Fwww.webofscience.com%2Fwos%2Fwoscc%2Ffull-record%2FWOS:000447710800005","View Full Record in Web of Science")</f>
        <v>View Full Record in Web of Science</v>
      </c>
    </row>
    <row r="235" spans="1:71" hidden="1" x14ac:dyDescent="0.2">
      <c r="A235" t="s">
        <v>70</v>
      </c>
      <c r="B235" t="s">
        <v>13945</v>
      </c>
      <c r="C235" t="s">
        <v>72</v>
      </c>
      <c r="D235" t="s">
        <v>72</v>
      </c>
      <c r="E235" t="s">
        <v>72</v>
      </c>
      <c r="F235" t="s">
        <v>13946</v>
      </c>
      <c r="G235" t="s">
        <v>72</v>
      </c>
      <c r="H235" t="s">
        <v>72</v>
      </c>
      <c r="I235" t="s">
        <v>13947</v>
      </c>
      <c r="J235" t="s">
        <v>5562</v>
      </c>
      <c r="K235" t="s">
        <v>72</v>
      </c>
      <c r="L235" t="s">
        <v>72</v>
      </c>
      <c r="M235" t="s">
        <v>76</v>
      </c>
      <c r="N235" t="s">
        <v>77</v>
      </c>
      <c r="O235" t="s">
        <v>72</v>
      </c>
      <c r="P235" t="s">
        <v>72</v>
      </c>
      <c r="Q235" t="s">
        <v>72</v>
      </c>
      <c r="R235" t="s">
        <v>72</v>
      </c>
      <c r="S235" t="s">
        <v>72</v>
      </c>
      <c r="T235" t="s">
        <v>13948</v>
      </c>
      <c r="U235" t="s">
        <v>13949</v>
      </c>
      <c r="V235" t="s">
        <v>13950</v>
      </c>
      <c r="W235" t="s">
        <v>13951</v>
      </c>
      <c r="X235" t="s">
        <v>9432</v>
      </c>
      <c r="Y235" t="s">
        <v>13952</v>
      </c>
      <c r="Z235" t="s">
        <v>13953</v>
      </c>
      <c r="AA235" t="s">
        <v>72</v>
      </c>
      <c r="AB235" t="s">
        <v>72</v>
      </c>
      <c r="AC235" t="s">
        <v>9435</v>
      </c>
      <c r="AD235" t="s">
        <v>9435</v>
      </c>
      <c r="AE235" t="s">
        <v>13954</v>
      </c>
      <c r="AF235" t="s">
        <v>72</v>
      </c>
      <c r="AG235">
        <v>60</v>
      </c>
      <c r="AH235">
        <v>22</v>
      </c>
      <c r="AI235">
        <v>25</v>
      </c>
      <c r="AJ235">
        <v>1</v>
      </c>
      <c r="AK235">
        <v>17</v>
      </c>
      <c r="AL235" t="s">
        <v>364</v>
      </c>
      <c r="AM235" t="s">
        <v>365</v>
      </c>
      <c r="AN235" t="s">
        <v>366</v>
      </c>
      <c r="AO235" t="s">
        <v>5574</v>
      </c>
      <c r="AP235" t="s">
        <v>5575</v>
      </c>
      <c r="AQ235" t="s">
        <v>72</v>
      </c>
      <c r="AR235" t="s">
        <v>5576</v>
      </c>
      <c r="AS235" t="s">
        <v>5577</v>
      </c>
      <c r="AT235" t="s">
        <v>72</v>
      </c>
      <c r="AU235">
        <v>2017</v>
      </c>
      <c r="AV235">
        <v>18</v>
      </c>
      <c r="AW235">
        <v>7</v>
      </c>
      <c r="AX235" t="s">
        <v>72</v>
      </c>
      <c r="AY235" t="s">
        <v>72</v>
      </c>
      <c r="AZ235" t="s">
        <v>72</v>
      </c>
      <c r="BA235" t="s">
        <v>72</v>
      </c>
      <c r="BB235">
        <v>890</v>
      </c>
      <c r="BC235">
        <v>909</v>
      </c>
      <c r="BD235" t="s">
        <v>72</v>
      </c>
      <c r="BE235" t="s">
        <v>13955</v>
      </c>
      <c r="BF235" t="str">
        <f>HYPERLINK("http://dx.doi.org/10.1080/1461670X.2015.1089183","http://dx.doi.org/10.1080/1461670X.2015.1089183")</f>
        <v>http://dx.doi.org/10.1080/1461670X.2015.1089183</v>
      </c>
      <c r="BG235" t="s">
        <v>72</v>
      </c>
      <c r="BH235" t="s">
        <v>72</v>
      </c>
      <c r="BI235">
        <v>20</v>
      </c>
      <c r="BJ235" t="s">
        <v>174</v>
      </c>
      <c r="BK235" t="s">
        <v>174</v>
      </c>
      <c r="BL235" t="s">
        <v>13956</v>
      </c>
      <c r="BM235" t="s">
        <v>72</v>
      </c>
      <c r="BN235" t="s">
        <v>1128</v>
      </c>
      <c r="BO235" t="s">
        <v>72</v>
      </c>
      <c r="BP235" t="s">
        <v>72</v>
      </c>
      <c r="BQ235" t="s">
        <v>100</v>
      </c>
      <c r="BR235" t="s">
        <v>13957</v>
      </c>
      <c r="BS235" t="str">
        <f>HYPERLINK("https%3A%2F%2Fwww.webofscience.com%2Fwos%2Fwoscc%2Ffull-record%2FWOS:000403008000005","View Full Record in Web of Science")</f>
        <v>View Full Record in Web of Science</v>
      </c>
    </row>
    <row r="236" spans="1:71" hidden="1" x14ac:dyDescent="0.2">
      <c r="A236" t="s">
        <v>70</v>
      </c>
      <c r="B236" t="s">
        <v>13958</v>
      </c>
      <c r="C236" t="s">
        <v>72</v>
      </c>
      <c r="D236" t="s">
        <v>72</v>
      </c>
      <c r="E236" t="s">
        <v>72</v>
      </c>
      <c r="F236" t="s">
        <v>13959</v>
      </c>
      <c r="G236" t="s">
        <v>72</v>
      </c>
      <c r="H236" t="s">
        <v>72</v>
      </c>
      <c r="I236" t="s">
        <v>13960</v>
      </c>
      <c r="J236" t="s">
        <v>800</v>
      </c>
      <c r="K236" t="s">
        <v>72</v>
      </c>
      <c r="L236" t="s">
        <v>72</v>
      </c>
      <c r="M236" t="s">
        <v>76</v>
      </c>
      <c r="N236" t="s">
        <v>77</v>
      </c>
      <c r="O236" t="s">
        <v>72</v>
      </c>
      <c r="P236" t="s">
        <v>72</v>
      </c>
      <c r="Q236" t="s">
        <v>72</v>
      </c>
      <c r="R236" t="s">
        <v>72</v>
      </c>
      <c r="S236" t="s">
        <v>72</v>
      </c>
      <c r="T236" t="s">
        <v>13961</v>
      </c>
      <c r="U236" t="s">
        <v>13962</v>
      </c>
      <c r="V236" t="s">
        <v>13963</v>
      </c>
      <c r="W236" t="s">
        <v>13964</v>
      </c>
      <c r="X236" t="s">
        <v>805</v>
      </c>
      <c r="Y236" t="s">
        <v>13965</v>
      </c>
      <c r="Z236" t="s">
        <v>13966</v>
      </c>
      <c r="AA236" t="s">
        <v>808</v>
      </c>
      <c r="AB236" t="s">
        <v>13967</v>
      </c>
      <c r="AC236" t="s">
        <v>13968</v>
      </c>
      <c r="AD236" t="s">
        <v>13969</v>
      </c>
      <c r="AE236" t="s">
        <v>13970</v>
      </c>
      <c r="AF236" t="s">
        <v>72</v>
      </c>
      <c r="AG236">
        <v>37</v>
      </c>
      <c r="AH236">
        <v>5</v>
      </c>
      <c r="AI236">
        <v>5</v>
      </c>
      <c r="AJ236">
        <v>2</v>
      </c>
      <c r="AK236">
        <v>10</v>
      </c>
      <c r="AL236" t="s">
        <v>364</v>
      </c>
      <c r="AM236" t="s">
        <v>365</v>
      </c>
      <c r="AN236" t="s">
        <v>366</v>
      </c>
      <c r="AO236" t="s">
        <v>810</v>
      </c>
      <c r="AP236" t="s">
        <v>811</v>
      </c>
      <c r="AQ236" t="s">
        <v>72</v>
      </c>
      <c r="AR236" t="s">
        <v>812</v>
      </c>
      <c r="AS236" t="s">
        <v>813</v>
      </c>
      <c r="AT236" t="s">
        <v>13971</v>
      </c>
      <c r="AU236">
        <v>2019</v>
      </c>
      <c r="AV236">
        <v>7</v>
      </c>
      <c r="AW236">
        <v>7</v>
      </c>
      <c r="AX236" t="s">
        <v>72</v>
      </c>
      <c r="AY236" t="s">
        <v>72</v>
      </c>
      <c r="AZ236" t="s">
        <v>72</v>
      </c>
      <c r="BA236" t="s">
        <v>72</v>
      </c>
      <c r="BB236">
        <v>910</v>
      </c>
      <c r="BC236">
        <v>931</v>
      </c>
      <c r="BD236" t="s">
        <v>72</v>
      </c>
      <c r="BE236" t="s">
        <v>13972</v>
      </c>
      <c r="BF236" t="str">
        <f>HYPERLINK("http://dx.doi.org/10.1080/21670811.2019.1631706","http://dx.doi.org/10.1080/21670811.2019.1631706")</f>
        <v>http://dx.doi.org/10.1080/21670811.2019.1631706</v>
      </c>
      <c r="BG236" t="s">
        <v>72</v>
      </c>
      <c r="BH236" t="s">
        <v>13973</v>
      </c>
      <c r="BI236">
        <v>22</v>
      </c>
      <c r="BJ236" t="s">
        <v>174</v>
      </c>
      <c r="BK236" t="s">
        <v>174</v>
      </c>
      <c r="BL236" t="s">
        <v>13974</v>
      </c>
      <c r="BM236" t="s">
        <v>72</v>
      </c>
      <c r="BN236" t="s">
        <v>72</v>
      </c>
      <c r="BO236" t="s">
        <v>72</v>
      </c>
      <c r="BP236" t="s">
        <v>72</v>
      </c>
      <c r="BQ236" t="s">
        <v>100</v>
      </c>
      <c r="BR236" t="s">
        <v>13975</v>
      </c>
      <c r="BS236" t="str">
        <f>HYPERLINK("https%3A%2F%2Fwww.webofscience.com%2Fwos%2Fwoscc%2Ffull-record%2FWOS:000473633800001","View Full Record in Web of Science")</f>
        <v>View Full Record in Web of Science</v>
      </c>
    </row>
    <row r="237" spans="1:71" hidden="1" x14ac:dyDescent="0.2">
      <c r="A237" t="s">
        <v>70</v>
      </c>
      <c r="B237" t="s">
        <v>13958</v>
      </c>
      <c r="C237" t="s">
        <v>72</v>
      </c>
      <c r="D237" t="s">
        <v>72</v>
      </c>
      <c r="E237" t="s">
        <v>72</v>
      </c>
      <c r="F237" t="s">
        <v>13976</v>
      </c>
      <c r="G237" t="s">
        <v>72</v>
      </c>
      <c r="H237" t="s">
        <v>72</v>
      </c>
      <c r="I237" t="s">
        <v>13977</v>
      </c>
      <c r="J237" t="s">
        <v>5562</v>
      </c>
      <c r="K237" t="s">
        <v>72</v>
      </c>
      <c r="L237" t="s">
        <v>72</v>
      </c>
      <c r="M237" t="s">
        <v>76</v>
      </c>
      <c r="N237" t="s">
        <v>77</v>
      </c>
      <c r="O237" t="s">
        <v>72</v>
      </c>
      <c r="P237" t="s">
        <v>72</v>
      </c>
      <c r="Q237" t="s">
        <v>72</v>
      </c>
      <c r="R237" t="s">
        <v>72</v>
      </c>
      <c r="S237" t="s">
        <v>72</v>
      </c>
      <c r="T237" t="s">
        <v>13978</v>
      </c>
      <c r="U237" t="s">
        <v>13979</v>
      </c>
      <c r="V237" t="s">
        <v>13980</v>
      </c>
      <c r="W237" t="s">
        <v>13981</v>
      </c>
      <c r="X237" t="s">
        <v>805</v>
      </c>
      <c r="Y237" t="s">
        <v>13965</v>
      </c>
      <c r="Z237" t="s">
        <v>13982</v>
      </c>
      <c r="AA237" t="s">
        <v>808</v>
      </c>
      <c r="AB237" t="s">
        <v>13983</v>
      </c>
      <c r="AC237" t="s">
        <v>13984</v>
      </c>
      <c r="AD237" t="s">
        <v>13985</v>
      </c>
      <c r="AE237" t="s">
        <v>13986</v>
      </c>
      <c r="AF237" t="s">
        <v>72</v>
      </c>
      <c r="AG237">
        <v>34</v>
      </c>
      <c r="AH237">
        <v>14</v>
      </c>
      <c r="AI237">
        <v>14</v>
      </c>
      <c r="AJ237">
        <v>0</v>
      </c>
      <c r="AK237">
        <v>16</v>
      </c>
      <c r="AL237" t="s">
        <v>364</v>
      </c>
      <c r="AM237" t="s">
        <v>365</v>
      </c>
      <c r="AN237" t="s">
        <v>366</v>
      </c>
      <c r="AO237" t="s">
        <v>5574</v>
      </c>
      <c r="AP237" t="s">
        <v>5575</v>
      </c>
      <c r="AQ237" t="s">
        <v>72</v>
      </c>
      <c r="AR237" t="s">
        <v>5576</v>
      </c>
      <c r="AS237" t="s">
        <v>5577</v>
      </c>
      <c r="AT237" t="s">
        <v>72</v>
      </c>
      <c r="AU237">
        <v>2018</v>
      </c>
      <c r="AV237">
        <v>19</v>
      </c>
      <c r="AW237">
        <v>1</v>
      </c>
      <c r="AX237" t="s">
        <v>72</v>
      </c>
      <c r="AY237" t="s">
        <v>72</v>
      </c>
      <c r="AZ237" t="s">
        <v>72</v>
      </c>
      <c r="BA237" t="s">
        <v>72</v>
      </c>
      <c r="BB237">
        <v>79</v>
      </c>
      <c r="BC237">
        <v>104</v>
      </c>
      <c r="BD237" t="s">
        <v>72</v>
      </c>
      <c r="BE237" t="s">
        <v>13987</v>
      </c>
      <c r="BF237" t="str">
        <f>HYPERLINK("http://dx.doi.org/10.1080/1461670X.2016.1168711","http://dx.doi.org/10.1080/1461670X.2016.1168711")</f>
        <v>http://dx.doi.org/10.1080/1461670X.2016.1168711</v>
      </c>
      <c r="BG237" t="s">
        <v>72</v>
      </c>
      <c r="BH237" t="s">
        <v>72</v>
      </c>
      <c r="BI237">
        <v>26</v>
      </c>
      <c r="BJ237" t="s">
        <v>174</v>
      </c>
      <c r="BK237" t="s">
        <v>174</v>
      </c>
      <c r="BL237" t="s">
        <v>13988</v>
      </c>
      <c r="BM237" t="s">
        <v>72</v>
      </c>
      <c r="BN237" t="s">
        <v>72</v>
      </c>
      <c r="BO237" t="s">
        <v>72</v>
      </c>
      <c r="BP237" t="s">
        <v>72</v>
      </c>
      <c r="BQ237" t="s">
        <v>100</v>
      </c>
      <c r="BR237" t="s">
        <v>13989</v>
      </c>
      <c r="BS237" t="str">
        <f>HYPERLINK("https%3A%2F%2Fwww.webofscience.com%2Fwos%2Fwoscc%2Ffull-record%2FWOS:000428505900006","View Full Record in Web of Science")</f>
        <v>View Full Record in Web of Science</v>
      </c>
    </row>
    <row r="238" spans="1:71" hidden="1" x14ac:dyDescent="0.2">
      <c r="A238" t="s">
        <v>70</v>
      </c>
      <c r="B238" t="s">
        <v>14036</v>
      </c>
      <c r="C238" t="s">
        <v>72</v>
      </c>
      <c r="D238" t="s">
        <v>72</v>
      </c>
      <c r="E238" t="s">
        <v>72</v>
      </c>
      <c r="F238" t="s">
        <v>14037</v>
      </c>
      <c r="G238" t="s">
        <v>72</v>
      </c>
      <c r="H238" t="s">
        <v>72</v>
      </c>
      <c r="I238" t="s">
        <v>14038</v>
      </c>
      <c r="J238" t="s">
        <v>5562</v>
      </c>
      <c r="K238" t="s">
        <v>72</v>
      </c>
      <c r="L238" t="s">
        <v>72</v>
      </c>
      <c r="M238" t="s">
        <v>76</v>
      </c>
      <c r="N238" t="s">
        <v>77</v>
      </c>
      <c r="O238" t="s">
        <v>72</v>
      </c>
      <c r="P238" t="s">
        <v>72</v>
      </c>
      <c r="Q238" t="s">
        <v>72</v>
      </c>
      <c r="R238" t="s">
        <v>72</v>
      </c>
      <c r="S238" t="s">
        <v>72</v>
      </c>
      <c r="T238" t="s">
        <v>14039</v>
      </c>
      <c r="U238" t="s">
        <v>14040</v>
      </c>
      <c r="V238" t="s">
        <v>14041</v>
      </c>
      <c r="W238" t="s">
        <v>14042</v>
      </c>
      <c r="X238" t="s">
        <v>14043</v>
      </c>
      <c r="Y238" t="s">
        <v>14044</v>
      </c>
      <c r="Z238" t="s">
        <v>4041</v>
      </c>
      <c r="AA238" t="s">
        <v>14045</v>
      </c>
      <c r="AB238" t="s">
        <v>14046</v>
      </c>
      <c r="AC238" t="s">
        <v>72</v>
      </c>
      <c r="AD238" t="s">
        <v>72</v>
      </c>
      <c r="AE238" t="s">
        <v>72</v>
      </c>
      <c r="AF238" t="s">
        <v>72</v>
      </c>
      <c r="AG238">
        <v>67</v>
      </c>
      <c r="AH238">
        <v>6</v>
      </c>
      <c r="AI238">
        <v>6</v>
      </c>
      <c r="AJ238">
        <v>5</v>
      </c>
      <c r="AK238">
        <v>18</v>
      </c>
      <c r="AL238" t="s">
        <v>364</v>
      </c>
      <c r="AM238" t="s">
        <v>365</v>
      </c>
      <c r="AN238" t="s">
        <v>366</v>
      </c>
      <c r="AO238" t="s">
        <v>5574</v>
      </c>
      <c r="AP238" t="s">
        <v>5575</v>
      </c>
      <c r="AQ238" t="s">
        <v>72</v>
      </c>
      <c r="AR238" t="s">
        <v>5576</v>
      </c>
      <c r="AS238" t="s">
        <v>5577</v>
      </c>
      <c r="AT238" t="s">
        <v>14047</v>
      </c>
      <c r="AU238">
        <v>2020</v>
      </c>
      <c r="AV238">
        <v>21</v>
      </c>
      <c r="AW238">
        <v>10</v>
      </c>
      <c r="AX238" t="s">
        <v>72</v>
      </c>
      <c r="AY238" t="s">
        <v>72</v>
      </c>
      <c r="AZ238" t="s">
        <v>72</v>
      </c>
      <c r="BA238" t="s">
        <v>72</v>
      </c>
      <c r="BB238">
        <v>1384</v>
      </c>
      <c r="BC238">
        <v>1402</v>
      </c>
      <c r="BD238" t="s">
        <v>72</v>
      </c>
      <c r="BE238" t="s">
        <v>14048</v>
      </c>
      <c r="BF238" t="str">
        <f>HYPERLINK("http://dx.doi.org/10.1080/1461670X.2020.1753092","http://dx.doi.org/10.1080/1461670X.2020.1753092")</f>
        <v>http://dx.doi.org/10.1080/1461670X.2020.1753092</v>
      </c>
      <c r="BG238" t="s">
        <v>72</v>
      </c>
      <c r="BH238" t="s">
        <v>2656</v>
      </c>
      <c r="BI238">
        <v>19</v>
      </c>
      <c r="BJ238" t="s">
        <v>174</v>
      </c>
      <c r="BK238" t="s">
        <v>174</v>
      </c>
      <c r="BL238" t="s">
        <v>14049</v>
      </c>
      <c r="BM238" t="s">
        <v>72</v>
      </c>
      <c r="BN238" t="s">
        <v>72</v>
      </c>
      <c r="BO238" t="s">
        <v>72</v>
      </c>
      <c r="BP238" t="s">
        <v>72</v>
      </c>
      <c r="BQ238" t="s">
        <v>100</v>
      </c>
      <c r="BR238" t="s">
        <v>14050</v>
      </c>
      <c r="BS238" t="str">
        <f>HYPERLINK("https%3A%2F%2Fwww.webofscience.com%2Fwos%2Fwoscc%2Ffull-record%2FWOS:000527581400001","View Full Record in Web of Science")</f>
        <v>View Full Record in Web of Science</v>
      </c>
    </row>
    <row r="239" spans="1:71" hidden="1" x14ac:dyDescent="0.2">
      <c r="A239" t="s">
        <v>70</v>
      </c>
      <c r="B239" t="s">
        <v>14051</v>
      </c>
      <c r="C239" t="s">
        <v>72</v>
      </c>
      <c r="D239" t="s">
        <v>72</v>
      </c>
      <c r="E239" t="s">
        <v>72</v>
      </c>
      <c r="F239" t="s">
        <v>14052</v>
      </c>
      <c r="G239" t="s">
        <v>72</v>
      </c>
      <c r="H239" t="s">
        <v>72</v>
      </c>
      <c r="I239" t="s">
        <v>14053</v>
      </c>
      <c r="J239" t="s">
        <v>5562</v>
      </c>
      <c r="K239" t="s">
        <v>72</v>
      </c>
      <c r="L239" t="s">
        <v>72</v>
      </c>
      <c r="M239" t="s">
        <v>76</v>
      </c>
      <c r="N239" t="s">
        <v>77</v>
      </c>
      <c r="O239" t="s">
        <v>72</v>
      </c>
      <c r="P239" t="s">
        <v>72</v>
      </c>
      <c r="Q239" t="s">
        <v>72</v>
      </c>
      <c r="R239" t="s">
        <v>72</v>
      </c>
      <c r="S239" t="s">
        <v>72</v>
      </c>
      <c r="T239" t="s">
        <v>14054</v>
      </c>
      <c r="U239" t="s">
        <v>14055</v>
      </c>
      <c r="V239" t="s">
        <v>14056</v>
      </c>
      <c r="W239" t="s">
        <v>14057</v>
      </c>
      <c r="X239" t="s">
        <v>14058</v>
      </c>
      <c r="Y239" t="s">
        <v>14059</v>
      </c>
      <c r="Z239" t="s">
        <v>14060</v>
      </c>
      <c r="AA239" t="s">
        <v>14061</v>
      </c>
      <c r="AB239" t="s">
        <v>14062</v>
      </c>
      <c r="AC239" t="s">
        <v>72</v>
      </c>
      <c r="AD239" t="s">
        <v>72</v>
      </c>
      <c r="AE239" t="s">
        <v>72</v>
      </c>
      <c r="AF239" t="s">
        <v>72</v>
      </c>
      <c r="AG239">
        <v>55</v>
      </c>
      <c r="AH239">
        <v>1</v>
      </c>
      <c r="AI239">
        <v>1</v>
      </c>
      <c r="AJ239">
        <v>0</v>
      </c>
      <c r="AK239">
        <v>1</v>
      </c>
      <c r="AL239" t="s">
        <v>364</v>
      </c>
      <c r="AM239" t="s">
        <v>365</v>
      </c>
      <c r="AN239" t="s">
        <v>366</v>
      </c>
      <c r="AO239" t="s">
        <v>5574</v>
      </c>
      <c r="AP239" t="s">
        <v>5575</v>
      </c>
      <c r="AQ239" t="s">
        <v>72</v>
      </c>
      <c r="AR239" t="s">
        <v>5576</v>
      </c>
      <c r="AS239" t="s">
        <v>5577</v>
      </c>
      <c r="AT239" t="s">
        <v>1556</v>
      </c>
      <c r="AU239">
        <v>2021</v>
      </c>
      <c r="AV239">
        <v>22</v>
      </c>
      <c r="AW239">
        <v>6</v>
      </c>
      <c r="AX239" t="s">
        <v>72</v>
      </c>
      <c r="AY239" t="s">
        <v>72</v>
      </c>
      <c r="AZ239" t="s">
        <v>478</v>
      </c>
      <c r="BA239" t="s">
        <v>72</v>
      </c>
      <c r="BB239">
        <v>723</v>
      </c>
      <c r="BC239">
        <v>740</v>
      </c>
      <c r="BD239" t="s">
        <v>72</v>
      </c>
      <c r="BE239" t="s">
        <v>14063</v>
      </c>
      <c r="BF239" t="str">
        <f>HYPERLINK("http://dx.doi.org/10.1080/1461670X.2020.1819861","http://dx.doi.org/10.1080/1461670X.2020.1819861")</f>
        <v>http://dx.doi.org/10.1080/1461670X.2020.1819861</v>
      </c>
      <c r="BG239" t="s">
        <v>72</v>
      </c>
      <c r="BH239" t="s">
        <v>72</v>
      </c>
      <c r="BI239">
        <v>18</v>
      </c>
      <c r="BJ239" t="s">
        <v>174</v>
      </c>
      <c r="BK239" t="s">
        <v>174</v>
      </c>
      <c r="BL239" t="s">
        <v>14064</v>
      </c>
      <c r="BM239" t="s">
        <v>72</v>
      </c>
      <c r="BN239" t="s">
        <v>251</v>
      </c>
      <c r="BO239" t="s">
        <v>72</v>
      </c>
      <c r="BP239" t="s">
        <v>72</v>
      </c>
      <c r="BQ239" t="s">
        <v>100</v>
      </c>
      <c r="BR239" t="s">
        <v>14065</v>
      </c>
      <c r="BS239" t="str">
        <f>HYPERLINK("https%3A%2F%2Fwww.webofscience.com%2Fwos%2Fwoscc%2Ffull-record%2FWOS:000646388000002","View Full Record in Web of Science")</f>
        <v>View Full Record in Web of Science</v>
      </c>
    </row>
    <row r="240" spans="1:71" hidden="1" x14ac:dyDescent="0.2">
      <c r="A240" t="s">
        <v>70</v>
      </c>
      <c r="B240" t="s">
        <v>14739</v>
      </c>
      <c r="C240" t="s">
        <v>72</v>
      </c>
      <c r="D240" t="s">
        <v>72</v>
      </c>
      <c r="E240" t="s">
        <v>72</v>
      </c>
      <c r="F240" t="s">
        <v>14740</v>
      </c>
      <c r="G240" t="s">
        <v>72</v>
      </c>
      <c r="H240" t="s">
        <v>72</v>
      </c>
      <c r="I240" t="s">
        <v>14741</v>
      </c>
      <c r="J240" t="s">
        <v>3086</v>
      </c>
      <c r="K240" t="s">
        <v>72</v>
      </c>
      <c r="L240" t="s">
        <v>72</v>
      </c>
      <c r="M240" t="s">
        <v>76</v>
      </c>
      <c r="N240" t="s">
        <v>77</v>
      </c>
      <c r="O240" t="s">
        <v>72</v>
      </c>
      <c r="P240" t="s">
        <v>72</v>
      </c>
      <c r="Q240" t="s">
        <v>72</v>
      </c>
      <c r="R240" t="s">
        <v>72</v>
      </c>
      <c r="S240" t="s">
        <v>72</v>
      </c>
      <c r="T240" t="s">
        <v>72</v>
      </c>
      <c r="U240" t="s">
        <v>14742</v>
      </c>
      <c r="V240" t="s">
        <v>14743</v>
      </c>
      <c r="W240" t="s">
        <v>14744</v>
      </c>
      <c r="X240" t="s">
        <v>164</v>
      </c>
      <c r="Y240" t="s">
        <v>14745</v>
      </c>
      <c r="Z240" t="s">
        <v>14746</v>
      </c>
      <c r="AA240" t="s">
        <v>9651</v>
      </c>
      <c r="AB240" t="s">
        <v>14747</v>
      </c>
      <c r="AC240" t="s">
        <v>14748</v>
      </c>
      <c r="AD240" t="s">
        <v>14749</v>
      </c>
      <c r="AE240" t="s">
        <v>14750</v>
      </c>
      <c r="AF240" t="s">
        <v>72</v>
      </c>
      <c r="AG240">
        <v>58</v>
      </c>
      <c r="AH240">
        <v>19</v>
      </c>
      <c r="AI240">
        <v>19</v>
      </c>
      <c r="AJ240">
        <v>3</v>
      </c>
      <c r="AK240">
        <v>9</v>
      </c>
      <c r="AL240" t="s">
        <v>364</v>
      </c>
      <c r="AM240" t="s">
        <v>365</v>
      </c>
      <c r="AN240" t="s">
        <v>366</v>
      </c>
      <c r="AO240" t="s">
        <v>3096</v>
      </c>
      <c r="AP240" t="s">
        <v>3097</v>
      </c>
      <c r="AQ240" t="s">
        <v>72</v>
      </c>
      <c r="AR240" t="s">
        <v>3098</v>
      </c>
      <c r="AS240" t="s">
        <v>3099</v>
      </c>
      <c r="AT240" t="s">
        <v>12926</v>
      </c>
      <c r="AU240">
        <v>2020</v>
      </c>
      <c r="AV240">
        <v>14</v>
      </c>
      <c r="AW240">
        <v>2</v>
      </c>
      <c r="AX240" t="s">
        <v>72</v>
      </c>
      <c r="AY240" t="s">
        <v>72</v>
      </c>
      <c r="AZ240" t="s">
        <v>72</v>
      </c>
      <c r="BA240" t="s">
        <v>72</v>
      </c>
      <c r="BB240">
        <v>83</v>
      </c>
      <c r="BC240">
        <v>104</v>
      </c>
      <c r="BD240" t="s">
        <v>72</v>
      </c>
      <c r="BE240" t="s">
        <v>14751</v>
      </c>
      <c r="BF240" t="str">
        <f>HYPERLINK("http://dx.doi.org/10.1080/19312458.2019.1671966","http://dx.doi.org/10.1080/19312458.2019.1671966")</f>
        <v>http://dx.doi.org/10.1080/19312458.2019.1671966</v>
      </c>
      <c r="BG240" t="s">
        <v>72</v>
      </c>
      <c r="BH240" t="s">
        <v>5224</v>
      </c>
      <c r="BI240">
        <v>22</v>
      </c>
      <c r="BJ240" t="s">
        <v>174</v>
      </c>
      <c r="BK240" t="s">
        <v>174</v>
      </c>
      <c r="BL240" t="s">
        <v>14752</v>
      </c>
      <c r="BM240" t="s">
        <v>72</v>
      </c>
      <c r="BN240" t="s">
        <v>346</v>
      </c>
      <c r="BO240" t="s">
        <v>72</v>
      </c>
      <c r="BP240" t="s">
        <v>72</v>
      </c>
      <c r="BQ240" t="s">
        <v>100</v>
      </c>
      <c r="BR240" t="s">
        <v>14753</v>
      </c>
      <c r="BS240" t="str">
        <f>HYPERLINK("https%3A%2F%2Fwww.webofscience.com%2Fwos%2Fwoscc%2Ffull-record%2FWOS:000490999500001","View Full Record in Web of Science")</f>
        <v>View Full Record in Web of Science</v>
      </c>
    </row>
    <row r="241" spans="1:71" hidden="1" x14ac:dyDescent="0.2">
      <c r="A241" t="s">
        <v>70</v>
      </c>
      <c r="B241" t="s">
        <v>14838</v>
      </c>
      <c r="C241" t="s">
        <v>72</v>
      </c>
      <c r="D241" t="s">
        <v>72</v>
      </c>
      <c r="E241" t="s">
        <v>72</v>
      </c>
      <c r="F241" t="s">
        <v>14839</v>
      </c>
      <c r="G241" t="s">
        <v>72</v>
      </c>
      <c r="H241" t="s">
        <v>72</v>
      </c>
      <c r="I241" t="s">
        <v>14840</v>
      </c>
      <c r="J241" t="s">
        <v>7834</v>
      </c>
      <c r="K241" t="s">
        <v>72</v>
      </c>
      <c r="L241" t="s">
        <v>72</v>
      </c>
      <c r="M241" t="s">
        <v>76</v>
      </c>
      <c r="N241" t="s">
        <v>352</v>
      </c>
      <c r="O241" t="s">
        <v>72</v>
      </c>
      <c r="P241" t="s">
        <v>72</v>
      </c>
      <c r="Q241" t="s">
        <v>72</v>
      </c>
      <c r="R241" t="s">
        <v>72</v>
      </c>
      <c r="S241" t="s">
        <v>72</v>
      </c>
      <c r="T241" t="s">
        <v>14841</v>
      </c>
      <c r="U241" t="s">
        <v>14842</v>
      </c>
      <c r="V241" t="s">
        <v>14843</v>
      </c>
      <c r="W241" t="s">
        <v>14844</v>
      </c>
      <c r="X241" t="s">
        <v>2622</v>
      </c>
      <c r="Y241" t="s">
        <v>14845</v>
      </c>
      <c r="Z241" t="s">
        <v>14846</v>
      </c>
      <c r="AA241" t="s">
        <v>3788</v>
      </c>
      <c r="AB241" t="s">
        <v>14847</v>
      </c>
      <c r="AC241" t="s">
        <v>14848</v>
      </c>
      <c r="AD241" t="s">
        <v>116</v>
      </c>
      <c r="AE241" t="s">
        <v>14849</v>
      </c>
      <c r="AF241" t="s">
        <v>72</v>
      </c>
      <c r="AG241">
        <v>31</v>
      </c>
      <c r="AH241">
        <v>0</v>
      </c>
      <c r="AI241">
        <v>0</v>
      </c>
      <c r="AJ241">
        <v>2</v>
      </c>
      <c r="AK241">
        <v>2</v>
      </c>
      <c r="AL241" t="s">
        <v>336</v>
      </c>
      <c r="AM241" t="s">
        <v>337</v>
      </c>
      <c r="AN241" t="s">
        <v>338</v>
      </c>
      <c r="AO241" t="s">
        <v>7846</v>
      </c>
      <c r="AP241" t="s">
        <v>7847</v>
      </c>
      <c r="AQ241" t="s">
        <v>72</v>
      </c>
      <c r="AR241" t="s">
        <v>7848</v>
      </c>
      <c r="AS241" t="s">
        <v>7849</v>
      </c>
      <c r="AT241" t="s">
        <v>72</v>
      </c>
      <c r="AU241" t="s">
        <v>72</v>
      </c>
      <c r="AV241" t="s">
        <v>72</v>
      </c>
      <c r="AW241" t="s">
        <v>72</v>
      </c>
      <c r="AX241" t="s">
        <v>72</v>
      </c>
      <c r="AY241" t="s">
        <v>72</v>
      </c>
      <c r="AZ241" t="s">
        <v>72</v>
      </c>
      <c r="BA241" t="s">
        <v>72</v>
      </c>
      <c r="BB241" t="s">
        <v>72</v>
      </c>
      <c r="BC241" t="s">
        <v>72</v>
      </c>
      <c r="BD241">
        <v>2673231221112006</v>
      </c>
      <c r="BE241" t="s">
        <v>14850</v>
      </c>
      <c r="BF241" t="str">
        <f>HYPERLINK("http://dx.doi.org/10.1177/02673231221112006","http://dx.doi.org/10.1177/02673231221112006")</f>
        <v>http://dx.doi.org/10.1177/02673231221112006</v>
      </c>
      <c r="BG241" t="s">
        <v>72</v>
      </c>
      <c r="BH241" t="s">
        <v>1072</v>
      </c>
      <c r="BI241">
        <v>14</v>
      </c>
      <c r="BJ241" t="s">
        <v>174</v>
      </c>
      <c r="BK241" t="s">
        <v>174</v>
      </c>
      <c r="BL241" t="s">
        <v>14851</v>
      </c>
      <c r="BM241" t="s">
        <v>72</v>
      </c>
      <c r="BN241" t="s">
        <v>280</v>
      </c>
      <c r="BO241" t="s">
        <v>72</v>
      </c>
      <c r="BP241" t="s">
        <v>72</v>
      </c>
      <c r="BQ241" t="s">
        <v>100</v>
      </c>
      <c r="BR241" t="s">
        <v>14852</v>
      </c>
      <c r="BS241" t="str">
        <f>HYPERLINK("https%3A%2F%2Fwww.webofscience.com%2Fwos%2Fwoscc%2Ffull-record%2FWOS:000834552300001","View Full Record in Web of Science")</f>
        <v>View Full Record in Web of Science</v>
      </c>
    </row>
    <row r="242" spans="1:71" hidden="1" x14ac:dyDescent="0.2">
      <c r="A242" t="s">
        <v>70</v>
      </c>
      <c r="B242" t="s">
        <v>15473</v>
      </c>
      <c r="C242" t="s">
        <v>72</v>
      </c>
      <c r="D242" t="s">
        <v>72</v>
      </c>
      <c r="E242" t="s">
        <v>72</v>
      </c>
      <c r="F242" t="s">
        <v>15474</v>
      </c>
      <c r="G242" t="s">
        <v>72</v>
      </c>
      <c r="H242" t="s">
        <v>72</v>
      </c>
      <c r="I242" t="s">
        <v>15475</v>
      </c>
      <c r="J242" t="s">
        <v>15476</v>
      </c>
      <c r="K242" t="s">
        <v>72</v>
      </c>
      <c r="L242" t="s">
        <v>72</v>
      </c>
      <c r="M242" t="s">
        <v>542</v>
      </c>
      <c r="N242" t="s">
        <v>77</v>
      </c>
      <c r="O242" t="s">
        <v>72</v>
      </c>
      <c r="P242" t="s">
        <v>72</v>
      </c>
      <c r="Q242" t="s">
        <v>72</v>
      </c>
      <c r="R242" t="s">
        <v>72</v>
      </c>
      <c r="S242" t="s">
        <v>72</v>
      </c>
      <c r="T242" t="s">
        <v>15477</v>
      </c>
      <c r="U242" t="s">
        <v>15478</v>
      </c>
      <c r="V242" t="s">
        <v>15479</v>
      </c>
      <c r="W242" t="s">
        <v>15480</v>
      </c>
      <c r="X242" t="s">
        <v>15481</v>
      </c>
      <c r="Y242" t="s">
        <v>15482</v>
      </c>
      <c r="Z242" t="s">
        <v>15483</v>
      </c>
      <c r="AA242" t="s">
        <v>72</v>
      </c>
      <c r="AB242" t="s">
        <v>72</v>
      </c>
      <c r="AC242" t="s">
        <v>72</v>
      </c>
      <c r="AD242" t="s">
        <v>72</v>
      </c>
      <c r="AE242" t="s">
        <v>72</v>
      </c>
      <c r="AF242" t="s">
        <v>72</v>
      </c>
      <c r="AG242">
        <v>62</v>
      </c>
      <c r="AH242">
        <v>0</v>
      </c>
      <c r="AI242">
        <v>0</v>
      </c>
      <c r="AJ242">
        <v>1</v>
      </c>
      <c r="AK242">
        <v>1</v>
      </c>
      <c r="AL242" t="s">
        <v>15484</v>
      </c>
      <c r="AM242" t="s">
        <v>15485</v>
      </c>
      <c r="AN242" t="s">
        <v>15486</v>
      </c>
      <c r="AO242" t="s">
        <v>72</v>
      </c>
      <c r="AP242" t="s">
        <v>15487</v>
      </c>
      <c r="AQ242" t="s">
        <v>72</v>
      </c>
      <c r="AR242" t="s">
        <v>15488</v>
      </c>
      <c r="AS242" t="s">
        <v>15489</v>
      </c>
      <c r="AT242" t="s">
        <v>72</v>
      </c>
      <c r="AU242">
        <v>2021</v>
      </c>
      <c r="AV242">
        <v>10</v>
      </c>
      <c r="AW242">
        <v>4</v>
      </c>
      <c r="AX242" t="s">
        <v>72</v>
      </c>
      <c r="AY242" t="s">
        <v>72</v>
      </c>
      <c r="AZ242" t="s">
        <v>72</v>
      </c>
      <c r="BA242" t="s">
        <v>72</v>
      </c>
      <c r="BB242">
        <v>590</v>
      </c>
      <c r="BC242">
        <v>627</v>
      </c>
      <c r="BD242" t="s">
        <v>72</v>
      </c>
      <c r="BE242" t="s">
        <v>15490</v>
      </c>
      <c r="BF242" t="str">
        <f>HYPERLINK("http://dx.doi.org/10.5771/2192-4007-2021-4-590","http://dx.doi.org/10.5771/2192-4007-2021-4-590")</f>
        <v>http://dx.doi.org/10.5771/2192-4007-2021-4-590</v>
      </c>
      <c r="BG242" t="s">
        <v>72</v>
      </c>
      <c r="BH242" t="s">
        <v>72</v>
      </c>
      <c r="BI242">
        <v>38</v>
      </c>
      <c r="BJ242" t="s">
        <v>174</v>
      </c>
      <c r="BK242" t="s">
        <v>174</v>
      </c>
      <c r="BL242" t="s">
        <v>15491</v>
      </c>
      <c r="BM242" t="s">
        <v>72</v>
      </c>
      <c r="BN242" t="s">
        <v>910</v>
      </c>
      <c r="BO242" t="s">
        <v>72</v>
      </c>
      <c r="BP242" t="s">
        <v>72</v>
      </c>
      <c r="BQ242" t="s">
        <v>100</v>
      </c>
      <c r="BR242" t="s">
        <v>15492</v>
      </c>
      <c r="BS242" t="str">
        <f>HYPERLINK("https%3A%2F%2Fwww.webofscience.com%2Fwos%2Fwoscc%2Ffull-record%2FWOS:000775887000005","View Full Record in Web of Science")</f>
        <v>View Full Record in Web of Science</v>
      </c>
    </row>
    <row r="243" spans="1:71" hidden="1" x14ac:dyDescent="0.2">
      <c r="A243" t="s">
        <v>70</v>
      </c>
      <c r="B243" t="s">
        <v>16124</v>
      </c>
      <c r="C243" t="s">
        <v>72</v>
      </c>
      <c r="D243" t="s">
        <v>72</v>
      </c>
      <c r="E243" t="s">
        <v>72</v>
      </c>
      <c r="F243" t="s">
        <v>16125</v>
      </c>
      <c r="G243" t="s">
        <v>72</v>
      </c>
      <c r="H243" t="s">
        <v>72</v>
      </c>
      <c r="I243" t="s">
        <v>16126</v>
      </c>
      <c r="J243" t="s">
        <v>3086</v>
      </c>
      <c r="K243" t="s">
        <v>72</v>
      </c>
      <c r="L243" t="s">
        <v>72</v>
      </c>
      <c r="M243" t="s">
        <v>76</v>
      </c>
      <c r="N243" t="s">
        <v>77</v>
      </c>
      <c r="O243" t="s">
        <v>72</v>
      </c>
      <c r="P243" t="s">
        <v>72</v>
      </c>
      <c r="Q243" t="s">
        <v>72</v>
      </c>
      <c r="R243" t="s">
        <v>72</v>
      </c>
      <c r="S243" t="s">
        <v>72</v>
      </c>
      <c r="T243" t="s">
        <v>72</v>
      </c>
      <c r="U243" t="s">
        <v>16127</v>
      </c>
      <c r="V243" t="s">
        <v>16128</v>
      </c>
      <c r="W243" t="s">
        <v>16129</v>
      </c>
      <c r="X243" t="s">
        <v>16130</v>
      </c>
      <c r="Y243" t="s">
        <v>16131</v>
      </c>
      <c r="Z243" t="s">
        <v>16132</v>
      </c>
      <c r="AA243" t="s">
        <v>16133</v>
      </c>
      <c r="AB243" t="s">
        <v>16134</v>
      </c>
      <c r="AC243" t="s">
        <v>16135</v>
      </c>
      <c r="AD243" t="s">
        <v>188</v>
      </c>
      <c r="AE243" t="s">
        <v>16136</v>
      </c>
      <c r="AF243" t="s">
        <v>72</v>
      </c>
      <c r="AG243">
        <v>36</v>
      </c>
      <c r="AH243">
        <v>4</v>
      </c>
      <c r="AI243">
        <v>4</v>
      </c>
      <c r="AJ243">
        <v>2</v>
      </c>
      <c r="AK243">
        <v>7</v>
      </c>
      <c r="AL243" t="s">
        <v>364</v>
      </c>
      <c r="AM243" t="s">
        <v>365</v>
      </c>
      <c r="AN243" t="s">
        <v>366</v>
      </c>
      <c r="AO243" t="s">
        <v>3096</v>
      </c>
      <c r="AP243" t="s">
        <v>3097</v>
      </c>
      <c r="AQ243" t="s">
        <v>72</v>
      </c>
      <c r="AR243" t="s">
        <v>3098</v>
      </c>
      <c r="AS243" t="s">
        <v>3099</v>
      </c>
      <c r="AT243" t="s">
        <v>1172</v>
      </c>
      <c r="AU243">
        <v>2022</v>
      </c>
      <c r="AV243">
        <v>16</v>
      </c>
      <c r="AW243">
        <v>1</v>
      </c>
      <c r="AX243" t="s">
        <v>72</v>
      </c>
      <c r="AY243" t="s">
        <v>72</v>
      </c>
      <c r="AZ243" t="s">
        <v>72</v>
      </c>
      <c r="BA243" t="s">
        <v>72</v>
      </c>
      <c r="BB243">
        <v>39</v>
      </c>
      <c r="BC243">
        <v>58</v>
      </c>
      <c r="BD243" t="s">
        <v>72</v>
      </c>
      <c r="BE243" t="s">
        <v>16137</v>
      </c>
      <c r="BF243" t="str">
        <f>HYPERLINK("http://dx.doi.org/10.1080/19312458.2021.1920008","http://dx.doi.org/10.1080/19312458.2021.1920008")</f>
        <v>http://dx.doi.org/10.1080/19312458.2021.1920008</v>
      </c>
      <c r="BG243" t="s">
        <v>72</v>
      </c>
      <c r="BH243" t="s">
        <v>3011</v>
      </c>
      <c r="BI243">
        <v>20</v>
      </c>
      <c r="BJ243" t="s">
        <v>174</v>
      </c>
      <c r="BK243" t="s">
        <v>174</v>
      </c>
      <c r="BL243" t="s">
        <v>16138</v>
      </c>
      <c r="BM243" t="s">
        <v>72</v>
      </c>
      <c r="BN243" t="s">
        <v>346</v>
      </c>
      <c r="BO243" t="s">
        <v>72</v>
      </c>
      <c r="BP243" t="s">
        <v>72</v>
      </c>
      <c r="BQ243" t="s">
        <v>100</v>
      </c>
      <c r="BR243" t="s">
        <v>16139</v>
      </c>
      <c r="BS243" t="str">
        <f>HYPERLINK("https%3A%2F%2Fwww.webofscience.com%2Fwos%2Fwoscc%2Ffull-record%2FWOS:000668381400001","View Full Record in Web of Science")</f>
        <v>View Full Record in Web of Science</v>
      </c>
    </row>
    <row r="244" spans="1:71" hidden="1" x14ac:dyDescent="0.2">
      <c r="A244" t="s">
        <v>70</v>
      </c>
      <c r="B244" t="s">
        <v>10501</v>
      </c>
      <c r="C244" t="s">
        <v>72</v>
      </c>
      <c r="D244" t="s">
        <v>72</v>
      </c>
      <c r="E244" t="s">
        <v>72</v>
      </c>
      <c r="F244" t="s">
        <v>10502</v>
      </c>
      <c r="G244" t="s">
        <v>72</v>
      </c>
      <c r="H244" t="s">
        <v>72</v>
      </c>
      <c r="I244" t="s">
        <v>10503</v>
      </c>
      <c r="J244" t="s">
        <v>10504</v>
      </c>
      <c r="K244" t="s">
        <v>72</v>
      </c>
      <c r="L244" t="s">
        <v>72</v>
      </c>
      <c r="M244" t="s">
        <v>5152</v>
      </c>
      <c r="N244" t="s">
        <v>77</v>
      </c>
      <c r="O244" t="s">
        <v>72</v>
      </c>
      <c r="P244" t="s">
        <v>72</v>
      </c>
      <c r="Q244" t="s">
        <v>72</v>
      </c>
      <c r="R244" t="s">
        <v>72</v>
      </c>
      <c r="S244" t="s">
        <v>72</v>
      </c>
      <c r="T244" t="s">
        <v>10505</v>
      </c>
      <c r="U244" t="s">
        <v>10506</v>
      </c>
      <c r="V244" t="s">
        <v>10507</v>
      </c>
      <c r="W244" t="s">
        <v>10508</v>
      </c>
      <c r="X244" t="s">
        <v>10509</v>
      </c>
      <c r="Y244" t="s">
        <v>10510</v>
      </c>
      <c r="Z244" t="s">
        <v>72</v>
      </c>
      <c r="AA244" t="s">
        <v>10511</v>
      </c>
      <c r="AB244" t="s">
        <v>10512</v>
      </c>
      <c r="AC244" t="s">
        <v>72</v>
      </c>
      <c r="AD244" t="s">
        <v>72</v>
      </c>
      <c r="AE244" t="s">
        <v>72</v>
      </c>
      <c r="AF244" t="s">
        <v>72</v>
      </c>
      <c r="AG244">
        <v>63</v>
      </c>
      <c r="AH244">
        <v>0</v>
      </c>
      <c r="AI244">
        <v>0</v>
      </c>
      <c r="AJ244">
        <v>5</v>
      </c>
      <c r="AK244">
        <v>6</v>
      </c>
      <c r="AL244" t="s">
        <v>10513</v>
      </c>
      <c r="AM244" t="s">
        <v>10514</v>
      </c>
      <c r="AN244" t="s">
        <v>10515</v>
      </c>
      <c r="AO244" t="s">
        <v>10516</v>
      </c>
      <c r="AP244" t="s">
        <v>10517</v>
      </c>
      <c r="AQ244" t="s">
        <v>72</v>
      </c>
      <c r="AR244" t="s">
        <v>10504</v>
      </c>
      <c r="AS244" t="s">
        <v>10518</v>
      </c>
      <c r="AT244" t="s">
        <v>776</v>
      </c>
      <c r="AU244">
        <v>2022</v>
      </c>
      <c r="AV244">
        <v>30</v>
      </c>
      <c r="AW244">
        <v>72</v>
      </c>
      <c r="AX244" t="s">
        <v>72</v>
      </c>
      <c r="AY244" t="s">
        <v>72</v>
      </c>
      <c r="AZ244" t="s">
        <v>72</v>
      </c>
      <c r="BA244" t="s">
        <v>72</v>
      </c>
      <c r="BB244" t="s">
        <v>72</v>
      </c>
      <c r="BC244" t="s">
        <v>72</v>
      </c>
      <c r="BD244" t="s">
        <v>72</v>
      </c>
      <c r="BE244" t="s">
        <v>10519</v>
      </c>
      <c r="BF244" t="str">
        <f>HYPERLINK("http://dx.doi.org/10.3916/C72-2022-03","http://dx.doi.org/10.3916/C72-2022-03")</f>
        <v>http://dx.doi.org/10.3916/C72-2022-03</v>
      </c>
      <c r="BG244" t="s">
        <v>72</v>
      </c>
      <c r="BH244" t="s">
        <v>72</v>
      </c>
      <c r="BI244">
        <v>14</v>
      </c>
      <c r="BJ244" t="s">
        <v>10520</v>
      </c>
      <c r="BK244" t="s">
        <v>10520</v>
      </c>
      <c r="BL244" t="s">
        <v>10521</v>
      </c>
      <c r="BM244" t="s">
        <v>72</v>
      </c>
      <c r="BN244" t="s">
        <v>1425</v>
      </c>
      <c r="BO244" t="s">
        <v>72</v>
      </c>
      <c r="BP244" t="s">
        <v>72</v>
      </c>
      <c r="BQ244" t="s">
        <v>100</v>
      </c>
      <c r="BR244" t="s">
        <v>10522</v>
      </c>
      <c r="BS244" t="str">
        <f>HYPERLINK("https%3A%2F%2Fwww.webofscience.com%2Fwos%2Fwoscc%2Ffull-record%2FWOS:000794053600003","View Full Record in Web of Science")</f>
        <v>View Full Record in Web of Science</v>
      </c>
    </row>
    <row r="245" spans="1:71" hidden="1" x14ac:dyDescent="0.2">
      <c r="A245" t="s">
        <v>70</v>
      </c>
      <c r="B245" t="s">
        <v>9284</v>
      </c>
      <c r="C245" t="s">
        <v>72</v>
      </c>
      <c r="D245" t="s">
        <v>72</v>
      </c>
      <c r="E245" t="s">
        <v>72</v>
      </c>
      <c r="F245" t="s">
        <v>9285</v>
      </c>
      <c r="G245" t="s">
        <v>72</v>
      </c>
      <c r="H245" t="s">
        <v>72</v>
      </c>
      <c r="I245" t="s">
        <v>9286</v>
      </c>
      <c r="J245" t="s">
        <v>9287</v>
      </c>
      <c r="K245" t="s">
        <v>72</v>
      </c>
      <c r="L245" t="s">
        <v>72</v>
      </c>
      <c r="M245" t="s">
        <v>76</v>
      </c>
      <c r="N245" t="s">
        <v>77</v>
      </c>
      <c r="O245" t="s">
        <v>72</v>
      </c>
      <c r="P245" t="s">
        <v>72</v>
      </c>
      <c r="Q245" t="s">
        <v>72</v>
      </c>
      <c r="R245" t="s">
        <v>72</v>
      </c>
      <c r="S245" t="s">
        <v>72</v>
      </c>
      <c r="T245" t="s">
        <v>9288</v>
      </c>
      <c r="U245" t="s">
        <v>9289</v>
      </c>
      <c r="V245" t="s">
        <v>9290</v>
      </c>
      <c r="W245" t="s">
        <v>9291</v>
      </c>
      <c r="X245" t="s">
        <v>9292</v>
      </c>
      <c r="Y245" t="s">
        <v>9293</v>
      </c>
      <c r="Z245" t="s">
        <v>9294</v>
      </c>
      <c r="AA245" t="s">
        <v>72</v>
      </c>
      <c r="AB245" t="s">
        <v>9295</v>
      </c>
      <c r="AC245" t="s">
        <v>9296</v>
      </c>
      <c r="AD245" t="s">
        <v>9297</v>
      </c>
      <c r="AE245" t="s">
        <v>9298</v>
      </c>
      <c r="AF245" t="s">
        <v>72</v>
      </c>
      <c r="AG245">
        <v>70</v>
      </c>
      <c r="AH245">
        <v>3</v>
      </c>
      <c r="AI245">
        <v>3</v>
      </c>
      <c r="AJ245">
        <v>0</v>
      </c>
      <c r="AK245">
        <v>4</v>
      </c>
      <c r="AL245" t="s">
        <v>364</v>
      </c>
      <c r="AM245" t="s">
        <v>365</v>
      </c>
      <c r="AN245" t="s">
        <v>366</v>
      </c>
      <c r="AO245" t="s">
        <v>9299</v>
      </c>
      <c r="AP245" t="s">
        <v>9300</v>
      </c>
      <c r="AQ245" t="s">
        <v>72</v>
      </c>
      <c r="AR245" t="s">
        <v>9301</v>
      </c>
      <c r="AS245" t="s">
        <v>9302</v>
      </c>
      <c r="AT245" t="s">
        <v>7049</v>
      </c>
      <c r="AU245">
        <v>2021</v>
      </c>
      <c r="AV245">
        <v>15</v>
      </c>
      <c r="AW245">
        <v>2</v>
      </c>
      <c r="AX245" t="s">
        <v>72</v>
      </c>
      <c r="AY245" t="s">
        <v>72</v>
      </c>
      <c r="AZ245" t="s">
        <v>72</v>
      </c>
      <c r="BA245" t="s">
        <v>72</v>
      </c>
      <c r="BB245">
        <v>173</v>
      </c>
      <c r="BC245">
        <v>188</v>
      </c>
      <c r="BD245" t="s">
        <v>72</v>
      </c>
      <c r="BE245" t="s">
        <v>9303</v>
      </c>
      <c r="BF245" t="str">
        <f>HYPERLINK("http://dx.doi.org/10.1080/17524032.2020.1812685","http://dx.doi.org/10.1080/17524032.2020.1812685")</f>
        <v>http://dx.doi.org/10.1080/17524032.2020.1812685</v>
      </c>
      <c r="BG245" t="s">
        <v>72</v>
      </c>
      <c r="BH245" t="s">
        <v>2703</v>
      </c>
      <c r="BI245">
        <v>16</v>
      </c>
      <c r="BJ245" t="s">
        <v>9304</v>
      </c>
      <c r="BK245" t="s">
        <v>9305</v>
      </c>
      <c r="BL245" t="s">
        <v>9306</v>
      </c>
      <c r="BM245" t="s">
        <v>72</v>
      </c>
      <c r="BN245" t="s">
        <v>1128</v>
      </c>
      <c r="BO245" t="s">
        <v>72</v>
      </c>
      <c r="BP245" t="s">
        <v>72</v>
      </c>
      <c r="BQ245" t="s">
        <v>100</v>
      </c>
      <c r="BR245" t="s">
        <v>9307</v>
      </c>
      <c r="BS245" t="str">
        <f>HYPERLINK("https%3A%2F%2Fwww.webofscience.com%2Fwos%2Fwoscc%2Ffull-record%2FWOS:000568897100001","View Full Record in Web of Science")</f>
        <v>View Full Record in Web of Science</v>
      </c>
    </row>
    <row r="246" spans="1:71" hidden="1" x14ac:dyDescent="0.2">
      <c r="A246" t="s">
        <v>70</v>
      </c>
      <c r="B246" t="s">
        <v>12389</v>
      </c>
      <c r="C246" t="s">
        <v>72</v>
      </c>
      <c r="D246" t="s">
        <v>72</v>
      </c>
      <c r="E246" t="s">
        <v>72</v>
      </c>
      <c r="F246" t="s">
        <v>12390</v>
      </c>
      <c r="G246" t="s">
        <v>72</v>
      </c>
      <c r="H246" t="s">
        <v>72</v>
      </c>
      <c r="I246" t="s">
        <v>12391</v>
      </c>
      <c r="J246" t="s">
        <v>9287</v>
      </c>
      <c r="K246" t="s">
        <v>72</v>
      </c>
      <c r="L246" t="s">
        <v>72</v>
      </c>
      <c r="M246" t="s">
        <v>76</v>
      </c>
      <c r="N246" t="s">
        <v>77</v>
      </c>
      <c r="O246" t="s">
        <v>72</v>
      </c>
      <c r="P246" t="s">
        <v>72</v>
      </c>
      <c r="Q246" t="s">
        <v>72</v>
      </c>
      <c r="R246" t="s">
        <v>72</v>
      </c>
      <c r="S246" t="s">
        <v>72</v>
      </c>
      <c r="T246" t="s">
        <v>12392</v>
      </c>
      <c r="U246" t="s">
        <v>12393</v>
      </c>
      <c r="V246" t="s">
        <v>12394</v>
      </c>
      <c r="W246" t="s">
        <v>12395</v>
      </c>
      <c r="X246" t="s">
        <v>12396</v>
      </c>
      <c r="Y246" t="s">
        <v>12397</v>
      </c>
      <c r="Z246" t="s">
        <v>12398</v>
      </c>
      <c r="AA246" t="s">
        <v>12399</v>
      </c>
      <c r="AB246" t="s">
        <v>12400</v>
      </c>
      <c r="AC246" t="s">
        <v>72</v>
      </c>
      <c r="AD246" t="s">
        <v>72</v>
      </c>
      <c r="AE246" t="s">
        <v>72</v>
      </c>
      <c r="AF246" t="s">
        <v>72</v>
      </c>
      <c r="AG246">
        <v>73</v>
      </c>
      <c r="AH246">
        <v>24</v>
      </c>
      <c r="AI246">
        <v>24</v>
      </c>
      <c r="AJ246">
        <v>16</v>
      </c>
      <c r="AK246">
        <v>52</v>
      </c>
      <c r="AL246" t="s">
        <v>364</v>
      </c>
      <c r="AM246" t="s">
        <v>365</v>
      </c>
      <c r="AN246" t="s">
        <v>366</v>
      </c>
      <c r="AO246" t="s">
        <v>9299</v>
      </c>
      <c r="AP246" t="s">
        <v>9300</v>
      </c>
      <c r="AQ246" t="s">
        <v>72</v>
      </c>
      <c r="AR246" t="s">
        <v>9301</v>
      </c>
      <c r="AS246" t="s">
        <v>9302</v>
      </c>
      <c r="AT246" t="s">
        <v>7049</v>
      </c>
      <c r="AU246">
        <v>2020</v>
      </c>
      <c r="AV246">
        <v>14</v>
      </c>
      <c r="AW246">
        <v>2</v>
      </c>
      <c r="AX246" t="s">
        <v>72</v>
      </c>
      <c r="AY246" t="s">
        <v>72</v>
      </c>
      <c r="AZ246" t="s">
        <v>72</v>
      </c>
      <c r="BA246" t="s">
        <v>72</v>
      </c>
      <c r="BB246">
        <v>219</v>
      </c>
      <c r="BC246">
        <v>235</v>
      </c>
      <c r="BD246" t="s">
        <v>72</v>
      </c>
      <c r="BE246" t="s">
        <v>12401</v>
      </c>
      <c r="BF246" t="str">
        <f>HYPERLINK("http://dx.doi.org/10.1080/17524032.2019.1643383","http://dx.doi.org/10.1080/17524032.2019.1643383")</f>
        <v>http://dx.doi.org/10.1080/17524032.2019.1643383</v>
      </c>
      <c r="BG246" t="s">
        <v>72</v>
      </c>
      <c r="BH246" t="s">
        <v>10647</v>
      </c>
      <c r="BI246">
        <v>17</v>
      </c>
      <c r="BJ246" t="s">
        <v>9304</v>
      </c>
      <c r="BK246" t="s">
        <v>9305</v>
      </c>
      <c r="BL246" t="s">
        <v>12402</v>
      </c>
      <c r="BM246" t="s">
        <v>72</v>
      </c>
      <c r="BN246" t="s">
        <v>8787</v>
      </c>
      <c r="BO246" t="s">
        <v>72</v>
      </c>
      <c r="BP246" t="s">
        <v>72</v>
      </c>
      <c r="BQ246" t="s">
        <v>100</v>
      </c>
      <c r="BR246" t="s">
        <v>12403</v>
      </c>
      <c r="BS246" t="str">
        <f>HYPERLINK("https%3A%2F%2Fwww.webofscience.com%2Fwos%2Fwoscc%2Ffull-record%2FWOS:000481586600001","View Full Record in Web of Science")</f>
        <v>View Full Record in Web of Science</v>
      </c>
    </row>
    <row r="247" spans="1:71" x14ac:dyDescent="0.2">
      <c r="A247" t="s">
        <v>70</v>
      </c>
      <c r="B247" t="s">
        <v>253</v>
      </c>
      <c r="C247" t="s">
        <v>72</v>
      </c>
      <c r="D247" t="s">
        <v>72</v>
      </c>
      <c r="E247" t="s">
        <v>72</v>
      </c>
      <c r="F247" t="s">
        <v>254</v>
      </c>
      <c r="G247" t="s">
        <v>72</v>
      </c>
      <c r="H247" t="s">
        <v>72</v>
      </c>
      <c r="I247" t="s">
        <v>255</v>
      </c>
      <c r="J247" t="s">
        <v>256</v>
      </c>
      <c r="K247" t="s">
        <v>72</v>
      </c>
      <c r="L247" t="s">
        <v>72</v>
      </c>
      <c r="M247" t="s">
        <v>76</v>
      </c>
      <c r="N247" t="s">
        <v>77</v>
      </c>
      <c r="O247" t="s">
        <v>72</v>
      </c>
      <c r="P247" t="s">
        <v>72</v>
      </c>
      <c r="Q247" t="s">
        <v>72</v>
      </c>
      <c r="R247" t="s">
        <v>72</v>
      </c>
      <c r="S247" t="s">
        <v>72</v>
      </c>
      <c r="T247" t="s">
        <v>257</v>
      </c>
      <c r="U247" t="s">
        <v>258</v>
      </c>
      <c r="V247" t="s">
        <v>259</v>
      </c>
      <c r="W247" t="s">
        <v>260</v>
      </c>
      <c r="X247" t="s">
        <v>261</v>
      </c>
      <c r="Y247" t="s">
        <v>262</v>
      </c>
      <c r="Z247" t="s">
        <v>263</v>
      </c>
      <c r="AA247" t="s">
        <v>264</v>
      </c>
      <c r="AB247" t="s">
        <v>265</v>
      </c>
      <c r="AC247" t="s">
        <v>266</v>
      </c>
      <c r="AD247" t="s">
        <v>267</v>
      </c>
      <c r="AE247" t="s">
        <v>268</v>
      </c>
      <c r="AF247" t="s">
        <v>72</v>
      </c>
      <c r="AG247">
        <v>39</v>
      </c>
      <c r="AH247">
        <v>16</v>
      </c>
      <c r="AI247">
        <v>16</v>
      </c>
      <c r="AJ247">
        <v>2</v>
      </c>
      <c r="AK247">
        <v>9</v>
      </c>
      <c r="AL247" t="s">
        <v>269</v>
      </c>
      <c r="AM247" t="s">
        <v>270</v>
      </c>
      <c r="AN247" t="s">
        <v>271</v>
      </c>
      <c r="AO247" t="s">
        <v>272</v>
      </c>
      <c r="AP247" t="s">
        <v>273</v>
      </c>
      <c r="AQ247" t="s">
        <v>72</v>
      </c>
      <c r="AR247" t="s">
        <v>274</v>
      </c>
      <c r="AS247" t="s">
        <v>275</v>
      </c>
      <c r="AT247" t="s">
        <v>276</v>
      </c>
      <c r="AU247">
        <v>2020</v>
      </c>
      <c r="AV247">
        <v>37</v>
      </c>
      <c r="AW247">
        <v>4</v>
      </c>
      <c r="AX247" t="s">
        <v>72</v>
      </c>
      <c r="AY247" t="s">
        <v>72</v>
      </c>
      <c r="AZ247" t="s">
        <v>72</v>
      </c>
      <c r="BA247" t="s">
        <v>72</v>
      </c>
      <c r="BB247">
        <v>550</v>
      </c>
      <c r="BC247">
        <v>572</v>
      </c>
      <c r="BD247" t="s">
        <v>72</v>
      </c>
      <c r="BE247" t="s">
        <v>277</v>
      </c>
      <c r="BF247" t="str">
        <f>HYPERLINK("http://dx.doi.org/10.1080/10584609.2020.1723752","http://dx.doi.org/10.1080/10584609.2020.1723752")</f>
        <v>http://dx.doi.org/10.1080/10584609.2020.1723752</v>
      </c>
      <c r="BG247" t="s">
        <v>72</v>
      </c>
      <c r="BH247" t="s">
        <v>199</v>
      </c>
      <c r="BI247">
        <v>23</v>
      </c>
      <c r="BJ247" t="s">
        <v>278</v>
      </c>
      <c r="BK247" s="1" t="s">
        <v>17619</v>
      </c>
      <c r="BL247" t="s">
        <v>279</v>
      </c>
      <c r="BM247" t="s">
        <v>72</v>
      </c>
      <c r="BN247" t="s">
        <v>280</v>
      </c>
      <c r="BO247" t="s">
        <v>72</v>
      </c>
      <c r="BP247" t="s">
        <v>72</v>
      </c>
      <c r="BQ247" t="s">
        <v>100</v>
      </c>
      <c r="BR247" t="s">
        <v>281</v>
      </c>
      <c r="BS247" t="str">
        <f>HYPERLINK("https%3A%2F%2Fwww.webofscience.com%2Fwos%2Fwoscc%2Ffull-record%2FWOS:000518721300001","View Full Record in Web of Science")</f>
        <v>View Full Record in Web of Science</v>
      </c>
    </row>
    <row r="248" spans="1:71" x14ac:dyDescent="0.2">
      <c r="A248" t="s">
        <v>70</v>
      </c>
      <c r="B248" t="s">
        <v>1019</v>
      </c>
      <c r="C248" t="s">
        <v>72</v>
      </c>
      <c r="D248" t="s">
        <v>72</v>
      </c>
      <c r="E248" t="s">
        <v>72</v>
      </c>
      <c r="F248" t="s">
        <v>1020</v>
      </c>
      <c r="G248" t="s">
        <v>72</v>
      </c>
      <c r="H248" t="s">
        <v>72</v>
      </c>
      <c r="I248" t="s">
        <v>1021</v>
      </c>
      <c r="J248" t="s">
        <v>1022</v>
      </c>
      <c r="K248" t="s">
        <v>72</v>
      </c>
      <c r="L248" t="s">
        <v>72</v>
      </c>
      <c r="M248" t="s">
        <v>76</v>
      </c>
      <c r="N248" t="s">
        <v>77</v>
      </c>
      <c r="O248" t="s">
        <v>72</v>
      </c>
      <c r="P248" t="s">
        <v>72</v>
      </c>
      <c r="Q248" t="s">
        <v>72</v>
      </c>
      <c r="R248" t="s">
        <v>72</v>
      </c>
      <c r="S248" t="s">
        <v>72</v>
      </c>
      <c r="T248" t="s">
        <v>1023</v>
      </c>
      <c r="U248" t="s">
        <v>1024</v>
      </c>
      <c r="V248" t="s">
        <v>1025</v>
      </c>
      <c r="W248" t="s">
        <v>1026</v>
      </c>
      <c r="X248" t="s">
        <v>1027</v>
      </c>
      <c r="Y248" t="s">
        <v>1028</v>
      </c>
      <c r="Z248" t="s">
        <v>1029</v>
      </c>
      <c r="AA248" t="s">
        <v>72</v>
      </c>
      <c r="AB248" t="s">
        <v>1030</v>
      </c>
      <c r="AC248" t="s">
        <v>72</v>
      </c>
      <c r="AD248" t="s">
        <v>72</v>
      </c>
      <c r="AE248" t="s">
        <v>72</v>
      </c>
      <c r="AF248" t="s">
        <v>72</v>
      </c>
      <c r="AG248">
        <v>92</v>
      </c>
      <c r="AH248">
        <v>13</v>
      </c>
      <c r="AI248">
        <v>13</v>
      </c>
      <c r="AJ248">
        <v>4</v>
      </c>
      <c r="AK248">
        <v>44</v>
      </c>
      <c r="AL248" t="s">
        <v>190</v>
      </c>
      <c r="AM248" t="s">
        <v>191</v>
      </c>
      <c r="AN248" t="s">
        <v>192</v>
      </c>
      <c r="AO248" t="s">
        <v>1031</v>
      </c>
      <c r="AP248" t="s">
        <v>1032</v>
      </c>
      <c r="AQ248" t="s">
        <v>72</v>
      </c>
      <c r="AR248" t="s">
        <v>1033</v>
      </c>
      <c r="AS248" t="s">
        <v>1034</v>
      </c>
      <c r="AT248" t="s">
        <v>149</v>
      </c>
      <c r="AU248">
        <v>2019</v>
      </c>
      <c r="AV248">
        <v>24</v>
      </c>
      <c r="AW248">
        <v>2</v>
      </c>
      <c r="AX248" t="s">
        <v>72</v>
      </c>
      <c r="AY248" t="s">
        <v>72</v>
      </c>
      <c r="AZ248" t="s">
        <v>72</v>
      </c>
      <c r="BA248" t="s">
        <v>72</v>
      </c>
      <c r="BB248">
        <v>210</v>
      </c>
      <c r="BC248">
        <v>232</v>
      </c>
      <c r="BD248" t="s">
        <v>72</v>
      </c>
      <c r="BE248" t="s">
        <v>1035</v>
      </c>
      <c r="BF248" t="str">
        <f>HYPERLINK("http://dx.doi.org/10.1177/1940161218821509","http://dx.doi.org/10.1177/1940161218821509")</f>
        <v>http://dx.doi.org/10.1177/1940161218821509</v>
      </c>
      <c r="BG248" t="s">
        <v>72</v>
      </c>
      <c r="BH248" t="s">
        <v>72</v>
      </c>
      <c r="BI248">
        <v>23</v>
      </c>
      <c r="BJ248" t="s">
        <v>278</v>
      </c>
      <c r="BK248" s="1" t="s">
        <v>17619</v>
      </c>
      <c r="BL248" t="s">
        <v>1036</v>
      </c>
      <c r="BM248" t="s">
        <v>72</v>
      </c>
      <c r="BN248" t="s">
        <v>72</v>
      </c>
      <c r="BO248" t="s">
        <v>72</v>
      </c>
      <c r="BP248" t="s">
        <v>72</v>
      </c>
      <c r="BQ248" t="s">
        <v>100</v>
      </c>
      <c r="BR248" t="s">
        <v>1037</v>
      </c>
      <c r="BS248" t="str">
        <f>HYPERLINK("https%3A%2F%2Fwww.webofscience.com%2Fwos%2Fwoscc%2Ffull-record%2FWOS:000461677200005","View Full Record in Web of Science")</f>
        <v>View Full Record in Web of Science</v>
      </c>
    </row>
    <row r="249" spans="1:71" x14ac:dyDescent="0.2">
      <c r="A249" t="s">
        <v>70</v>
      </c>
      <c r="B249" t="s">
        <v>1818</v>
      </c>
      <c r="C249" t="s">
        <v>72</v>
      </c>
      <c r="D249" t="s">
        <v>72</v>
      </c>
      <c r="E249" t="s">
        <v>72</v>
      </c>
      <c r="F249" t="s">
        <v>1819</v>
      </c>
      <c r="G249" t="s">
        <v>72</v>
      </c>
      <c r="H249" t="s">
        <v>72</v>
      </c>
      <c r="I249" t="s">
        <v>1820</v>
      </c>
      <c r="J249" t="s">
        <v>256</v>
      </c>
      <c r="K249" t="s">
        <v>72</v>
      </c>
      <c r="L249" t="s">
        <v>72</v>
      </c>
      <c r="M249" t="s">
        <v>76</v>
      </c>
      <c r="N249" t="s">
        <v>77</v>
      </c>
      <c r="O249" t="s">
        <v>72</v>
      </c>
      <c r="P249" t="s">
        <v>72</v>
      </c>
      <c r="Q249" t="s">
        <v>72</v>
      </c>
      <c r="R249" t="s">
        <v>72</v>
      </c>
      <c r="S249" t="s">
        <v>72</v>
      </c>
      <c r="T249" t="s">
        <v>1821</v>
      </c>
      <c r="U249" t="s">
        <v>1822</v>
      </c>
      <c r="V249" t="s">
        <v>1823</v>
      </c>
      <c r="W249" t="s">
        <v>1824</v>
      </c>
      <c r="X249" t="s">
        <v>1825</v>
      </c>
      <c r="Y249" t="s">
        <v>1826</v>
      </c>
      <c r="Z249" t="s">
        <v>1827</v>
      </c>
      <c r="AA249" t="s">
        <v>1828</v>
      </c>
      <c r="AB249" t="s">
        <v>1829</v>
      </c>
      <c r="AC249" t="s">
        <v>72</v>
      </c>
      <c r="AD249" t="s">
        <v>72</v>
      </c>
      <c r="AE249" t="s">
        <v>72</v>
      </c>
      <c r="AF249" t="s">
        <v>72</v>
      </c>
      <c r="AG249">
        <v>80</v>
      </c>
      <c r="AH249">
        <v>2</v>
      </c>
      <c r="AI249">
        <v>2</v>
      </c>
      <c r="AJ249">
        <v>7</v>
      </c>
      <c r="AK249">
        <v>16</v>
      </c>
      <c r="AL249" t="s">
        <v>269</v>
      </c>
      <c r="AM249" t="s">
        <v>270</v>
      </c>
      <c r="AN249" t="s">
        <v>271</v>
      </c>
      <c r="AO249" t="s">
        <v>272</v>
      </c>
      <c r="AP249" t="s">
        <v>273</v>
      </c>
      <c r="AQ249" t="s">
        <v>72</v>
      </c>
      <c r="AR249" t="s">
        <v>274</v>
      </c>
      <c r="AS249" t="s">
        <v>275</v>
      </c>
      <c r="AT249" t="s">
        <v>1830</v>
      </c>
      <c r="AU249">
        <v>2022</v>
      </c>
      <c r="AV249">
        <v>39</v>
      </c>
      <c r="AW249">
        <v>3</v>
      </c>
      <c r="AX249" t="s">
        <v>72</v>
      </c>
      <c r="AY249" t="s">
        <v>72</v>
      </c>
      <c r="AZ249" t="s">
        <v>72</v>
      </c>
      <c r="BA249" t="s">
        <v>72</v>
      </c>
      <c r="BB249">
        <v>383</v>
      </c>
      <c r="BC249">
        <v>404</v>
      </c>
      <c r="BD249" t="s">
        <v>72</v>
      </c>
      <c r="BE249" t="s">
        <v>1831</v>
      </c>
      <c r="BF249" t="str">
        <f>HYPERLINK("http://dx.doi.org/10.1080/10584609.2022.2025505","http://dx.doi.org/10.1080/10584609.2022.2025505")</f>
        <v>http://dx.doi.org/10.1080/10584609.2022.2025505</v>
      </c>
      <c r="BG249" t="s">
        <v>72</v>
      </c>
      <c r="BH249" t="s">
        <v>1832</v>
      </c>
      <c r="BI249">
        <v>22</v>
      </c>
      <c r="BJ249" t="s">
        <v>278</v>
      </c>
      <c r="BK249" s="1" t="s">
        <v>17619</v>
      </c>
      <c r="BL249" t="s">
        <v>1833</v>
      </c>
      <c r="BM249" t="s">
        <v>72</v>
      </c>
      <c r="BN249" t="s">
        <v>72</v>
      </c>
      <c r="BO249" t="s">
        <v>72</v>
      </c>
      <c r="BP249" t="s">
        <v>72</v>
      </c>
      <c r="BQ249" t="s">
        <v>100</v>
      </c>
      <c r="BR249" t="s">
        <v>1834</v>
      </c>
      <c r="BS249" t="str">
        <f>HYPERLINK("https%3A%2F%2Fwww.webofscience.com%2Fwos%2Fwoscc%2Ffull-record%2FWOS:000744295600001","View Full Record in Web of Science")</f>
        <v>View Full Record in Web of Science</v>
      </c>
    </row>
    <row r="250" spans="1:71" x14ac:dyDescent="0.2">
      <c r="A250" t="s">
        <v>70</v>
      </c>
      <c r="B250" t="s">
        <v>2263</v>
      </c>
      <c r="C250" t="s">
        <v>72</v>
      </c>
      <c r="D250" t="s">
        <v>72</v>
      </c>
      <c r="E250" t="s">
        <v>72</v>
      </c>
      <c r="F250" t="s">
        <v>2264</v>
      </c>
      <c r="G250" t="s">
        <v>72</v>
      </c>
      <c r="H250" t="s">
        <v>72</v>
      </c>
      <c r="I250" t="s">
        <v>2265</v>
      </c>
      <c r="J250" t="s">
        <v>2266</v>
      </c>
      <c r="K250" t="s">
        <v>72</v>
      </c>
      <c r="L250" t="s">
        <v>72</v>
      </c>
      <c r="M250" t="s">
        <v>76</v>
      </c>
      <c r="N250" t="s">
        <v>77</v>
      </c>
      <c r="O250" t="s">
        <v>72</v>
      </c>
      <c r="P250" t="s">
        <v>72</v>
      </c>
      <c r="Q250" t="s">
        <v>72</v>
      </c>
      <c r="R250" t="s">
        <v>72</v>
      </c>
      <c r="S250" t="s">
        <v>72</v>
      </c>
      <c r="T250" t="s">
        <v>2267</v>
      </c>
      <c r="U250" t="s">
        <v>2268</v>
      </c>
      <c r="V250" t="s">
        <v>2269</v>
      </c>
      <c r="W250" t="s">
        <v>2270</v>
      </c>
      <c r="X250" t="s">
        <v>2271</v>
      </c>
      <c r="Y250" t="s">
        <v>2272</v>
      </c>
      <c r="Z250" t="s">
        <v>2273</v>
      </c>
      <c r="AA250" t="s">
        <v>2274</v>
      </c>
      <c r="AB250" t="s">
        <v>2275</v>
      </c>
      <c r="AC250" t="s">
        <v>72</v>
      </c>
      <c r="AD250" t="s">
        <v>72</v>
      </c>
      <c r="AE250" t="s">
        <v>72</v>
      </c>
      <c r="AF250" t="s">
        <v>72</v>
      </c>
      <c r="AG250">
        <v>80</v>
      </c>
      <c r="AH250">
        <v>31</v>
      </c>
      <c r="AI250">
        <v>31</v>
      </c>
      <c r="AJ250">
        <v>3</v>
      </c>
      <c r="AK250">
        <v>14</v>
      </c>
      <c r="AL250" t="s">
        <v>364</v>
      </c>
      <c r="AM250" t="s">
        <v>365</v>
      </c>
      <c r="AN250" t="s">
        <v>366</v>
      </c>
      <c r="AO250" t="s">
        <v>2276</v>
      </c>
      <c r="AP250" t="s">
        <v>2277</v>
      </c>
      <c r="AQ250" t="s">
        <v>72</v>
      </c>
      <c r="AR250" t="s">
        <v>2278</v>
      </c>
      <c r="AS250" t="s">
        <v>2279</v>
      </c>
      <c r="AT250" t="s">
        <v>1172</v>
      </c>
      <c r="AU250">
        <v>2020</v>
      </c>
      <c r="AV250">
        <v>17</v>
      </c>
      <c r="AW250">
        <v>1</v>
      </c>
      <c r="AX250" t="s">
        <v>72</v>
      </c>
      <c r="AY250" t="s">
        <v>72</v>
      </c>
      <c r="AZ250" t="s">
        <v>72</v>
      </c>
      <c r="BA250" t="s">
        <v>72</v>
      </c>
      <c r="BB250">
        <v>48</v>
      </c>
      <c r="BC250">
        <v>65</v>
      </c>
      <c r="BD250" t="s">
        <v>72</v>
      </c>
      <c r="BE250" t="s">
        <v>2280</v>
      </c>
      <c r="BF250" t="str">
        <f>HYPERLINK("http://dx.doi.org/10.1080/19331681.2019.1710318","http://dx.doi.org/10.1080/19331681.2019.1710318")</f>
        <v>http://dx.doi.org/10.1080/19331681.2019.1710318</v>
      </c>
      <c r="BG250" t="s">
        <v>72</v>
      </c>
      <c r="BH250" t="s">
        <v>2281</v>
      </c>
      <c r="BI250">
        <v>18</v>
      </c>
      <c r="BJ250" t="s">
        <v>278</v>
      </c>
      <c r="BK250" s="1" t="s">
        <v>17619</v>
      </c>
      <c r="BL250" t="s">
        <v>2282</v>
      </c>
      <c r="BM250" t="s">
        <v>72</v>
      </c>
      <c r="BN250" t="s">
        <v>280</v>
      </c>
      <c r="BO250" t="s">
        <v>72</v>
      </c>
      <c r="BP250" t="s">
        <v>72</v>
      </c>
      <c r="BQ250" t="s">
        <v>100</v>
      </c>
      <c r="BR250" t="s">
        <v>2283</v>
      </c>
      <c r="BS250" t="str">
        <f>HYPERLINK("https%3A%2F%2Fwww.webofscience.com%2Fwos%2Fwoscc%2Ffull-record%2FWOS:000505210700001","View Full Record in Web of Science")</f>
        <v>View Full Record in Web of Science</v>
      </c>
    </row>
    <row r="251" spans="1:71" x14ac:dyDescent="0.2">
      <c r="A251" t="s">
        <v>70</v>
      </c>
      <c r="B251" t="s">
        <v>2744</v>
      </c>
      <c r="C251" t="s">
        <v>72</v>
      </c>
      <c r="D251" t="s">
        <v>72</v>
      </c>
      <c r="E251" t="s">
        <v>72</v>
      </c>
      <c r="F251" t="s">
        <v>2745</v>
      </c>
      <c r="G251" t="s">
        <v>72</v>
      </c>
      <c r="H251" t="s">
        <v>72</v>
      </c>
      <c r="I251" t="s">
        <v>2746</v>
      </c>
      <c r="J251" t="s">
        <v>256</v>
      </c>
      <c r="K251" t="s">
        <v>72</v>
      </c>
      <c r="L251" t="s">
        <v>72</v>
      </c>
      <c r="M251" t="s">
        <v>76</v>
      </c>
      <c r="N251" t="s">
        <v>77</v>
      </c>
      <c r="O251" t="s">
        <v>72</v>
      </c>
      <c r="P251" t="s">
        <v>72</v>
      </c>
      <c r="Q251" t="s">
        <v>72</v>
      </c>
      <c r="R251" t="s">
        <v>72</v>
      </c>
      <c r="S251" t="s">
        <v>72</v>
      </c>
      <c r="T251" t="s">
        <v>2747</v>
      </c>
      <c r="U251" t="s">
        <v>2748</v>
      </c>
      <c r="V251" t="s">
        <v>2749</v>
      </c>
      <c r="W251" t="s">
        <v>2750</v>
      </c>
      <c r="X251" t="s">
        <v>2751</v>
      </c>
      <c r="Y251" t="s">
        <v>2752</v>
      </c>
      <c r="Z251" t="s">
        <v>2753</v>
      </c>
      <c r="AA251" t="s">
        <v>2754</v>
      </c>
      <c r="AB251" t="s">
        <v>2755</v>
      </c>
      <c r="AC251" t="s">
        <v>72</v>
      </c>
      <c r="AD251" t="s">
        <v>72</v>
      </c>
      <c r="AE251" t="s">
        <v>72</v>
      </c>
      <c r="AF251" t="s">
        <v>72</v>
      </c>
      <c r="AG251">
        <v>37</v>
      </c>
      <c r="AH251">
        <v>2</v>
      </c>
      <c r="AI251">
        <v>2</v>
      </c>
      <c r="AJ251">
        <v>3</v>
      </c>
      <c r="AK251">
        <v>12</v>
      </c>
      <c r="AL251" t="s">
        <v>269</v>
      </c>
      <c r="AM251" t="s">
        <v>270</v>
      </c>
      <c r="AN251" t="s">
        <v>271</v>
      </c>
      <c r="AO251" t="s">
        <v>272</v>
      </c>
      <c r="AP251" t="s">
        <v>273</v>
      </c>
      <c r="AQ251" t="s">
        <v>72</v>
      </c>
      <c r="AR251" t="s">
        <v>274</v>
      </c>
      <c r="AS251" t="s">
        <v>275</v>
      </c>
      <c r="AT251" t="s">
        <v>2756</v>
      </c>
      <c r="AU251">
        <v>2021</v>
      </c>
      <c r="AV251">
        <v>38</v>
      </c>
      <c r="AW251" t="s">
        <v>2757</v>
      </c>
      <c r="AX251" t="s">
        <v>72</v>
      </c>
      <c r="AY251" t="s">
        <v>72</v>
      </c>
      <c r="AZ251" t="s">
        <v>478</v>
      </c>
      <c r="BA251" t="s">
        <v>72</v>
      </c>
      <c r="BB251">
        <v>140</v>
      </c>
      <c r="BC251">
        <v>158</v>
      </c>
      <c r="BD251" t="s">
        <v>72</v>
      </c>
      <c r="BE251" t="s">
        <v>2758</v>
      </c>
      <c r="BF251" t="str">
        <f>HYPERLINK("http://dx.doi.org/10.1080/10584609.2020.1763529","http://dx.doi.org/10.1080/10584609.2020.1763529")</f>
        <v>http://dx.doi.org/10.1080/10584609.2020.1763529</v>
      </c>
      <c r="BG251" t="s">
        <v>72</v>
      </c>
      <c r="BH251" t="s">
        <v>72</v>
      </c>
      <c r="BI251">
        <v>19</v>
      </c>
      <c r="BJ251" t="s">
        <v>278</v>
      </c>
      <c r="BK251" s="1" t="s">
        <v>17619</v>
      </c>
      <c r="BL251" t="s">
        <v>2759</v>
      </c>
      <c r="BM251" t="s">
        <v>72</v>
      </c>
      <c r="BN251" t="s">
        <v>72</v>
      </c>
      <c r="BO251" t="s">
        <v>72</v>
      </c>
      <c r="BP251" t="s">
        <v>72</v>
      </c>
      <c r="BQ251" t="s">
        <v>100</v>
      </c>
      <c r="BR251" t="s">
        <v>2760</v>
      </c>
      <c r="BS251" t="str">
        <f>HYPERLINK("https%3A%2F%2Fwww.webofscience.com%2Fwos%2Fwoscc%2Ffull-record%2FWOS:000635972900006","View Full Record in Web of Science")</f>
        <v>View Full Record in Web of Science</v>
      </c>
    </row>
    <row r="252" spans="1:71" x14ac:dyDescent="0.2">
      <c r="A252" t="s">
        <v>70</v>
      </c>
      <c r="B252" t="s">
        <v>3135</v>
      </c>
      <c r="C252" t="s">
        <v>72</v>
      </c>
      <c r="D252" t="s">
        <v>72</v>
      </c>
      <c r="E252" t="s">
        <v>72</v>
      </c>
      <c r="F252" t="s">
        <v>3136</v>
      </c>
      <c r="G252" t="s">
        <v>72</v>
      </c>
      <c r="H252" t="s">
        <v>72</v>
      </c>
      <c r="I252" t="s">
        <v>3137</v>
      </c>
      <c r="J252" t="s">
        <v>1022</v>
      </c>
      <c r="K252" t="s">
        <v>72</v>
      </c>
      <c r="L252" t="s">
        <v>72</v>
      </c>
      <c r="M252" t="s">
        <v>76</v>
      </c>
      <c r="N252" t="s">
        <v>77</v>
      </c>
      <c r="O252" t="s">
        <v>72</v>
      </c>
      <c r="P252" t="s">
        <v>72</v>
      </c>
      <c r="Q252" t="s">
        <v>72</v>
      </c>
      <c r="R252" t="s">
        <v>72</v>
      </c>
      <c r="S252" t="s">
        <v>72</v>
      </c>
      <c r="T252" t="s">
        <v>3138</v>
      </c>
      <c r="U252" t="s">
        <v>3139</v>
      </c>
      <c r="V252" t="s">
        <v>3140</v>
      </c>
      <c r="W252" t="s">
        <v>3141</v>
      </c>
      <c r="X252" t="s">
        <v>3142</v>
      </c>
      <c r="Y252" t="s">
        <v>3143</v>
      </c>
      <c r="Z252" t="s">
        <v>3144</v>
      </c>
      <c r="AA252" t="s">
        <v>72</v>
      </c>
      <c r="AB252" t="s">
        <v>72</v>
      </c>
      <c r="AC252" t="s">
        <v>3145</v>
      </c>
      <c r="AD252" t="s">
        <v>3146</v>
      </c>
      <c r="AE252" t="s">
        <v>3147</v>
      </c>
      <c r="AF252" t="s">
        <v>72</v>
      </c>
      <c r="AG252">
        <v>39</v>
      </c>
      <c r="AH252">
        <v>5</v>
      </c>
      <c r="AI252">
        <v>6</v>
      </c>
      <c r="AJ252">
        <v>0</v>
      </c>
      <c r="AK252">
        <v>23</v>
      </c>
      <c r="AL252" t="s">
        <v>190</v>
      </c>
      <c r="AM252" t="s">
        <v>191</v>
      </c>
      <c r="AN252" t="s">
        <v>192</v>
      </c>
      <c r="AO252" t="s">
        <v>1031</v>
      </c>
      <c r="AP252" t="s">
        <v>1032</v>
      </c>
      <c r="AQ252" t="s">
        <v>72</v>
      </c>
      <c r="AR252" t="s">
        <v>1033</v>
      </c>
      <c r="AS252" t="s">
        <v>1034</v>
      </c>
      <c r="AT252" t="s">
        <v>395</v>
      </c>
      <c r="AU252">
        <v>2017</v>
      </c>
      <c r="AV252">
        <v>22</v>
      </c>
      <c r="AW252">
        <v>4</v>
      </c>
      <c r="AX252" t="s">
        <v>72</v>
      </c>
      <c r="AY252" t="s">
        <v>72</v>
      </c>
      <c r="AZ252" t="s">
        <v>72</v>
      </c>
      <c r="BA252" t="s">
        <v>72</v>
      </c>
      <c r="BB252">
        <v>431</v>
      </c>
      <c r="BC252">
        <v>449</v>
      </c>
      <c r="BD252" t="s">
        <v>72</v>
      </c>
      <c r="BE252" t="s">
        <v>3148</v>
      </c>
      <c r="BF252" t="str">
        <f>HYPERLINK("http://dx.doi.org/10.1177/1940161217723149","http://dx.doi.org/10.1177/1940161217723149")</f>
        <v>http://dx.doi.org/10.1177/1940161217723149</v>
      </c>
      <c r="BG252" t="s">
        <v>72</v>
      </c>
      <c r="BH252" t="s">
        <v>72</v>
      </c>
      <c r="BI252">
        <v>19</v>
      </c>
      <c r="BJ252" t="s">
        <v>278</v>
      </c>
      <c r="BK252" s="1" t="s">
        <v>17619</v>
      </c>
      <c r="BL252" t="s">
        <v>3149</v>
      </c>
      <c r="BM252" t="s">
        <v>72</v>
      </c>
      <c r="BN252" t="s">
        <v>72</v>
      </c>
      <c r="BO252" t="s">
        <v>72</v>
      </c>
      <c r="BP252" t="s">
        <v>72</v>
      </c>
      <c r="BQ252" t="s">
        <v>100</v>
      </c>
      <c r="BR252" t="s">
        <v>3150</v>
      </c>
      <c r="BS252" t="str">
        <f>HYPERLINK("https%3A%2F%2Fwww.webofscience.com%2Fwos%2Fwoscc%2Ffull-record%2FWOS:000418189200002","View Full Record in Web of Science")</f>
        <v>View Full Record in Web of Science</v>
      </c>
    </row>
    <row r="253" spans="1:71" x14ac:dyDescent="0.2">
      <c r="A253" t="s">
        <v>70</v>
      </c>
      <c r="B253" t="s">
        <v>3562</v>
      </c>
      <c r="C253" t="s">
        <v>72</v>
      </c>
      <c r="D253" t="s">
        <v>72</v>
      </c>
      <c r="E253" t="s">
        <v>72</v>
      </c>
      <c r="F253" t="s">
        <v>3563</v>
      </c>
      <c r="G253" t="s">
        <v>72</v>
      </c>
      <c r="H253" t="s">
        <v>72</v>
      </c>
      <c r="I253" t="s">
        <v>3564</v>
      </c>
      <c r="J253" t="s">
        <v>256</v>
      </c>
      <c r="K253" t="s">
        <v>72</v>
      </c>
      <c r="L253" t="s">
        <v>72</v>
      </c>
      <c r="M253" t="s">
        <v>76</v>
      </c>
      <c r="N253" t="s">
        <v>352</v>
      </c>
      <c r="O253" t="s">
        <v>72</v>
      </c>
      <c r="P253" t="s">
        <v>72</v>
      </c>
      <c r="Q253" t="s">
        <v>72</v>
      </c>
      <c r="R253" t="s">
        <v>72</v>
      </c>
      <c r="S253" t="s">
        <v>72</v>
      </c>
      <c r="T253" t="s">
        <v>3565</v>
      </c>
      <c r="U253" t="s">
        <v>3566</v>
      </c>
      <c r="V253" t="s">
        <v>3567</v>
      </c>
      <c r="W253" t="s">
        <v>3568</v>
      </c>
      <c r="X253" t="s">
        <v>3569</v>
      </c>
      <c r="Y253" t="s">
        <v>3570</v>
      </c>
      <c r="Z253" t="s">
        <v>3571</v>
      </c>
      <c r="AA253" t="s">
        <v>72</v>
      </c>
      <c r="AB253" t="s">
        <v>3572</v>
      </c>
      <c r="AC253" t="s">
        <v>3573</v>
      </c>
      <c r="AD253" t="s">
        <v>3574</v>
      </c>
      <c r="AE253" t="s">
        <v>3575</v>
      </c>
      <c r="AF253" t="s">
        <v>72</v>
      </c>
      <c r="AG253">
        <v>74</v>
      </c>
      <c r="AH253">
        <v>0</v>
      </c>
      <c r="AI253">
        <v>0</v>
      </c>
      <c r="AJ253">
        <v>0</v>
      </c>
      <c r="AK253">
        <v>0</v>
      </c>
      <c r="AL253" t="s">
        <v>269</v>
      </c>
      <c r="AM253" t="s">
        <v>270</v>
      </c>
      <c r="AN253" t="s">
        <v>271</v>
      </c>
      <c r="AO253" t="s">
        <v>272</v>
      </c>
      <c r="AP253" t="s">
        <v>273</v>
      </c>
      <c r="AQ253" t="s">
        <v>72</v>
      </c>
      <c r="AR253" t="s">
        <v>274</v>
      </c>
      <c r="AS253" t="s">
        <v>275</v>
      </c>
      <c r="AT253" t="s">
        <v>72</v>
      </c>
      <c r="AU253" t="s">
        <v>72</v>
      </c>
      <c r="AV253" t="s">
        <v>72</v>
      </c>
      <c r="AW253" t="s">
        <v>72</v>
      </c>
      <c r="AX253" t="s">
        <v>72</v>
      </c>
      <c r="AY253" t="s">
        <v>72</v>
      </c>
      <c r="AZ253" t="s">
        <v>72</v>
      </c>
      <c r="BA253" t="s">
        <v>72</v>
      </c>
      <c r="BB253" t="s">
        <v>72</v>
      </c>
      <c r="BC253" t="s">
        <v>72</v>
      </c>
      <c r="BD253" t="s">
        <v>72</v>
      </c>
      <c r="BE253" t="s">
        <v>3576</v>
      </c>
      <c r="BF253" t="str">
        <f>HYPERLINK("http://dx.doi.org/10.1080/10584609.2022.2141390","http://dx.doi.org/10.1080/10584609.2022.2141390")</f>
        <v>http://dx.doi.org/10.1080/10584609.2022.2141390</v>
      </c>
      <c r="BG253" t="s">
        <v>72</v>
      </c>
      <c r="BH253" t="s">
        <v>2010</v>
      </c>
      <c r="BI253">
        <v>23</v>
      </c>
      <c r="BJ253" t="s">
        <v>278</v>
      </c>
      <c r="BK253" s="1" t="s">
        <v>17619</v>
      </c>
      <c r="BL253" t="s">
        <v>3577</v>
      </c>
      <c r="BM253" t="s">
        <v>72</v>
      </c>
      <c r="BN253" t="s">
        <v>72</v>
      </c>
      <c r="BO253" t="s">
        <v>72</v>
      </c>
      <c r="BP253" t="s">
        <v>72</v>
      </c>
      <c r="BQ253" t="s">
        <v>100</v>
      </c>
      <c r="BR253" t="s">
        <v>3578</v>
      </c>
      <c r="BS253" t="str">
        <f>HYPERLINK("https%3A%2F%2Fwww.webofscience.com%2Fwos%2Fwoscc%2Ffull-record%2FWOS:000878051900001","View Full Record in Web of Science")</f>
        <v>View Full Record in Web of Science</v>
      </c>
    </row>
    <row r="254" spans="1:71" x14ac:dyDescent="0.2">
      <c r="A254" t="s">
        <v>70</v>
      </c>
      <c r="B254" t="s">
        <v>4180</v>
      </c>
      <c r="C254" t="s">
        <v>72</v>
      </c>
      <c r="D254" t="s">
        <v>72</v>
      </c>
      <c r="E254" t="s">
        <v>72</v>
      </c>
      <c r="F254" t="s">
        <v>4181</v>
      </c>
      <c r="G254" t="s">
        <v>72</v>
      </c>
      <c r="H254" t="s">
        <v>72</v>
      </c>
      <c r="I254" t="s">
        <v>4182</v>
      </c>
      <c r="J254" t="s">
        <v>2266</v>
      </c>
      <c r="K254" t="s">
        <v>72</v>
      </c>
      <c r="L254" t="s">
        <v>72</v>
      </c>
      <c r="M254" t="s">
        <v>76</v>
      </c>
      <c r="N254" t="s">
        <v>77</v>
      </c>
      <c r="O254" t="s">
        <v>72</v>
      </c>
      <c r="P254" t="s">
        <v>72</v>
      </c>
      <c r="Q254" t="s">
        <v>72</v>
      </c>
      <c r="R254" t="s">
        <v>72</v>
      </c>
      <c r="S254" t="s">
        <v>72</v>
      </c>
      <c r="T254" t="s">
        <v>4183</v>
      </c>
      <c r="U254" t="s">
        <v>72</v>
      </c>
      <c r="V254" t="s">
        <v>4184</v>
      </c>
      <c r="W254" t="s">
        <v>4185</v>
      </c>
      <c r="X254" t="s">
        <v>4186</v>
      </c>
      <c r="Y254" t="s">
        <v>4187</v>
      </c>
      <c r="Z254" t="s">
        <v>4188</v>
      </c>
      <c r="AA254" t="s">
        <v>4189</v>
      </c>
      <c r="AB254" t="s">
        <v>72</v>
      </c>
      <c r="AC254" t="s">
        <v>4190</v>
      </c>
      <c r="AD254" t="s">
        <v>4191</v>
      </c>
      <c r="AE254" t="s">
        <v>4192</v>
      </c>
      <c r="AF254" t="s">
        <v>72</v>
      </c>
      <c r="AG254">
        <v>53</v>
      </c>
      <c r="AH254">
        <v>3</v>
      </c>
      <c r="AI254">
        <v>3</v>
      </c>
      <c r="AJ254">
        <v>3</v>
      </c>
      <c r="AK254">
        <v>10</v>
      </c>
      <c r="AL254" t="s">
        <v>364</v>
      </c>
      <c r="AM254" t="s">
        <v>365</v>
      </c>
      <c r="AN254" t="s">
        <v>366</v>
      </c>
      <c r="AO254" t="s">
        <v>2276</v>
      </c>
      <c r="AP254" t="s">
        <v>2277</v>
      </c>
      <c r="AQ254" t="s">
        <v>72</v>
      </c>
      <c r="AR254" t="s">
        <v>2278</v>
      </c>
      <c r="AS254" t="s">
        <v>2279</v>
      </c>
      <c r="AT254" t="s">
        <v>276</v>
      </c>
      <c r="AU254">
        <v>2021</v>
      </c>
      <c r="AV254">
        <v>18</v>
      </c>
      <c r="AW254">
        <v>3</v>
      </c>
      <c r="AX254" t="s">
        <v>72</v>
      </c>
      <c r="AY254" t="s">
        <v>72</v>
      </c>
      <c r="AZ254" t="s">
        <v>72</v>
      </c>
      <c r="BA254" t="s">
        <v>72</v>
      </c>
      <c r="BB254">
        <v>338</v>
      </c>
      <c r="BC254">
        <v>354</v>
      </c>
      <c r="BD254" t="s">
        <v>72</v>
      </c>
      <c r="BE254" t="s">
        <v>4193</v>
      </c>
      <c r="BF254" t="str">
        <f>HYPERLINK("http://dx.doi.org/10.1080/19331681.2021.1881015","http://dx.doi.org/10.1080/19331681.2021.1881015")</f>
        <v>http://dx.doi.org/10.1080/19331681.2021.1881015</v>
      </c>
      <c r="BG254" t="s">
        <v>72</v>
      </c>
      <c r="BH254" t="s">
        <v>344</v>
      </c>
      <c r="BI254">
        <v>17</v>
      </c>
      <c r="BJ254" t="s">
        <v>278</v>
      </c>
      <c r="BK254" s="1" t="s">
        <v>17619</v>
      </c>
      <c r="BL254" t="s">
        <v>4194</v>
      </c>
      <c r="BM254" t="s">
        <v>72</v>
      </c>
      <c r="BN254" t="s">
        <v>72</v>
      </c>
      <c r="BO254" t="s">
        <v>72</v>
      </c>
      <c r="BP254" t="s">
        <v>72</v>
      </c>
      <c r="BQ254" t="s">
        <v>100</v>
      </c>
      <c r="BR254" t="s">
        <v>4195</v>
      </c>
      <c r="BS254" t="str">
        <f>HYPERLINK("https%3A%2F%2Fwww.webofscience.com%2Fwos%2Fwoscc%2Ffull-record%2FWOS:000620040500001","View Full Record in Web of Science")</f>
        <v>View Full Record in Web of Science</v>
      </c>
    </row>
    <row r="255" spans="1:71" x14ac:dyDescent="0.2">
      <c r="A255" t="s">
        <v>70</v>
      </c>
      <c r="B255" t="s">
        <v>4243</v>
      </c>
      <c r="C255" t="s">
        <v>72</v>
      </c>
      <c r="D255" t="s">
        <v>72</v>
      </c>
      <c r="E255" t="s">
        <v>72</v>
      </c>
      <c r="F255" t="s">
        <v>4244</v>
      </c>
      <c r="G255" t="s">
        <v>72</v>
      </c>
      <c r="H255" t="s">
        <v>72</v>
      </c>
      <c r="I255" t="s">
        <v>4245</v>
      </c>
      <c r="J255" t="s">
        <v>1022</v>
      </c>
      <c r="K255" t="s">
        <v>72</v>
      </c>
      <c r="L255" t="s">
        <v>72</v>
      </c>
      <c r="M255" t="s">
        <v>76</v>
      </c>
      <c r="N255" t="s">
        <v>77</v>
      </c>
      <c r="O255" t="s">
        <v>72</v>
      </c>
      <c r="P255" t="s">
        <v>72</v>
      </c>
      <c r="Q255" t="s">
        <v>72</v>
      </c>
      <c r="R255" t="s">
        <v>72</v>
      </c>
      <c r="S255" t="s">
        <v>72</v>
      </c>
      <c r="T255" t="s">
        <v>4246</v>
      </c>
      <c r="U255" t="s">
        <v>4247</v>
      </c>
      <c r="V255" t="s">
        <v>4248</v>
      </c>
      <c r="W255" t="s">
        <v>4249</v>
      </c>
      <c r="X255" t="s">
        <v>164</v>
      </c>
      <c r="Y255" t="s">
        <v>4250</v>
      </c>
      <c r="Z255" t="s">
        <v>4251</v>
      </c>
      <c r="AA255" t="s">
        <v>72</v>
      </c>
      <c r="AB255" t="s">
        <v>4252</v>
      </c>
      <c r="AC255" t="s">
        <v>4253</v>
      </c>
      <c r="AD255" t="s">
        <v>4254</v>
      </c>
      <c r="AE255" t="s">
        <v>4255</v>
      </c>
      <c r="AF255" t="s">
        <v>72</v>
      </c>
      <c r="AG255">
        <v>44</v>
      </c>
      <c r="AH255">
        <v>10</v>
      </c>
      <c r="AI255">
        <v>10</v>
      </c>
      <c r="AJ255">
        <v>3</v>
      </c>
      <c r="AK255">
        <v>18</v>
      </c>
      <c r="AL255" t="s">
        <v>190</v>
      </c>
      <c r="AM255" t="s">
        <v>191</v>
      </c>
      <c r="AN255" t="s">
        <v>192</v>
      </c>
      <c r="AO255" t="s">
        <v>1031</v>
      </c>
      <c r="AP255" t="s">
        <v>1032</v>
      </c>
      <c r="AQ255" t="s">
        <v>72</v>
      </c>
      <c r="AR255" t="s">
        <v>1033</v>
      </c>
      <c r="AS255" t="s">
        <v>1034</v>
      </c>
      <c r="AT255" t="s">
        <v>776</v>
      </c>
      <c r="AU255">
        <v>2018</v>
      </c>
      <c r="AV255">
        <v>23</v>
      </c>
      <c r="AW255">
        <v>3</v>
      </c>
      <c r="AX255" t="s">
        <v>72</v>
      </c>
      <c r="AY255" t="s">
        <v>72</v>
      </c>
      <c r="AZ255" t="s">
        <v>72</v>
      </c>
      <c r="BA255" t="s">
        <v>72</v>
      </c>
      <c r="BB255">
        <v>345</v>
      </c>
      <c r="BC255">
        <v>366</v>
      </c>
      <c r="BD255" t="s">
        <v>72</v>
      </c>
      <c r="BE255" t="s">
        <v>4256</v>
      </c>
      <c r="BF255" t="str">
        <f>HYPERLINK("http://dx.doi.org/10.1177/1940161218779231","http://dx.doi.org/10.1177/1940161218779231")</f>
        <v>http://dx.doi.org/10.1177/1940161218779231</v>
      </c>
      <c r="BG255" t="s">
        <v>72</v>
      </c>
      <c r="BH255" t="s">
        <v>72</v>
      </c>
      <c r="BI255">
        <v>22</v>
      </c>
      <c r="BJ255" t="s">
        <v>278</v>
      </c>
      <c r="BK255" s="1" t="s">
        <v>17619</v>
      </c>
      <c r="BL255" t="s">
        <v>4257</v>
      </c>
      <c r="BM255">
        <v>30443282</v>
      </c>
      <c r="BN255" t="s">
        <v>2403</v>
      </c>
      <c r="BO255" t="s">
        <v>72</v>
      </c>
      <c r="BP255" t="s">
        <v>72</v>
      </c>
      <c r="BQ255" t="s">
        <v>100</v>
      </c>
      <c r="BR255" t="s">
        <v>4258</v>
      </c>
      <c r="BS255" t="str">
        <f>HYPERLINK("https%3A%2F%2Fwww.webofscience.com%2Fwos%2Fwoscc%2Ffull-record%2FWOS:000438672700004","View Full Record in Web of Science")</f>
        <v>View Full Record in Web of Science</v>
      </c>
    </row>
    <row r="256" spans="1:71" x14ac:dyDescent="0.2">
      <c r="A256" t="s">
        <v>70</v>
      </c>
      <c r="B256" t="s">
        <v>5546</v>
      </c>
      <c r="C256" t="s">
        <v>72</v>
      </c>
      <c r="D256" t="s">
        <v>72</v>
      </c>
      <c r="E256" t="s">
        <v>72</v>
      </c>
      <c r="F256" t="s">
        <v>5547</v>
      </c>
      <c r="G256" t="s">
        <v>72</v>
      </c>
      <c r="H256" t="s">
        <v>72</v>
      </c>
      <c r="I256" t="s">
        <v>5548</v>
      </c>
      <c r="J256" t="s">
        <v>1022</v>
      </c>
      <c r="K256" t="s">
        <v>72</v>
      </c>
      <c r="L256" t="s">
        <v>72</v>
      </c>
      <c r="M256" t="s">
        <v>76</v>
      </c>
      <c r="N256" t="s">
        <v>77</v>
      </c>
      <c r="O256" t="s">
        <v>72</v>
      </c>
      <c r="P256" t="s">
        <v>72</v>
      </c>
      <c r="Q256" t="s">
        <v>72</v>
      </c>
      <c r="R256" t="s">
        <v>72</v>
      </c>
      <c r="S256" t="s">
        <v>72</v>
      </c>
      <c r="T256" t="s">
        <v>5549</v>
      </c>
      <c r="U256" t="s">
        <v>5550</v>
      </c>
      <c r="V256" t="s">
        <v>5551</v>
      </c>
      <c r="W256" t="s">
        <v>5552</v>
      </c>
      <c r="X256" t="s">
        <v>2460</v>
      </c>
      <c r="Y256" t="s">
        <v>5553</v>
      </c>
      <c r="Z256" t="s">
        <v>5554</v>
      </c>
      <c r="AA256" t="s">
        <v>72</v>
      </c>
      <c r="AB256" t="s">
        <v>5555</v>
      </c>
      <c r="AC256" t="s">
        <v>72</v>
      </c>
      <c r="AD256" t="s">
        <v>72</v>
      </c>
      <c r="AE256" t="s">
        <v>72</v>
      </c>
      <c r="AF256" t="s">
        <v>72</v>
      </c>
      <c r="AG256">
        <v>56</v>
      </c>
      <c r="AH256">
        <v>7</v>
      </c>
      <c r="AI256">
        <v>7</v>
      </c>
      <c r="AJ256">
        <v>3</v>
      </c>
      <c r="AK256">
        <v>15</v>
      </c>
      <c r="AL256" t="s">
        <v>190</v>
      </c>
      <c r="AM256" t="s">
        <v>191</v>
      </c>
      <c r="AN256" t="s">
        <v>192</v>
      </c>
      <c r="AO256" t="s">
        <v>1031</v>
      </c>
      <c r="AP256" t="s">
        <v>1032</v>
      </c>
      <c r="AQ256" t="s">
        <v>72</v>
      </c>
      <c r="AR256" t="s">
        <v>1033</v>
      </c>
      <c r="AS256" t="s">
        <v>1034</v>
      </c>
      <c r="AT256" t="s">
        <v>149</v>
      </c>
      <c r="AU256">
        <v>2018</v>
      </c>
      <c r="AV256">
        <v>23</v>
      </c>
      <c r="AW256">
        <v>2</v>
      </c>
      <c r="AX256" t="s">
        <v>72</v>
      </c>
      <c r="AY256" t="s">
        <v>72</v>
      </c>
      <c r="AZ256" t="s">
        <v>72</v>
      </c>
      <c r="BA256" t="s">
        <v>72</v>
      </c>
      <c r="BB256">
        <v>247</v>
      </c>
      <c r="BC256">
        <v>267</v>
      </c>
      <c r="BD256" t="s">
        <v>72</v>
      </c>
      <c r="BE256" t="s">
        <v>5556</v>
      </c>
      <c r="BF256" t="str">
        <f>HYPERLINK("http://dx.doi.org/10.1177/1940161218771893","http://dx.doi.org/10.1177/1940161218771893")</f>
        <v>http://dx.doi.org/10.1177/1940161218771893</v>
      </c>
      <c r="BG256" t="s">
        <v>72</v>
      </c>
      <c r="BH256" t="s">
        <v>72</v>
      </c>
      <c r="BI256">
        <v>21</v>
      </c>
      <c r="BJ256" t="s">
        <v>278</v>
      </c>
      <c r="BK256" s="1" t="s">
        <v>17619</v>
      </c>
      <c r="BL256" t="s">
        <v>5557</v>
      </c>
      <c r="BM256" t="s">
        <v>72</v>
      </c>
      <c r="BN256" t="s">
        <v>72</v>
      </c>
      <c r="BO256" t="s">
        <v>72</v>
      </c>
      <c r="BP256" t="s">
        <v>72</v>
      </c>
      <c r="BQ256" t="s">
        <v>100</v>
      </c>
      <c r="BR256" t="s">
        <v>5558</v>
      </c>
      <c r="BS256" t="str">
        <f>HYPERLINK("https%3A%2F%2Fwww.webofscience.com%2Fwos%2Fwoscc%2Ffull-record%2FWOS:000432277200006","View Full Record in Web of Science")</f>
        <v>View Full Record in Web of Science</v>
      </c>
    </row>
    <row r="257" spans="1:71" x14ac:dyDescent="0.2">
      <c r="A257" t="s">
        <v>70</v>
      </c>
      <c r="B257" t="s">
        <v>6051</v>
      </c>
      <c r="C257" t="s">
        <v>72</v>
      </c>
      <c r="D257" t="s">
        <v>72</v>
      </c>
      <c r="E257" t="s">
        <v>72</v>
      </c>
      <c r="F257" t="s">
        <v>6052</v>
      </c>
      <c r="G257" t="s">
        <v>72</v>
      </c>
      <c r="H257" t="s">
        <v>72</v>
      </c>
      <c r="I257" t="s">
        <v>6053</v>
      </c>
      <c r="J257" t="s">
        <v>256</v>
      </c>
      <c r="K257" t="s">
        <v>72</v>
      </c>
      <c r="L257" t="s">
        <v>72</v>
      </c>
      <c r="M257" t="s">
        <v>76</v>
      </c>
      <c r="N257" t="s">
        <v>77</v>
      </c>
      <c r="O257" t="s">
        <v>72</v>
      </c>
      <c r="P257" t="s">
        <v>72</v>
      </c>
      <c r="Q257" t="s">
        <v>72</v>
      </c>
      <c r="R257" t="s">
        <v>72</v>
      </c>
      <c r="S257" t="s">
        <v>72</v>
      </c>
      <c r="T257" t="s">
        <v>6054</v>
      </c>
      <c r="U257" t="s">
        <v>6055</v>
      </c>
      <c r="V257" t="s">
        <v>6056</v>
      </c>
      <c r="W257" t="s">
        <v>6057</v>
      </c>
      <c r="X257" t="s">
        <v>6058</v>
      </c>
      <c r="Y257" t="s">
        <v>6059</v>
      </c>
      <c r="Z257" t="s">
        <v>6060</v>
      </c>
      <c r="AA257" t="s">
        <v>6061</v>
      </c>
      <c r="AB257" t="s">
        <v>6062</v>
      </c>
      <c r="AC257" t="s">
        <v>72</v>
      </c>
      <c r="AD257" t="s">
        <v>72</v>
      </c>
      <c r="AE257" t="s">
        <v>72</v>
      </c>
      <c r="AF257" t="s">
        <v>72</v>
      </c>
      <c r="AG257">
        <v>42</v>
      </c>
      <c r="AH257">
        <v>3</v>
      </c>
      <c r="AI257">
        <v>3</v>
      </c>
      <c r="AJ257">
        <v>12</v>
      </c>
      <c r="AK257">
        <v>40</v>
      </c>
      <c r="AL257" t="s">
        <v>269</v>
      </c>
      <c r="AM257" t="s">
        <v>270</v>
      </c>
      <c r="AN257" t="s">
        <v>271</v>
      </c>
      <c r="AO257" t="s">
        <v>272</v>
      </c>
      <c r="AP257" t="s">
        <v>273</v>
      </c>
      <c r="AQ257" t="s">
        <v>72</v>
      </c>
      <c r="AR257" t="s">
        <v>274</v>
      </c>
      <c r="AS257" t="s">
        <v>275</v>
      </c>
      <c r="AT257" t="s">
        <v>2756</v>
      </c>
      <c r="AU257">
        <v>2021</v>
      </c>
      <c r="AV257">
        <v>38</v>
      </c>
      <c r="AW257" t="s">
        <v>2757</v>
      </c>
      <c r="AX257" t="s">
        <v>72</v>
      </c>
      <c r="AY257" t="s">
        <v>72</v>
      </c>
      <c r="AZ257" t="s">
        <v>478</v>
      </c>
      <c r="BA257" t="s">
        <v>72</v>
      </c>
      <c r="BB257">
        <v>182</v>
      </c>
      <c r="BC257">
        <v>191</v>
      </c>
      <c r="BD257" t="s">
        <v>72</v>
      </c>
      <c r="BE257" t="s">
        <v>6063</v>
      </c>
      <c r="BF257" t="str">
        <f>HYPERLINK("http://dx.doi.org/10.1080/10584609.2020.1765915","http://dx.doi.org/10.1080/10584609.2020.1765915")</f>
        <v>http://dx.doi.org/10.1080/10584609.2020.1765915</v>
      </c>
      <c r="BG257" t="s">
        <v>72</v>
      </c>
      <c r="BH257" t="s">
        <v>2942</v>
      </c>
      <c r="BI257">
        <v>10</v>
      </c>
      <c r="BJ257" t="s">
        <v>278</v>
      </c>
      <c r="BK257" s="1" t="s">
        <v>17619</v>
      </c>
      <c r="BL257" t="s">
        <v>2759</v>
      </c>
      <c r="BM257" t="s">
        <v>72</v>
      </c>
      <c r="BN257" t="s">
        <v>72</v>
      </c>
      <c r="BO257" t="s">
        <v>72</v>
      </c>
      <c r="BP257" t="s">
        <v>72</v>
      </c>
      <c r="BQ257" t="s">
        <v>100</v>
      </c>
      <c r="BR257" t="s">
        <v>6064</v>
      </c>
      <c r="BS257" t="str">
        <f>HYPERLINK("https%3A%2F%2Fwww.webofscience.com%2Fwos%2Fwoscc%2Ffull-record%2FWOS:000542902800001","View Full Record in Web of Science")</f>
        <v>View Full Record in Web of Science</v>
      </c>
    </row>
    <row r="258" spans="1:71" x14ac:dyDescent="0.2">
      <c r="A258" t="s">
        <v>70</v>
      </c>
      <c r="B258" t="s">
        <v>7149</v>
      </c>
      <c r="C258" t="s">
        <v>72</v>
      </c>
      <c r="D258" t="s">
        <v>72</v>
      </c>
      <c r="E258" t="s">
        <v>72</v>
      </c>
      <c r="F258" t="s">
        <v>7150</v>
      </c>
      <c r="G258" t="s">
        <v>72</v>
      </c>
      <c r="H258" t="s">
        <v>72</v>
      </c>
      <c r="I258" t="s">
        <v>7151</v>
      </c>
      <c r="J258" t="s">
        <v>1022</v>
      </c>
      <c r="K258" t="s">
        <v>72</v>
      </c>
      <c r="L258" t="s">
        <v>72</v>
      </c>
      <c r="M258" t="s">
        <v>76</v>
      </c>
      <c r="N258" t="s">
        <v>352</v>
      </c>
      <c r="O258" t="s">
        <v>72</v>
      </c>
      <c r="P258" t="s">
        <v>72</v>
      </c>
      <c r="Q258" t="s">
        <v>72</v>
      </c>
      <c r="R258" t="s">
        <v>72</v>
      </c>
      <c r="S258" t="s">
        <v>72</v>
      </c>
      <c r="T258" t="s">
        <v>7152</v>
      </c>
      <c r="U258" t="s">
        <v>7153</v>
      </c>
      <c r="V258" t="s">
        <v>7154</v>
      </c>
      <c r="W258" t="s">
        <v>7155</v>
      </c>
      <c r="X258" t="s">
        <v>7156</v>
      </c>
      <c r="Y258" t="s">
        <v>7157</v>
      </c>
      <c r="Z258" t="s">
        <v>7158</v>
      </c>
      <c r="AA258" t="s">
        <v>7159</v>
      </c>
      <c r="AB258" t="s">
        <v>7160</v>
      </c>
      <c r="AC258" t="s">
        <v>7161</v>
      </c>
      <c r="AD258" t="s">
        <v>7161</v>
      </c>
      <c r="AE258" t="s">
        <v>7162</v>
      </c>
      <c r="AF258" t="s">
        <v>72</v>
      </c>
      <c r="AG258">
        <v>85</v>
      </c>
      <c r="AH258">
        <v>0</v>
      </c>
      <c r="AI258">
        <v>0</v>
      </c>
      <c r="AJ258">
        <v>11</v>
      </c>
      <c r="AK258">
        <v>15</v>
      </c>
      <c r="AL258" t="s">
        <v>190</v>
      </c>
      <c r="AM258" t="s">
        <v>191</v>
      </c>
      <c r="AN258" t="s">
        <v>192</v>
      </c>
      <c r="AO258" t="s">
        <v>1031</v>
      </c>
      <c r="AP258" t="s">
        <v>1032</v>
      </c>
      <c r="AQ258" t="s">
        <v>72</v>
      </c>
      <c r="AR258" t="s">
        <v>1033</v>
      </c>
      <c r="AS258" t="s">
        <v>1034</v>
      </c>
      <c r="AT258" t="s">
        <v>72</v>
      </c>
      <c r="AU258" t="s">
        <v>72</v>
      </c>
      <c r="AV258" t="s">
        <v>72</v>
      </c>
      <c r="AW258" t="s">
        <v>72</v>
      </c>
      <c r="AX258" t="s">
        <v>72</v>
      </c>
      <c r="AY258" t="s">
        <v>72</v>
      </c>
      <c r="AZ258" t="s">
        <v>72</v>
      </c>
      <c r="BA258" t="s">
        <v>72</v>
      </c>
      <c r="BB258" t="s">
        <v>72</v>
      </c>
      <c r="BC258" t="s">
        <v>72</v>
      </c>
      <c r="BD258">
        <v>1.9401612211072792E+16</v>
      </c>
      <c r="BE258" t="s">
        <v>7163</v>
      </c>
      <c r="BF258" t="str">
        <f>HYPERLINK("http://dx.doi.org/10.1177/19401612211072793","http://dx.doi.org/10.1177/19401612211072793")</f>
        <v>http://dx.doi.org/10.1177/19401612211072793</v>
      </c>
      <c r="BG258" t="s">
        <v>72</v>
      </c>
      <c r="BH258" t="s">
        <v>1832</v>
      </c>
      <c r="BI258">
        <v>25</v>
      </c>
      <c r="BJ258" t="s">
        <v>278</v>
      </c>
      <c r="BK258" s="1" t="s">
        <v>17619</v>
      </c>
      <c r="BL258" t="s">
        <v>7164</v>
      </c>
      <c r="BM258" t="s">
        <v>72</v>
      </c>
      <c r="BN258" t="s">
        <v>72</v>
      </c>
      <c r="BO258" t="s">
        <v>72</v>
      </c>
      <c r="BP258" t="s">
        <v>72</v>
      </c>
      <c r="BQ258" t="s">
        <v>100</v>
      </c>
      <c r="BR258" t="s">
        <v>7165</v>
      </c>
      <c r="BS258" t="str">
        <f>HYPERLINK("https%3A%2F%2Fwww.webofscience.com%2Fwos%2Fwoscc%2Ffull-record%2FWOS:000748654900001","View Full Record in Web of Science")</f>
        <v>View Full Record in Web of Science</v>
      </c>
    </row>
    <row r="259" spans="1:71" x14ac:dyDescent="0.2">
      <c r="A259" t="s">
        <v>70</v>
      </c>
      <c r="B259" t="s">
        <v>7232</v>
      </c>
      <c r="C259" t="s">
        <v>72</v>
      </c>
      <c r="D259" t="s">
        <v>72</v>
      </c>
      <c r="E259" t="s">
        <v>72</v>
      </c>
      <c r="F259" t="s">
        <v>7233</v>
      </c>
      <c r="G259" t="s">
        <v>72</v>
      </c>
      <c r="H259" t="s">
        <v>72</v>
      </c>
      <c r="I259" t="s">
        <v>7234</v>
      </c>
      <c r="J259" t="s">
        <v>2266</v>
      </c>
      <c r="K259" t="s">
        <v>72</v>
      </c>
      <c r="L259" t="s">
        <v>72</v>
      </c>
      <c r="M259" t="s">
        <v>76</v>
      </c>
      <c r="N259" t="s">
        <v>77</v>
      </c>
      <c r="O259" t="s">
        <v>72</v>
      </c>
      <c r="P259" t="s">
        <v>72</v>
      </c>
      <c r="Q259" t="s">
        <v>72</v>
      </c>
      <c r="R259" t="s">
        <v>72</v>
      </c>
      <c r="S259" t="s">
        <v>72</v>
      </c>
      <c r="T259" t="s">
        <v>7235</v>
      </c>
      <c r="U259" t="s">
        <v>7236</v>
      </c>
      <c r="V259" t="s">
        <v>7237</v>
      </c>
      <c r="W259" t="s">
        <v>7238</v>
      </c>
      <c r="X259" t="s">
        <v>7239</v>
      </c>
      <c r="Y259" t="s">
        <v>7240</v>
      </c>
      <c r="Z259" t="s">
        <v>7241</v>
      </c>
      <c r="AA259" t="s">
        <v>7242</v>
      </c>
      <c r="AB259" t="s">
        <v>7243</v>
      </c>
      <c r="AC259" t="s">
        <v>72</v>
      </c>
      <c r="AD259" t="s">
        <v>72</v>
      </c>
      <c r="AE259" t="s">
        <v>72</v>
      </c>
      <c r="AF259" t="s">
        <v>72</v>
      </c>
      <c r="AG259">
        <v>65</v>
      </c>
      <c r="AH259">
        <v>9</v>
      </c>
      <c r="AI259">
        <v>9</v>
      </c>
      <c r="AJ259">
        <v>1</v>
      </c>
      <c r="AK259">
        <v>6</v>
      </c>
      <c r="AL259" t="s">
        <v>364</v>
      </c>
      <c r="AM259" t="s">
        <v>365</v>
      </c>
      <c r="AN259" t="s">
        <v>366</v>
      </c>
      <c r="AO259" t="s">
        <v>2276</v>
      </c>
      <c r="AP259" t="s">
        <v>2277</v>
      </c>
      <c r="AQ259" t="s">
        <v>72</v>
      </c>
      <c r="AR259" t="s">
        <v>2278</v>
      </c>
      <c r="AS259" t="s">
        <v>2279</v>
      </c>
      <c r="AT259" t="s">
        <v>72</v>
      </c>
      <c r="AU259">
        <v>2018</v>
      </c>
      <c r="AV259">
        <v>15</v>
      </c>
      <c r="AW259">
        <v>3</v>
      </c>
      <c r="AX259" t="s">
        <v>72</v>
      </c>
      <c r="AY259" t="s">
        <v>72</v>
      </c>
      <c r="AZ259" t="s">
        <v>72</v>
      </c>
      <c r="BA259" t="s">
        <v>72</v>
      </c>
      <c r="BB259">
        <v>245</v>
      </c>
      <c r="BC259">
        <v>261</v>
      </c>
      <c r="BD259" t="s">
        <v>72</v>
      </c>
      <c r="BE259" t="s">
        <v>7244</v>
      </c>
      <c r="BF259" t="str">
        <f>HYPERLINK("http://dx.doi.org/10.1080/19331681.2018.1485606","http://dx.doi.org/10.1080/19331681.2018.1485606")</f>
        <v>http://dx.doi.org/10.1080/19331681.2018.1485606</v>
      </c>
      <c r="BG259" t="s">
        <v>72</v>
      </c>
      <c r="BH259" t="s">
        <v>72</v>
      </c>
      <c r="BI259">
        <v>17</v>
      </c>
      <c r="BJ259" t="s">
        <v>278</v>
      </c>
      <c r="BK259" s="1" t="s">
        <v>17619</v>
      </c>
      <c r="BL259" t="s">
        <v>7245</v>
      </c>
      <c r="BM259" t="s">
        <v>72</v>
      </c>
      <c r="BN259" t="s">
        <v>72</v>
      </c>
      <c r="BO259" t="s">
        <v>72</v>
      </c>
      <c r="BP259" t="s">
        <v>72</v>
      </c>
      <c r="BQ259" t="s">
        <v>100</v>
      </c>
      <c r="BR259" t="s">
        <v>7246</v>
      </c>
      <c r="BS259" t="str">
        <f>HYPERLINK("https%3A%2F%2Fwww.webofscience.com%2Fwos%2Fwoscc%2Ffull-record%2FWOS:000443744000004","View Full Record in Web of Science")</f>
        <v>View Full Record in Web of Science</v>
      </c>
    </row>
    <row r="260" spans="1:71" x14ac:dyDescent="0.2">
      <c r="A260" t="s">
        <v>70</v>
      </c>
      <c r="B260" t="s">
        <v>7656</v>
      </c>
      <c r="C260" t="s">
        <v>72</v>
      </c>
      <c r="D260" t="s">
        <v>72</v>
      </c>
      <c r="E260" t="s">
        <v>72</v>
      </c>
      <c r="F260" t="s">
        <v>7657</v>
      </c>
      <c r="G260" t="s">
        <v>72</v>
      </c>
      <c r="H260" t="s">
        <v>72</v>
      </c>
      <c r="I260" t="s">
        <v>7658</v>
      </c>
      <c r="J260" t="s">
        <v>7659</v>
      </c>
      <c r="K260" t="s">
        <v>72</v>
      </c>
      <c r="L260" t="s">
        <v>72</v>
      </c>
      <c r="M260" t="s">
        <v>76</v>
      </c>
      <c r="N260" t="s">
        <v>77</v>
      </c>
      <c r="O260" t="s">
        <v>72</v>
      </c>
      <c r="P260" t="s">
        <v>72</v>
      </c>
      <c r="Q260" t="s">
        <v>72</v>
      </c>
      <c r="R260" t="s">
        <v>72</v>
      </c>
      <c r="S260" t="s">
        <v>72</v>
      </c>
      <c r="T260" t="s">
        <v>72</v>
      </c>
      <c r="U260" t="s">
        <v>7660</v>
      </c>
      <c r="V260" t="s">
        <v>7661</v>
      </c>
      <c r="W260" t="s">
        <v>7662</v>
      </c>
      <c r="X260" t="s">
        <v>164</v>
      </c>
      <c r="Y260" t="s">
        <v>7663</v>
      </c>
      <c r="Z260" t="s">
        <v>7664</v>
      </c>
      <c r="AA260" t="s">
        <v>72</v>
      </c>
      <c r="AB260" t="s">
        <v>72</v>
      </c>
      <c r="AC260" t="s">
        <v>7665</v>
      </c>
      <c r="AD260" t="s">
        <v>7666</v>
      </c>
      <c r="AE260" t="s">
        <v>7667</v>
      </c>
      <c r="AF260" t="s">
        <v>72</v>
      </c>
      <c r="AG260">
        <v>51</v>
      </c>
      <c r="AH260">
        <v>3</v>
      </c>
      <c r="AI260">
        <v>3</v>
      </c>
      <c r="AJ260">
        <v>0</v>
      </c>
      <c r="AK260">
        <v>3</v>
      </c>
      <c r="AL260" t="s">
        <v>879</v>
      </c>
      <c r="AM260" t="s">
        <v>451</v>
      </c>
      <c r="AN260" t="s">
        <v>880</v>
      </c>
      <c r="AO260" t="s">
        <v>7668</v>
      </c>
      <c r="AP260" t="s">
        <v>7669</v>
      </c>
      <c r="AQ260" t="s">
        <v>72</v>
      </c>
      <c r="AR260" t="s">
        <v>7670</v>
      </c>
      <c r="AS260" t="s">
        <v>7671</v>
      </c>
      <c r="AT260" t="s">
        <v>792</v>
      </c>
      <c r="AU260">
        <v>2020</v>
      </c>
      <c r="AV260">
        <v>32</v>
      </c>
      <c r="AW260">
        <v>2</v>
      </c>
      <c r="AX260" t="s">
        <v>72</v>
      </c>
      <c r="AY260" t="s">
        <v>72</v>
      </c>
      <c r="AZ260" t="s">
        <v>72</v>
      </c>
      <c r="BA260" t="s">
        <v>72</v>
      </c>
      <c r="BB260">
        <v>223</v>
      </c>
      <c r="BC260">
        <v>242</v>
      </c>
      <c r="BD260" t="s">
        <v>72</v>
      </c>
      <c r="BE260" t="s">
        <v>7672</v>
      </c>
      <c r="BF260" t="str">
        <f>HYPERLINK("http://dx.doi.org/10.1093/ijpor/edz025","http://dx.doi.org/10.1093/ijpor/edz025")</f>
        <v>http://dx.doi.org/10.1093/ijpor/edz025</v>
      </c>
      <c r="BG260" t="s">
        <v>72</v>
      </c>
      <c r="BH260" t="s">
        <v>72</v>
      </c>
      <c r="BI260">
        <v>20</v>
      </c>
      <c r="BJ260" t="s">
        <v>278</v>
      </c>
      <c r="BK260" s="1" t="s">
        <v>17619</v>
      </c>
      <c r="BL260" t="s">
        <v>7673</v>
      </c>
      <c r="BM260" t="s">
        <v>72</v>
      </c>
      <c r="BN260" t="s">
        <v>346</v>
      </c>
      <c r="BO260" t="s">
        <v>72</v>
      </c>
      <c r="BP260" t="s">
        <v>72</v>
      </c>
      <c r="BQ260" t="s">
        <v>100</v>
      </c>
      <c r="BR260" t="s">
        <v>7674</v>
      </c>
      <c r="BS260" t="str">
        <f>HYPERLINK("https%3A%2F%2Fwww.webofscience.com%2Fwos%2Fwoscc%2Ffull-record%2FWOS:000607745700002","View Full Record in Web of Science")</f>
        <v>View Full Record in Web of Science</v>
      </c>
    </row>
    <row r="261" spans="1:71" x14ac:dyDescent="0.2">
      <c r="A261" t="s">
        <v>70</v>
      </c>
      <c r="B261" t="s">
        <v>7869</v>
      </c>
      <c r="C261" t="s">
        <v>72</v>
      </c>
      <c r="D261" t="s">
        <v>72</v>
      </c>
      <c r="E261" t="s">
        <v>72</v>
      </c>
      <c r="F261" t="s">
        <v>7870</v>
      </c>
      <c r="G261" t="s">
        <v>72</v>
      </c>
      <c r="H261" t="s">
        <v>72</v>
      </c>
      <c r="I261" t="s">
        <v>7871</v>
      </c>
      <c r="J261" t="s">
        <v>256</v>
      </c>
      <c r="K261" t="s">
        <v>72</v>
      </c>
      <c r="L261" t="s">
        <v>72</v>
      </c>
      <c r="M261" t="s">
        <v>76</v>
      </c>
      <c r="N261" t="s">
        <v>77</v>
      </c>
      <c r="O261" t="s">
        <v>72</v>
      </c>
      <c r="P261" t="s">
        <v>72</v>
      </c>
      <c r="Q261" t="s">
        <v>72</v>
      </c>
      <c r="R261" t="s">
        <v>72</v>
      </c>
      <c r="S261" t="s">
        <v>72</v>
      </c>
      <c r="T261" t="s">
        <v>7872</v>
      </c>
      <c r="U261" t="s">
        <v>7873</v>
      </c>
      <c r="V261" t="s">
        <v>7874</v>
      </c>
      <c r="W261" t="s">
        <v>7875</v>
      </c>
      <c r="X261" t="s">
        <v>7876</v>
      </c>
      <c r="Y261" t="s">
        <v>7877</v>
      </c>
      <c r="Z261" t="s">
        <v>7878</v>
      </c>
      <c r="AA261" t="s">
        <v>7879</v>
      </c>
      <c r="AB261" t="s">
        <v>7880</v>
      </c>
      <c r="AC261" t="s">
        <v>7881</v>
      </c>
      <c r="AD261" t="s">
        <v>7882</v>
      </c>
      <c r="AE261" t="s">
        <v>7883</v>
      </c>
      <c r="AF261" t="s">
        <v>72</v>
      </c>
      <c r="AG261">
        <v>65</v>
      </c>
      <c r="AH261">
        <v>5</v>
      </c>
      <c r="AI261">
        <v>5</v>
      </c>
      <c r="AJ261">
        <v>1</v>
      </c>
      <c r="AK261">
        <v>12</v>
      </c>
      <c r="AL261" t="s">
        <v>269</v>
      </c>
      <c r="AM261" t="s">
        <v>270</v>
      </c>
      <c r="AN261" t="s">
        <v>271</v>
      </c>
      <c r="AO261" t="s">
        <v>272</v>
      </c>
      <c r="AP261" t="s">
        <v>273</v>
      </c>
      <c r="AQ261" t="s">
        <v>72</v>
      </c>
      <c r="AR261" t="s">
        <v>274</v>
      </c>
      <c r="AS261" t="s">
        <v>275</v>
      </c>
      <c r="AT261" t="s">
        <v>72</v>
      </c>
      <c r="AU261">
        <v>2018</v>
      </c>
      <c r="AV261">
        <v>35</v>
      </c>
      <c r="AW261">
        <v>3</v>
      </c>
      <c r="AX261" t="s">
        <v>72</v>
      </c>
      <c r="AY261" t="s">
        <v>72</v>
      </c>
      <c r="AZ261" t="s">
        <v>72</v>
      </c>
      <c r="BA261" t="s">
        <v>72</v>
      </c>
      <c r="BB261">
        <v>393</v>
      </c>
      <c r="BC261">
        <v>412</v>
      </c>
      <c r="BD261" t="s">
        <v>72</v>
      </c>
      <c r="BE261" t="s">
        <v>7884</v>
      </c>
      <c r="BF261" t="str">
        <f>HYPERLINK("http://dx.doi.org/10.1080/10584609.2017.1384771","http://dx.doi.org/10.1080/10584609.2017.1384771")</f>
        <v>http://dx.doi.org/10.1080/10584609.2017.1384771</v>
      </c>
      <c r="BG261" t="s">
        <v>72</v>
      </c>
      <c r="BH261" t="s">
        <v>72</v>
      </c>
      <c r="BI261">
        <v>20</v>
      </c>
      <c r="BJ261" t="s">
        <v>278</v>
      </c>
      <c r="BK261" s="1" t="s">
        <v>17619</v>
      </c>
      <c r="BL261" t="s">
        <v>7885</v>
      </c>
      <c r="BM261" t="s">
        <v>72</v>
      </c>
      <c r="BN261" t="s">
        <v>4522</v>
      </c>
      <c r="BO261" t="s">
        <v>72</v>
      </c>
      <c r="BP261" t="s">
        <v>72</v>
      </c>
      <c r="BQ261" t="s">
        <v>100</v>
      </c>
      <c r="BR261" t="s">
        <v>7886</v>
      </c>
      <c r="BS261" t="str">
        <f>HYPERLINK("https%3A%2F%2Fwww.webofscience.com%2Fwos%2Fwoscc%2Ffull-record%2FWOS:000438409200004","View Full Record in Web of Science")</f>
        <v>View Full Record in Web of Science</v>
      </c>
    </row>
    <row r="262" spans="1:71" x14ac:dyDescent="0.2">
      <c r="A262" t="s">
        <v>70</v>
      </c>
      <c r="B262" t="s">
        <v>8131</v>
      </c>
      <c r="C262" t="s">
        <v>72</v>
      </c>
      <c r="D262" t="s">
        <v>72</v>
      </c>
      <c r="E262" t="s">
        <v>72</v>
      </c>
      <c r="F262" t="s">
        <v>8132</v>
      </c>
      <c r="G262" t="s">
        <v>72</v>
      </c>
      <c r="H262" t="s">
        <v>72</v>
      </c>
      <c r="I262" t="s">
        <v>8133</v>
      </c>
      <c r="J262" t="s">
        <v>1022</v>
      </c>
      <c r="K262" t="s">
        <v>72</v>
      </c>
      <c r="L262" t="s">
        <v>72</v>
      </c>
      <c r="M262" t="s">
        <v>76</v>
      </c>
      <c r="N262" t="s">
        <v>352</v>
      </c>
      <c r="O262" t="s">
        <v>72</v>
      </c>
      <c r="P262" t="s">
        <v>72</v>
      </c>
      <c r="Q262" t="s">
        <v>72</v>
      </c>
      <c r="R262" t="s">
        <v>72</v>
      </c>
      <c r="S262" t="s">
        <v>72</v>
      </c>
      <c r="T262" t="s">
        <v>8134</v>
      </c>
      <c r="U262" t="s">
        <v>8135</v>
      </c>
      <c r="V262" t="s">
        <v>8136</v>
      </c>
      <c r="W262" t="s">
        <v>8137</v>
      </c>
      <c r="X262" t="s">
        <v>8138</v>
      </c>
      <c r="Y262" t="s">
        <v>8139</v>
      </c>
      <c r="Z262" t="s">
        <v>8140</v>
      </c>
      <c r="AA262" t="s">
        <v>72</v>
      </c>
      <c r="AB262" t="s">
        <v>72</v>
      </c>
      <c r="AC262" t="s">
        <v>8141</v>
      </c>
      <c r="AD262" t="s">
        <v>8141</v>
      </c>
      <c r="AE262" t="s">
        <v>8142</v>
      </c>
      <c r="AF262" t="s">
        <v>72</v>
      </c>
      <c r="AG262">
        <v>95</v>
      </c>
      <c r="AH262">
        <v>0</v>
      </c>
      <c r="AI262">
        <v>0</v>
      </c>
      <c r="AJ262">
        <v>7</v>
      </c>
      <c r="AK262">
        <v>7</v>
      </c>
      <c r="AL262" t="s">
        <v>190</v>
      </c>
      <c r="AM262" t="s">
        <v>191</v>
      </c>
      <c r="AN262" t="s">
        <v>192</v>
      </c>
      <c r="AO262" t="s">
        <v>1031</v>
      </c>
      <c r="AP262" t="s">
        <v>1032</v>
      </c>
      <c r="AQ262" t="s">
        <v>72</v>
      </c>
      <c r="AR262" t="s">
        <v>1033</v>
      </c>
      <c r="AS262" t="s">
        <v>1034</v>
      </c>
      <c r="AT262" t="s">
        <v>72</v>
      </c>
      <c r="AU262" t="s">
        <v>72</v>
      </c>
      <c r="AV262" t="s">
        <v>72</v>
      </c>
      <c r="AW262" t="s">
        <v>72</v>
      </c>
      <c r="AX262" t="s">
        <v>72</v>
      </c>
      <c r="AY262" t="s">
        <v>72</v>
      </c>
      <c r="AZ262" t="s">
        <v>72</v>
      </c>
      <c r="BA262" t="s">
        <v>72</v>
      </c>
      <c r="BB262" t="s">
        <v>72</v>
      </c>
      <c r="BC262" t="s">
        <v>72</v>
      </c>
      <c r="BD262">
        <v>1.9401612221102032E+16</v>
      </c>
      <c r="BE262" t="s">
        <v>8143</v>
      </c>
      <c r="BF262" t="str">
        <f>HYPERLINK("http://dx.doi.org/10.1177/19401612221102030","http://dx.doi.org/10.1177/19401612221102030")</f>
        <v>http://dx.doi.org/10.1177/19401612221102030</v>
      </c>
      <c r="BG262" t="s">
        <v>72</v>
      </c>
      <c r="BH262" t="s">
        <v>1403</v>
      </c>
      <c r="BI262">
        <v>27</v>
      </c>
      <c r="BJ262" t="s">
        <v>278</v>
      </c>
      <c r="BK262" s="1" t="s">
        <v>17619</v>
      </c>
      <c r="BL262" t="s">
        <v>8144</v>
      </c>
      <c r="BM262" t="s">
        <v>72</v>
      </c>
      <c r="BN262" t="s">
        <v>72</v>
      </c>
      <c r="BO262" t="s">
        <v>72</v>
      </c>
      <c r="BP262" t="s">
        <v>72</v>
      </c>
      <c r="BQ262" t="s">
        <v>100</v>
      </c>
      <c r="BR262" t="s">
        <v>8145</v>
      </c>
      <c r="BS262" t="str">
        <f>HYPERLINK("https%3A%2F%2Fwww.webofscience.com%2Fwos%2Fwoscc%2Ffull-record%2FWOS:000805319700001","View Full Record in Web of Science")</f>
        <v>View Full Record in Web of Science</v>
      </c>
    </row>
    <row r="263" spans="1:71" x14ac:dyDescent="0.2">
      <c r="A263" t="s">
        <v>70</v>
      </c>
      <c r="B263" t="s">
        <v>8426</v>
      </c>
      <c r="C263" t="s">
        <v>72</v>
      </c>
      <c r="D263" t="s">
        <v>72</v>
      </c>
      <c r="E263" t="s">
        <v>72</v>
      </c>
      <c r="F263" t="s">
        <v>8427</v>
      </c>
      <c r="G263" t="s">
        <v>72</v>
      </c>
      <c r="H263" t="s">
        <v>72</v>
      </c>
      <c r="I263" t="s">
        <v>8428</v>
      </c>
      <c r="J263" t="s">
        <v>8429</v>
      </c>
      <c r="K263" t="s">
        <v>72</v>
      </c>
      <c r="L263" t="s">
        <v>72</v>
      </c>
      <c r="M263" t="s">
        <v>76</v>
      </c>
      <c r="N263" t="s">
        <v>77</v>
      </c>
      <c r="O263" t="s">
        <v>72</v>
      </c>
      <c r="P263" t="s">
        <v>72</v>
      </c>
      <c r="Q263" t="s">
        <v>72</v>
      </c>
      <c r="R263" t="s">
        <v>72</v>
      </c>
      <c r="S263" t="s">
        <v>72</v>
      </c>
      <c r="T263" t="s">
        <v>8430</v>
      </c>
      <c r="U263" t="s">
        <v>8431</v>
      </c>
      <c r="V263" t="s">
        <v>8432</v>
      </c>
      <c r="W263" t="s">
        <v>8433</v>
      </c>
      <c r="X263" t="s">
        <v>8434</v>
      </c>
      <c r="Y263" t="s">
        <v>8435</v>
      </c>
      <c r="Z263" t="s">
        <v>8436</v>
      </c>
      <c r="AA263" t="s">
        <v>8437</v>
      </c>
      <c r="AB263" t="s">
        <v>8438</v>
      </c>
      <c r="AC263" t="s">
        <v>72</v>
      </c>
      <c r="AD263" t="s">
        <v>72</v>
      </c>
      <c r="AE263" t="s">
        <v>72</v>
      </c>
      <c r="AF263" t="s">
        <v>72</v>
      </c>
      <c r="AG263">
        <v>73</v>
      </c>
      <c r="AH263">
        <v>63</v>
      </c>
      <c r="AI263">
        <v>66</v>
      </c>
      <c r="AJ263">
        <v>2</v>
      </c>
      <c r="AK263">
        <v>81</v>
      </c>
      <c r="AL263" t="s">
        <v>190</v>
      </c>
      <c r="AM263" t="s">
        <v>191</v>
      </c>
      <c r="AN263" t="s">
        <v>192</v>
      </c>
      <c r="AO263" t="s">
        <v>8439</v>
      </c>
      <c r="AP263" t="s">
        <v>72</v>
      </c>
      <c r="AQ263" t="s">
        <v>72</v>
      </c>
      <c r="AR263" t="s">
        <v>8440</v>
      </c>
      <c r="AS263" t="s">
        <v>8441</v>
      </c>
      <c r="AT263" t="s">
        <v>4105</v>
      </c>
      <c r="AU263">
        <v>2007</v>
      </c>
      <c r="AV263">
        <v>12</v>
      </c>
      <c r="AW263">
        <v>1</v>
      </c>
      <c r="AX263" t="s">
        <v>72</v>
      </c>
      <c r="AY263" t="s">
        <v>72</v>
      </c>
      <c r="AZ263" t="s">
        <v>72</v>
      </c>
      <c r="BA263" t="s">
        <v>72</v>
      </c>
      <c r="BB263">
        <v>68</v>
      </c>
      <c r="BC263">
        <v>90</v>
      </c>
      <c r="BD263" t="s">
        <v>72</v>
      </c>
      <c r="BE263" t="s">
        <v>8442</v>
      </c>
      <c r="BF263" t="str">
        <f>HYPERLINK("http://dx.doi.org/10.1177/1081180X06297436","http://dx.doi.org/10.1177/1081180X06297436")</f>
        <v>http://dx.doi.org/10.1177/1081180X06297436</v>
      </c>
      <c r="BG263" t="s">
        <v>72</v>
      </c>
      <c r="BH263" t="s">
        <v>72</v>
      </c>
      <c r="BI263">
        <v>23</v>
      </c>
      <c r="BJ263" t="s">
        <v>278</v>
      </c>
      <c r="BK263" s="1" t="s">
        <v>17619</v>
      </c>
      <c r="BL263" t="s">
        <v>8443</v>
      </c>
      <c r="BM263" t="s">
        <v>72</v>
      </c>
      <c r="BN263" t="s">
        <v>72</v>
      </c>
      <c r="BO263" t="s">
        <v>72</v>
      </c>
      <c r="BP263" t="s">
        <v>72</v>
      </c>
      <c r="BQ263" t="s">
        <v>100</v>
      </c>
      <c r="BR263" t="s">
        <v>8444</v>
      </c>
      <c r="BS263" t="str">
        <f>HYPERLINK("https%3A%2F%2Fwww.webofscience.com%2Fwos%2Fwoscc%2Ffull-record%2FWOS:000244349300004","View Full Record in Web of Science")</f>
        <v>View Full Record in Web of Science</v>
      </c>
    </row>
    <row r="264" spans="1:71" x14ac:dyDescent="0.2">
      <c r="A264" t="s">
        <v>70</v>
      </c>
      <c r="B264" t="s">
        <v>10886</v>
      </c>
      <c r="C264" t="s">
        <v>72</v>
      </c>
      <c r="D264" t="s">
        <v>72</v>
      </c>
      <c r="E264" t="s">
        <v>72</v>
      </c>
      <c r="F264" t="s">
        <v>10887</v>
      </c>
      <c r="G264" t="s">
        <v>72</v>
      </c>
      <c r="H264" t="s">
        <v>72</v>
      </c>
      <c r="I264" t="s">
        <v>10888</v>
      </c>
      <c r="J264" t="s">
        <v>1022</v>
      </c>
      <c r="K264" t="s">
        <v>72</v>
      </c>
      <c r="L264" t="s">
        <v>72</v>
      </c>
      <c r="M264" t="s">
        <v>76</v>
      </c>
      <c r="N264" t="s">
        <v>77</v>
      </c>
      <c r="O264" t="s">
        <v>72</v>
      </c>
      <c r="P264" t="s">
        <v>72</v>
      </c>
      <c r="Q264" t="s">
        <v>72</v>
      </c>
      <c r="R264" t="s">
        <v>72</v>
      </c>
      <c r="S264" t="s">
        <v>72</v>
      </c>
      <c r="T264" t="s">
        <v>10889</v>
      </c>
      <c r="U264" t="s">
        <v>10890</v>
      </c>
      <c r="V264" t="s">
        <v>10891</v>
      </c>
      <c r="W264" t="s">
        <v>10892</v>
      </c>
      <c r="X264" t="s">
        <v>10893</v>
      </c>
      <c r="Y264" t="s">
        <v>10894</v>
      </c>
      <c r="Z264" t="s">
        <v>10895</v>
      </c>
      <c r="AA264" t="s">
        <v>10896</v>
      </c>
      <c r="AB264" t="s">
        <v>10897</v>
      </c>
      <c r="AC264" t="s">
        <v>10898</v>
      </c>
      <c r="AD264" t="s">
        <v>10898</v>
      </c>
      <c r="AE264" t="s">
        <v>10899</v>
      </c>
      <c r="AF264" t="s">
        <v>72</v>
      </c>
      <c r="AG264">
        <v>60</v>
      </c>
      <c r="AH264">
        <v>6</v>
      </c>
      <c r="AI264">
        <v>6</v>
      </c>
      <c r="AJ264">
        <v>2</v>
      </c>
      <c r="AK264">
        <v>14</v>
      </c>
      <c r="AL264" t="s">
        <v>190</v>
      </c>
      <c r="AM264" t="s">
        <v>191</v>
      </c>
      <c r="AN264" t="s">
        <v>192</v>
      </c>
      <c r="AO264" t="s">
        <v>1031</v>
      </c>
      <c r="AP264" t="s">
        <v>1032</v>
      </c>
      <c r="AQ264" t="s">
        <v>72</v>
      </c>
      <c r="AR264" t="s">
        <v>1033</v>
      </c>
      <c r="AS264" t="s">
        <v>1034</v>
      </c>
      <c r="AT264" t="s">
        <v>776</v>
      </c>
      <c r="AU264">
        <v>2019</v>
      </c>
      <c r="AV264">
        <v>24</v>
      </c>
      <c r="AW264">
        <v>3</v>
      </c>
      <c r="AX264" t="s">
        <v>72</v>
      </c>
      <c r="AY264" t="s">
        <v>72</v>
      </c>
      <c r="AZ264" t="s">
        <v>72</v>
      </c>
      <c r="BA264" t="s">
        <v>72</v>
      </c>
      <c r="BB264">
        <v>269</v>
      </c>
      <c r="BC264">
        <v>292</v>
      </c>
      <c r="BD264" t="s">
        <v>72</v>
      </c>
      <c r="BE264" t="s">
        <v>10900</v>
      </c>
      <c r="BF264" t="str">
        <f>HYPERLINK("http://dx.doi.org/10.1177/1940161219832416","http://dx.doi.org/10.1177/1940161219832416")</f>
        <v>http://dx.doi.org/10.1177/1940161219832416</v>
      </c>
      <c r="BG264" t="s">
        <v>72</v>
      </c>
      <c r="BH264" t="s">
        <v>72</v>
      </c>
      <c r="BI264">
        <v>24</v>
      </c>
      <c r="BJ264" t="s">
        <v>278</v>
      </c>
      <c r="BK264" s="1" t="s">
        <v>17619</v>
      </c>
      <c r="BL264" t="s">
        <v>10901</v>
      </c>
      <c r="BM264" t="s">
        <v>72</v>
      </c>
      <c r="BN264" t="s">
        <v>72</v>
      </c>
      <c r="BO264" t="s">
        <v>72</v>
      </c>
      <c r="BP264" t="s">
        <v>72</v>
      </c>
      <c r="BQ264" t="s">
        <v>100</v>
      </c>
      <c r="BR264" t="s">
        <v>10902</v>
      </c>
      <c r="BS264" t="str">
        <f>HYPERLINK("https%3A%2F%2Fwww.webofscience.com%2Fwos%2Fwoscc%2Ffull-record%2FWOS:000471679500001","View Full Record in Web of Science")</f>
        <v>View Full Record in Web of Science</v>
      </c>
    </row>
    <row r="265" spans="1:71" x14ac:dyDescent="0.2">
      <c r="A265" t="s">
        <v>70</v>
      </c>
      <c r="B265" t="s">
        <v>10962</v>
      </c>
      <c r="C265" t="s">
        <v>72</v>
      </c>
      <c r="D265" t="s">
        <v>72</v>
      </c>
      <c r="E265" t="s">
        <v>72</v>
      </c>
      <c r="F265" t="s">
        <v>10963</v>
      </c>
      <c r="G265" t="s">
        <v>72</v>
      </c>
      <c r="H265" t="s">
        <v>72</v>
      </c>
      <c r="I265" t="s">
        <v>10964</v>
      </c>
      <c r="J265" t="s">
        <v>2266</v>
      </c>
      <c r="K265" t="s">
        <v>72</v>
      </c>
      <c r="L265" t="s">
        <v>72</v>
      </c>
      <c r="M265" t="s">
        <v>76</v>
      </c>
      <c r="N265" t="s">
        <v>77</v>
      </c>
      <c r="O265" t="s">
        <v>72</v>
      </c>
      <c r="P265" t="s">
        <v>72</v>
      </c>
      <c r="Q265" t="s">
        <v>72</v>
      </c>
      <c r="R265" t="s">
        <v>72</v>
      </c>
      <c r="S265" t="s">
        <v>72</v>
      </c>
      <c r="T265" t="s">
        <v>10965</v>
      </c>
      <c r="U265" t="s">
        <v>10966</v>
      </c>
      <c r="V265" t="s">
        <v>10967</v>
      </c>
      <c r="W265" t="s">
        <v>10968</v>
      </c>
      <c r="X265" t="s">
        <v>164</v>
      </c>
      <c r="Y265" t="s">
        <v>10969</v>
      </c>
      <c r="Z265" t="s">
        <v>10970</v>
      </c>
      <c r="AA265" t="s">
        <v>72</v>
      </c>
      <c r="AB265" t="s">
        <v>72</v>
      </c>
      <c r="AC265" t="s">
        <v>10971</v>
      </c>
      <c r="AD265" t="s">
        <v>10971</v>
      </c>
      <c r="AE265" t="s">
        <v>10972</v>
      </c>
      <c r="AF265" t="s">
        <v>72</v>
      </c>
      <c r="AG265">
        <v>55</v>
      </c>
      <c r="AH265">
        <v>7</v>
      </c>
      <c r="AI265">
        <v>7</v>
      </c>
      <c r="AJ265">
        <v>0</v>
      </c>
      <c r="AK265">
        <v>5</v>
      </c>
      <c r="AL265" t="s">
        <v>364</v>
      </c>
      <c r="AM265" t="s">
        <v>365</v>
      </c>
      <c r="AN265" t="s">
        <v>366</v>
      </c>
      <c r="AO265" t="s">
        <v>2276</v>
      </c>
      <c r="AP265" t="s">
        <v>2277</v>
      </c>
      <c r="AQ265" t="s">
        <v>72</v>
      </c>
      <c r="AR265" t="s">
        <v>2278</v>
      </c>
      <c r="AS265" t="s">
        <v>2279</v>
      </c>
      <c r="AT265" t="s">
        <v>72</v>
      </c>
      <c r="AU265">
        <v>2019</v>
      </c>
      <c r="AV265">
        <v>16</v>
      </c>
      <c r="AW265">
        <v>4</v>
      </c>
      <c r="AX265" t="s">
        <v>72</v>
      </c>
      <c r="AY265" t="s">
        <v>72</v>
      </c>
      <c r="AZ265" t="s">
        <v>72</v>
      </c>
      <c r="BA265" t="s">
        <v>72</v>
      </c>
      <c r="BB265">
        <v>342</v>
      </c>
      <c r="BC265">
        <v>359</v>
      </c>
      <c r="BD265" t="s">
        <v>72</v>
      </c>
      <c r="BE265" t="s">
        <v>10973</v>
      </c>
      <c r="BF265" t="str">
        <f>HYPERLINK("http://dx.doi.org/10.1080/19331681.2019.1657046","http://dx.doi.org/10.1080/19331681.2019.1657046")</f>
        <v>http://dx.doi.org/10.1080/19331681.2019.1657046</v>
      </c>
      <c r="BG265" t="s">
        <v>72</v>
      </c>
      <c r="BH265" t="s">
        <v>72</v>
      </c>
      <c r="BI265">
        <v>18</v>
      </c>
      <c r="BJ265" t="s">
        <v>278</v>
      </c>
      <c r="BK265" s="1" t="s">
        <v>17619</v>
      </c>
      <c r="BL265" t="s">
        <v>10974</v>
      </c>
      <c r="BM265" t="s">
        <v>72</v>
      </c>
      <c r="BN265" t="s">
        <v>346</v>
      </c>
      <c r="BO265" t="s">
        <v>72</v>
      </c>
      <c r="BP265" t="s">
        <v>72</v>
      </c>
      <c r="BQ265" t="s">
        <v>100</v>
      </c>
      <c r="BR265" t="s">
        <v>10975</v>
      </c>
      <c r="BS265" t="str">
        <f>HYPERLINK("https%3A%2F%2Fwww.webofscience.com%2Fwos%2Fwoscc%2Ffull-record%2FWOS:000497960800002","View Full Record in Web of Science")</f>
        <v>View Full Record in Web of Science</v>
      </c>
    </row>
    <row r="266" spans="1:71" x14ac:dyDescent="0.2">
      <c r="A266" t="s">
        <v>70</v>
      </c>
      <c r="B266" t="s">
        <v>9909</v>
      </c>
      <c r="C266" t="s">
        <v>72</v>
      </c>
      <c r="D266" t="s">
        <v>72</v>
      </c>
      <c r="E266" t="s">
        <v>72</v>
      </c>
      <c r="F266" t="s">
        <v>9910</v>
      </c>
      <c r="G266" t="s">
        <v>72</v>
      </c>
      <c r="H266" t="s">
        <v>72</v>
      </c>
      <c r="I266" t="s">
        <v>11337</v>
      </c>
      <c r="J266" t="s">
        <v>1022</v>
      </c>
      <c r="K266" t="s">
        <v>72</v>
      </c>
      <c r="L266" t="s">
        <v>72</v>
      </c>
      <c r="M266" t="s">
        <v>76</v>
      </c>
      <c r="N266" t="s">
        <v>77</v>
      </c>
      <c r="O266" t="s">
        <v>72</v>
      </c>
      <c r="P266" t="s">
        <v>72</v>
      </c>
      <c r="Q266" t="s">
        <v>72</v>
      </c>
      <c r="R266" t="s">
        <v>72</v>
      </c>
      <c r="S266" t="s">
        <v>72</v>
      </c>
      <c r="T266" t="s">
        <v>11338</v>
      </c>
      <c r="U266" t="s">
        <v>11339</v>
      </c>
      <c r="V266" t="s">
        <v>11340</v>
      </c>
      <c r="W266" t="s">
        <v>11341</v>
      </c>
      <c r="X266" t="s">
        <v>11342</v>
      </c>
      <c r="Y266" t="s">
        <v>11343</v>
      </c>
      <c r="Z266" t="s">
        <v>9917</v>
      </c>
      <c r="AA266" t="s">
        <v>72</v>
      </c>
      <c r="AB266" t="s">
        <v>9918</v>
      </c>
      <c r="AC266" t="s">
        <v>72</v>
      </c>
      <c r="AD266" t="s">
        <v>72</v>
      </c>
      <c r="AE266" t="s">
        <v>72</v>
      </c>
      <c r="AF266" t="s">
        <v>72</v>
      </c>
      <c r="AG266">
        <v>48</v>
      </c>
      <c r="AH266">
        <v>3</v>
      </c>
      <c r="AI266">
        <v>3</v>
      </c>
      <c r="AJ266">
        <v>1</v>
      </c>
      <c r="AK266">
        <v>3</v>
      </c>
      <c r="AL266" t="s">
        <v>190</v>
      </c>
      <c r="AM266" t="s">
        <v>191</v>
      </c>
      <c r="AN266" t="s">
        <v>192</v>
      </c>
      <c r="AO266" t="s">
        <v>1031</v>
      </c>
      <c r="AP266" t="s">
        <v>1032</v>
      </c>
      <c r="AQ266" t="s">
        <v>72</v>
      </c>
      <c r="AR266" t="s">
        <v>1033</v>
      </c>
      <c r="AS266" t="s">
        <v>1034</v>
      </c>
      <c r="AT266" t="s">
        <v>149</v>
      </c>
      <c r="AU266">
        <v>2022</v>
      </c>
      <c r="AV266">
        <v>27</v>
      </c>
      <c r="AW266">
        <v>2</v>
      </c>
      <c r="AX266" t="s">
        <v>72</v>
      </c>
      <c r="AY266" t="s">
        <v>72</v>
      </c>
      <c r="AZ266" t="s">
        <v>72</v>
      </c>
      <c r="BA266" t="s">
        <v>72</v>
      </c>
      <c r="BB266">
        <v>417</v>
      </c>
      <c r="BC266">
        <v>438</v>
      </c>
      <c r="BD266">
        <v>1.9401612211015076E+16</v>
      </c>
      <c r="BE266" t="s">
        <v>11344</v>
      </c>
      <c r="BF266" t="str">
        <f>HYPERLINK("http://dx.doi.org/10.1177/19401612211015077","http://dx.doi.org/10.1177/19401612211015077")</f>
        <v>http://dx.doi.org/10.1177/19401612211015077</v>
      </c>
      <c r="BG266" t="s">
        <v>72</v>
      </c>
      <c r="BH266" t="s">
        <v>4075</v>
      </c>
      <c r="BI266">
        <v>22</v>
      </c>
      <c r="BJ266" t="s">
        <v>278</v>
      </c>
      <c r="BK266" s="1" t="s">
        <v>17619</v>
      </c>
      <c r="BL266" t="s">
        <v>11345</v>
      </c>
      <c r="BM266" t="s">
        <v>72</v>
      </c>
      <c r="BN266" t="s">
        <v>1128</v>
      </c>
      <c r="BO266" t="s">
        <v>72</v>
      </c>
      <c r="BP266" t="s">
        <v>72</v>
      </c>
      <c r="BQ266" t="s">
        <v>100</v>
      </c>
      <c r="BR266" t="s">
        <v>11346</v>
      </c>
      <c r="BS266" t="str">
        <f>HYPERLINK("https%3A%2F%2Fwww.webofscience.com%2Fwos%2Fwoscc%2Ffull-record%2FWOS:000649333700001","View Full Record in Web of Science")</f>
        <v>View Full Record in Web of Science</v>
      </c>
    </row>
    <row r="267" spans="1:71" x14ac:dyDescent="0.2">
      <c r="A267" t="s">
        <v>70</v>
      </c>
      <c r="B267" t="s">
        <v>12902</v>
      </c>
      <c r="C267" t="s">
        <v>72</v>
      </c>
      <c r="D267" t="s">
        <v>72</v>
      </c>
      <c r="E267" t="s">
        <v>72</v>
      </c>
      <c r="F267" t="s">
        <v>12903</v>
      </c>
      <c r="G267" t="s">
        <v>72</v>
      </c>
      <c r="H267" t="s">
        <v>72</v>
      </c>
      <c r="I267" t="s">
        <v>12904</v>
      </c>
      <c r="J267" t="s">
        <v>256</v>
      </c>
      <c r="K267" t="s">
        <v>72</v>
      </c>
      <c r="L267" t="s">
        <v>72</v>
      </c>
      <c r="M267" t="s">
        <v>76</v>
      </c>
      <c r="N267" t="s">
        <v>77</v>
      </c>
      <c r="O267" t="s">
        <v>72</v>
      </c>
      <c r="P267" t="s">
        <v>72</v>
      </c>
      <c r="Q267" t="s">
        <v>72</v>
      </c>
      <c r="R267" t="s">
        <v>72</v>
      </c>
      <c r="S267" t="s">
        <v>72</v>
      </c>
      <c r="T267" t="s">
        <v>12905</v>
      </c>
      <c r="U267" t="s">
        <v>12906</v>
      </c>
      <c r="V267" t="s">
        <v>12907</v>
      </c>
      <c r="W267" t="s">
        <v>12908</v>
      </c>
      <c r="X267" t="s">
        <v>1675</v>
      </c>
      <c r="Y267" t="s">
        <v>12909</v>
      </c>
      <c r="Z267" t="s">
        <v>12910</v>
      </c>
      <c r="AA267" t="s">
        <v>72</v>
      </c>
      <c r="AB267" t="s">
        <v>12911</v>
      </c>
      <c r="AC267" t="s">
        <v>12912</v>
      </c>
      <c r="AD267" t="s">
        <v>12913</v>
      </c>
      <c r="AE267" t="s">
        <v>12914</v>
      </c>
      <c r="AF267" t="s">
        <v>72</v>
      </c>
      <c r="AG267">
        <v>81</v>
      </c>
      <c r="AH267">
        <v>11</v>
      </c>
      <c r="AI267">
        <v>11</v>
      </c>
      <c r="AJ267">
        <v>0</v>
      </c>
      <c r="AK267">
        <v>8</v>
      </c>
      <c r="AL267" t="s">
        <v>269</v>
      </c>
      <c r="AM267" t="s">
        <v>270</v>
      </c>
      <c r="AN267" t="s">
        <v>271</v>
      </c>
      <c r="AO267" t="s">
        <v>272</v>
      </c>
      <c r="AP267" t="s">
        <v>273</v>
      </c>
      <c r="AQ267" t="s">
        <v>72</v>
      </c>
      <c r="AR267" t="s">
        <v>274</v>
      </c>
      <c r="AS267" t="s">
        <v>275</v>
      </c>
      <c r="AT267" t="s">
        <v>3888</v>
      </c>
      <c r="AU267">
        <v>2020</v>
      </c>
      <c r="AV267">
        <v>37</v>
      </c>
      <c r="AW267">
        <v>5</v>
      </c>
      <c r="AX267" t="s">
        <v>72</v>
      </c>
      <c r="AY267" t="s">
        <v>72</v>
      </c>
      <c r="AZ267" t="s">
        <v>72</v>
      </c>
      <c r="BA267" t="s">
        <v>72</v>
      </c>
      <c r="BB267">
        <v>696</v>
      </c>
      <c r="BC267">
        <v>718</v>
      </c>
      <c r="BD267" t="s">
        <v>72</v>
      </c>
      <c r="BE267" t="s">
        <v>12915</v>
      </c>
      <c r="BF267" t="str">
        <f>HYPERLINK("http://dx.doi.org/10.1080/10584609.2020.1744779","http://dx.doi.org/10.1080/10584609.2020.1744779")</f>
        <v>http://dx.doi.org/10.1080/10584609.2020.1744779</v>
      </c>
      <c r="BG267" t="s">
        <v>72</v>
      </c>
      <c r="BH267" t="s">
        <v>2656</v>
      </c>
      <c r="BI267">
        <v>23</v>
      </c>
      <c r="BJ267" t="s">
        <v>278</v>
      </c>
      <c r="BK267" s="1" t="s">
        <v>17619</v>
      </c>
      <c r="BL267" t="s">
        <v>12916</v>
      </c>
      <c r="BM267" t="s">
        <v>72</v>
      </c>
      <c r="BN267" t="s">
        <v>72</v>
      </c>
      <c r="BO267" t="s">
        <v>72</v>
      </c>
      <c r="BP267" t="s">
        <v>72</v>
      </c>
      <c r="BQ267" t="s">
        <v>100</v>
      </c>
      <c r="BR267" t="s">
        <v>12917</v>
      </c>
      <c r="BS267" t="str">
        <f>HYPERLINK("https%3A%2F%2Fwww.webofscience.com%2Fwos%2Fwoscc%2Ffull-record%2FWOS:000532418500001","View Full Record in Web of Science")</f>
        <v>View Full Record in Web of Science</v>
      </c>
    </row>
    <row r="268" spans="1:71" x14ac:dyDescent="0.2">
      <c r="A268" t="s">
        <v>70</v>
      </c>
      <c r="B268" t="s">
        <v>13181</v>
      </c>
      <c r="C268" t="s">
        <v>72</v>
      </c>
      <c r="D268" t="s">
        <v>72</v>
      </c>
      <c r="E268" t="s">
        <v>72</v>
      </c>
      <c r="F268" t="s">
        <v>13182</v>
      </c>
      <c r="G268" t="s">
        <v>72</v>
      </c>
      <c r="H268" t="s">
        <v>72</v>
      </c>
      <c r="I268" t="s">
        <v>13183</v>
      </c>
      <c r="J268" t="s">
        <v>1022</v>
      </c>
      <c r="K268" t="s">
        <v>72</v>
      </c>
      <c r="L268" t="s">
        <v>72</v>
      </c>
      <c r="M268" t="s">
        <v>76</v>
      </c>
      <c r="N268" t="s">
        <v>77</v>
      </c>
      <c r="O268" t="s">
        <v>72</v>
      </c>
      <c r="P268" t="s">
        <v>72</v>
      </c>
      <c r="Q268" t="s">
        <v>72</v>
      </c>
      <c r="R268" t="s">
        <v>72</v>
      </c>
      <c r="S268" t="s">
        <v>72</v>
      </c>
      <c r="T268" t="s">
        <v>13184</v>
      </c>
      <c r="U268" t="s">
        <v>13185</v>
      </c>
      <c r="V268" t="s">
        <v>13186</v>
      </c>
      <c r="W268" t="s">
        <v>13187</v>
      </c>
      <c r="X268" t="s">
        <v>3078</v>
      </c>
      <c r="Y268" t="s">
        <v>13188</v>
      </c>
      <c r="Z268" t="s">
        <v>13189</v>
      </c>
      <c r="AA268" t="s">
        <v>13190</v>
      </c>
      <c r="AB268" t="s">
        <v>13191</v>
      </c>
      <c r="AC268" t="s">
        <v>13192</v>
      </c>
      <c r="AD268" t="s">
        <v>13193</v>
      </c>
      <c r="AE268" t="s">
        <v>13194</v>
      </c>
      <c r="AF268" t="s">
        <v>72</v>
      </c>
      <c r="AG268">
        <v>82</v>
      </c>
      <c r="AH268">
        <v>16</v>
      </c>
      <c r="AI268">
        <v>16</v>
      </c>
      <c r="AJ268">
        <v>3</v>
      </c>
      <c r="AK268">
        <v>33</v>
      </c>
      <c r="AL268" t="s">
        <v>190</v>
      </c>
      <c r="AM268" t="s">
        <v>191</v>
      </c>
      <c r="AN268" t="s">
        <v>192</v>
      </c>
      <c r="AO268" t="s">
        <v>1031</v>
      </c>
      <c r="AP268" t="s">
        <v>1032</v>
      </c>
      <c r="AQ268" t="s">
        <v>72</v>
      </c>
      <c r="AR268" t="s">
        <v>1033</v>
      </c>
      <c r="AS268" t="s">
        <v>1034</v>
      </c>
      <c r="AT268" t="s">
        <v>247</v>
      </c>
      <c r="AU268">
        <v>2018</v>
      </c>
      <c r="AV268">
        <v>23</v>
      </c>
      <c r="AW268">
        <v>1</v>
      </c>
      <c r="AX268" t="s">
        <v>72</v>
      </c>
      <c r="AY268" t="s">
        <v>72</v>
      </c>
      <c r="AZ268" t="s">
        <v>72</v>
      </c>
      <c r="BA268" t="s">
        <v>72</v>
      </c>
      <c r="BB268">
        <v>70</v>
      </c>
      <c r="BC268">
        <v>94</v>
      </c>
      <c r="BD268" t="s">
        <v>72</v>
      </c>
      <c r="BE268" t="s">
        <v>13195</v>
      </c>
      <c r="BF268" t="str">
        <f>HYPERLINK("http://dx.doi.org/10.1177/1940161217740696","http://dx.doi.org/10.1177/1940161217740696")</f>
        <v>http://dx.doi.org/10.1177/1940161217740696</v>
      </c>
      <c r="BG268" t="s">
        <v>72</v>
      </c>
      <c r="BH268" t="s">
        <v>72</v>
      </c>
      <c r="BI268">
        <v>25</v>
      </c>
      <c r="BJ268" t="s">
        <v>278</v>
      </c>
      <c r="BK268" s="1" t="s">
        <v>17619</v>
      </c>
      <c r="BL268" t="s">
        <v>13196</v>
      </c>
      <c r="BM268">
        <v>29527251</v>
      </c>
      <c r="BN268" t="s">
        <v>2403</v>
      </c>
      <c r="BO268" t="s">
        <v>72</v>
      </c>
      <c r="BP268" t="s">
        <v>72</v>
      </c>
      <c r="BQ268" t="s">
        <v>100</v>
      </c>
      <c r="BR268" t="s">
        <v>13197</v>
      </c>
      <c r="BS268" t="str">
        <f>HYPERLINK("https%3A%2F%2Fwww.webofscience.com%2Fwos%2Fwoscc%2Ffull-record%2FWOS:000418189600004","View Full Record in Web of Science")</f>
        <v>View Full Record in Web of Science</v>
      </c>
    </row>
    <row r="269" spans="1:71" x14ac:dyDescent="0.2">
      <c r="A269" t="s">
        <v>70</v>
      </c>
      <c r="B269" t="s">
        <v>13589</v>
      </c>
      <c r="C269" t="s">
        <v>72</v>
      </c>
      <c r="D269" t="s">
        <v>72</v>
      </c>
      <c r="E269" t="s">
        <v>72</v>
      </c>
      <c r="F269" t="s">
        <v>13590</v>
      </c>
      <c r="G269" t="s">
        <v>72</v>
      </c>
      <c r="H269" t="s">
        <v>72</v>
      </c>
      <c r="I269" t="s">
        <v>13591</v>
      </c>
      <c r="J269" t="s">
        <v>1022</v>
      </c>
      <c r="K269" t="s">
        <v>72</v>
      </c>
      <c r="L269" t="s">
        <v>72</v>
      </c>
      <c r="M269" t="s">
        <v>76</v>
      </c>
      <c r="N269" t="s">
        <v>77</v>
      </c>
      <c r="O269" t="s">
        <v>72</v>
      </c>
      <c r="P269" t="s">
        <v>72</v>
      </c>
      <c r="Q269" t="s">
        <v>72</v>
      </c>
      <c r="R269" t="s">
        <v>72</v>
      </c>
      <c r="S269" t="s">
        <v>72</v>
      </c>
      <c r="T269" t="s">
        <v>13592</v>
      </c>
      <c r="U269" t="s">
        <v>13593</v>
      </c>
      <c r="V269" t="s">
        <v>13594</v>
      </c>
      <c r="W269" t="s">
        <v>13595</v>
      </c>
      <c r="X269" t="s">
        <v>13596</v>
      </c>
      <c r="Y269" t="s">
        <v>13597</v>
      </c>
      <c r="Z269" t="s">
        <v>13598</v>
      </c>
      <c r="AA269" t="s">
        <v>13599</v>
      </c>
      <c r="AB269" t="s">
        <v>13600</v>
      </c>
      <c r="AC269" t="s">
        <v>13601</v>
      </c>
      <c r="AD269" t="s">
        <v>13602</v>
      </c>
      <c r="AE269" t="s">
        <v>13603</v>
      </c>
      <c r="AF269" t="s">
        <v>72</v>
      </c>
      <c r="AG269">
        <v>41</v>
      </c>
      <c r="AH269">
        <v>4</v>
      </c>
      <c r="AI269">
        <v>4</v>
      </c>
      <c r="AJ269">
        <v>2</v>
      </c>
      <c r="AK269">
        <v>13</v>
      </c>
      <c r="AL269" t="s">
        <v>190</v>
      </c>
      <c r="AM269" t="s">
        <v>191</v>
      </c>
      <c r="AN269" t="s">
        <v>192</v>
      </c>
      <c r="AO269" t="s">
        <v>1031</v>
      </c>
      <c r="AP269" t="s">
        <v>1032</v>
      </c>
      <c r="AQ269" t="s">
        <v>72</v>
      </c>
      <c r="AR269" t="s">
        <v>1033</v>
      </c>
      <c r="AS269" t="s">
        <v>1034</v>
      </c>
      <c r="AT269" t="s">
        <v>776</v>
      </c>
      <c r="AU269">
        <v>2021</v>
      </c>
      <c r="AV269">
        <v>26</v>
      </c>
      <c r="AW269">
        <v>3</v>
      </c>
      <c r="AX269" t="s">
        <v>72</v>
      </c>
      <c r="AY269" t="s">
        <v>72</v>
      </c>
      <c r="AZ269" t="s">
        <v>72</v>
      </c>
      <c r="BA269" t="s">
        <v>72</v>
      </c>
      <c r="BB269">
        <v>719</v>
      </c>
      <c r="BC269">
        <v>742</v>
      </c>
      <c r="BD269">
        <v>1940161220935058</v>
      </c>
      <c r="BE269" t="s">
        <v>13604</v>
      </c>
      <c r="BF269" t="str">
        <f>HYPERLINK("http://dx.doi.org/10.1177/1940161220935058","http://dx.doi.org/10.1177/1940161220935058")</f>
        <v>http://dx.doi.org/10.1177/1940161220935058</v>
      </c>
      <c r="BG269" t="s">
        <v>72</v>
      </c>
      <c r="BH269" t="s">
        <v>480</v>
      </c>
      <c r="BI269">
        <v>24</v>
      </c>
      <c r="BJ269" t="s">
        <v>278</v>
      </c>
      <c r="BK269" s="1" t="s">
        <v>17619</v>
      </c>
      <c r="BL269" t="s">
        <v>13605</v>
      </c>
      <c r="BM269" t="s">
        <v>72</v>
      </c>
      <c r="BN269" t="s">
        <v>72</v>
      </c>
      <c r="BO269" t="s">
        <v>72</v>
      </c>
      <c r="BP269" t="s">
        <v>72</v>
      </c>
      <c r="BQ269" t="s">
        <v>100</v>
      </c>
      <c r="BR269" t="s">
        <v>13606</v>
      </c>
      <c r="BS269" t="str">
        <f>HYPERLINK("https%3A%2F%2Fwww.webofscience.com%2Fwos%2Fwoscc%2Ffull-record%2FWOS:000548587200001","View Full Record in Web of Science")</f>
        <v>View Full Record in Web of Science</v>
      </c>
    </row>
    <row r="270" spans="1:71" x14ac:dyDescent="0.2">
      <c r="A270" t="s">
        <v>70</v>
      </c>
      <c r="B270" t="s">
        <v>14754</v>
      </c>
      <c r="C270" t="s">
        <v>72</v>
      </c>
      <c r="D270" t="s">
        <v>72</v>
      </c>
      <c r="E270" t="s">
        <v>72</v>
      </c>
      <c r="F270" t="s">
        <v>14755</v>
      </c>
      <c r="G270" t="s">
        <v>72</v>
      </c>
      <c r="H270" t="s">
        <v>72</v>
      </c>
      <c r="I270" t="s">
        <v>14756</v>
      </c>
      <c r="J270" t="s">
        <v>256</v>
      </c>
      <c r="K270" t="s">
        <v>72</v>
      </c>
      <c r="L270" t="s">
        <v>72</v>
      </c>
      <c r="M270" t="s">
        <v>76</v>
      </c>
      <c r="N270" t="s">
        <v>77</v>
      </c>
      <c r="O270" t="s">
        <v>72</v>
      </c>
      <c r="P270" t="s">
        <v>72</v>
      </c>
      <c r="Q270" t="s">
        <v>72</v>
      </c>
      <c r="R270" t="s">
        <v>72</v>
      </c>
      <c r="S270" t="s">
        <v>72</v>
      </c>
      <c r="T270" t="s">
        <v>14757</v>
      </c>
      <c r="U270" t="s">
        <v>14758</v>
      </c>
      <c r="V270" t="s">
        <v>14759</v>
      </c>
      <c r="W270" t="s">
        <v>14760</v>
      </c>
      <c r="X270" t="s">
        <v>14761</v>
      </c>
      <c r="Y270" t="s">
        <v>14762</v>
      </c>
      <c r="Z270" t="s">
        <v>14763</v>
      </c>
      <c r="AA270" t="s">
        <v>14764</v>
      </c>
      <c r="AB270" t="s">
        <v>14765</v>
      </c>
      <c r="AC270" t="s">
        <v>14766</v>
      </c>
      <c r="AD270" t="s">
        <v>10707</v>
      </c>
      <c r="AE270" t="s">
        <v>14767</v>
      </c>
      <c r="AF270" t="s">
        <v>72</v>
      </c>
      <c r="AG270">
        <v>60</v>
      </c>
      <c r="AH270">
        <v>1</v>
      </c>
      <c r="AI270">
        <v>1</v>
      </c>
      <c r="AJ270">
        <v>4</v>
      </c>
      <c r="AK270">
        <v>38</v>
      </c>
      <c r="AL270" t="s">
        <v>269</v>
      </c>
      <c r="AM270" t="s">
        <v>270</v>
      </c>
      <c r="AN270" t="s">
        <v>271</v>
      </c>
      <c r="AO270" t="s">
        <v>272</v>
      </c>
      <c r="AP270" t="s">
        <v>273</v>
      </c>
      <c r="AQ270" t="s">
        <v>72</v>
      </c>
      <c r="AR270" t="s">
        <v>274</v>
      </c>
      <c r="AS270" t="s">
        <v>275</v>
      </c>
      <c r="AT270" t="s">
        <v>477</v>
      </c>
      <c r="AU270">
        <v>2021</v>
      </c>
      <c r="AV270">
        <v>38</v>
      </c>
      <c r="AW270">
        <v>4</v>
      </c>
      <c r="AX270" t="s">
        <v>72</v>
      </c>
      <c r="AY270" t="s">
        <v>72</v>
      </c>
      <c r="AZ270" t="s">
        <v>72</v>
      </c>
      <c r="BA270" t="s">
        <v>72</v>
      </c>
      <c r="BB270">
        <v>388</v>
      </c>
      <c r="BC270">
        <v>406</v>
      </c>
      <c r="BD270" t="s">
        <v>72</v>
      </c>
      <c r="BE270" t="s">
        <v>14768</v>
      </c>
      <c r="BF270" t="str">
        <f>HYPERLINK("http://dx.doi.org/10.1080/10584609.2020.1784326","http://dx.doi.org/10.1080/10584609.2020.1784326")</f>
        <v>http://dx.doi.org/10.1080/10584609.2020.1784326</v>
      </c>
      <c r="BG270" t="s">
        <v>72</v>
      </c>
      <c r="BH270" t="s">
        <v>2703</v>
      </c>
      <c r="BI270">
        <v>19</v>
      </c>
      <c r="BJ270" t="s">
        <v>278</v>
      </c>
      <c r="BK270" s="1" t="s">
        <v>17619</v>
      </c>
      <c r="BL270" t="s">
        <v>14769</v>
      </c>
      <c r="BM270" t="s">
        <v>72</v>
      </c>
      <c r="BN270" t="s">
        <v>72</v>
      </c>
      <c r="BO270" t="s">
        <v>72</v>
      </c>
      <c r="BP270" t="s">
        <v>72</v>
      </c>
      <c r="BQ270" t="s">
        <v>100</v>
      </c>
      <c r="BR270" t="s">
        <v>14770</v>
      </c>
      <c r="BS270" t="str">
        <f>HYPERLINK("https%3A%2F%2Fwww.webofscience.com%2Fwos%2Fwoscc%2Ffull-record%2FWOS:000573148700001","View Full Record in Web of Science")</f>
        <v>View Full Record in Web of Science</v>
      </c>
    </row>
    <row r="271" spans="1:71" x14ac:dyDescent="0.2">
      <c r="A271" t="s">
        <v>70</v>
      </c>
      <c r="B271" t="s">
        <v>15320</v>
      </c>
      <c r="C271" t="s">
        <v>72</v>
      </c>
      <c r="D271" t="s">
        <v>72</v>
      </c>
      <c r="E271" t="s">
        <v>72</v>
      </c>
      <c r="F271" t="s">
        <v>15321</v>
      </c>
      <c r="G271" t="s">
        <v>72</v>
      </c>
      <c r="H271" t="s">
        <v>72</v>
      </c>
      <c r="I271" t="s">
        <v>15322</v>
      </c>
      <c r="J271" t="s">
        <v>256</v>
      </c>
      <c r="K271" t="s">
        <v>72</v>
      </c>
      <c r="L271" t="s">
        <v>72</v>
      </c>
      <c r="M271" t="s">
        <v>76</v>
      </c>
      <c r="N271" t="s">
        <v>77</v>
      </c>
      <c r="O271" t="s">
        <v>72</v>
      </c>
      <c r="P271" t="s">
        <v>72</v>
      </c>
      <c r="Q271" t="s">
        <v>72</v>
      </c>
      <c r="R271" t="s">
        <v>72</v>
      </c>
      <c r="S271" t="s">
        <v>72</v>
      </c>
      <c r="T271" t="s">
        <v>15323</v>
      </c>
      <c r="U271" t="s">
        <v>15324</v>
      </c>
      <c r="V271" t="s">
        <v>15325</v>
      </c>
      <c r="W271" t="s">
        <v>15326</v>
      </c>
      <c r="X271" t="s">
        <v>15327</v>
      </c>
      <c r="Y271" t="s">
        <v>15328</v>
      </c>
      <c r="Z271" t="s">
        <v>15329</v>
      </c>
      <c r="AA271" t="s">
        <v>72</v>
      </c>
      <c r="AB271" t="s">
        <v>15330</v>
      </c>
      <c r="AC271" t="s">
        <v>15331</v>
      </c>
      <c r="AD271" t="s">
        <v>15331</v>
      </c>
      <c r="AE271" t="s">
        <v>15332</v>
      </c>
      <c r="AF271" t="s">
        <v>72</v>
      </c>
      <c r="AG271">
        <v>69</v>
      </c>
      <c r="AH271">
        <v>2</v>
      </c>
      <c r="AI271">
        <v>2</v>
      </c>
      <c r="AJ271">
        <v>2</v>
      </c>
      <c r="AK271">
        <v>28</v>
      </c>
      <c r="AL271" t="s">
        <v>269</v>
      </c>
      <c r="AM271" t="s">
        <v>270</v>
      </c>
      <c r="AN271" t="s">
        <v>271</v>
      </c>
      <c r="AO271" t="s">
        <v>272</v>
      </c>
      <c r="AP271" t="s">
        <v>273</v>
      </c>
      <c r="AQ271" t="s">
        <v>72</v>
      </c>
      <c r="AR271" t="s">
        <v>274</v>
      </c>
      <c r="AS271" t="s">
        <v>275</v>
      </c>
      <c r="AT271" t="s">
        <v>477</v>
      </c>
      <c r="AU271">
        <v>2021</v>
      </c>
      <c r="AV271">
        <v>38</v>
      </c>
      <c r="AW271">
        <v>4</v>
      </c>
      <c r="AX271" t="s">
        <v>72</v>
      </c>
      <c r="AY271" t="s">
        <v>72</v>
      </c>
      <c r="AZ271" t="s">
        <v>72</v>
      </c>
      <c r="BA271" t="s">
        <v>72</v>
      </c>
      <c r="BB271">
        <v>447</v>
      </c>
      <c r="BC271">
        <v>478</v>
      </c>
      <c r="BD271" t="s">
        <v>72</v>
      </c>
      <c r="BE271" t="s">
        <v>15333</v>
      </c>
      <c r="BF271" t="str">
        <f>HYPERLINK("http://dx.doi.org/10.1080/10584609.2020.1793846","http://dx.doi.org/10.1080/10584609.2020.1793846")</f>
        <v>http://dx.doi.org/10.1080/10584609.2020.1793846</v>
      </c>
      <c r="BG271" t="s">
        <v>72</v>
      </c>
      <c r="BH271" t="s">
        <v>5360</v>
      </c>
      <c r="BI271">
        <v>32</v>
      </c>
      <c r="BJ271" t="s">
        <v>278</v>
      </c>
      <c r="BK271" s="1" t="s">
        <v>17619</v>
      </c>
      <c r="BL271" t="s">
        <v>14769</v>
      </c>
      <c r="BM271" t="s">
        <v>72</v>
      </c>
      <c r="BN271" t="s">
        <v>72</v>
      </c>
      <c r="BO271" t="s">
        <v>72</v>
      </c>
      <c r="BP271" t="s">
        <v>72</v>
      </c>
      <c r="BQ271" t="s">
        <v>100</v>
      </c>
      <c r="BR271" t="s">
        <v>15334</v>
      </c>
      <c r="BS271" t="str">
        <f>HYPERLINK("https%3A%2F%2Fwww.webofscience.com%2Fwos%2Fwoscc%2Ffull-record%2FWOS:000560470500001","View Full Record in Web of Science")</f>
        <v>View Full Record in Web of Science</v>
      </c>
    </row>
    <row r="272" spans="1:71" x14ac:dyDescent="0.2">
      <c r="A272" t="s">
        <v>70</v>
      </c>
      <c r="B272" t="s">
        <v>15493</v>
      </c>
      <c r="C272" t="s">
        <v>72</v>
      </c>
      <c r="D272" t="s">
        <v>72</v>
      </c>
      <c r="E272" t="s">
        <v>72</v>
      </c>
      <c r="F272" t="s">
        <v>15494</v>
      </c>
      <c r="G272" t="s">
        <v>72</v>
      </c>
      <c r="H272" t="s">
        <v>72</v>
      </c>
      <c r="I272" t="s">
        <v>15495</v>
      </c>
      <c r="J272" t="s">
        <v>1022</v>
      </c>
      <c r="K272" t="s">
        <v>72</v>
      </c>
      <c r="L272" t="s">
        <v>72</v>
      </c>
      <c r="M272" t="s">
        <v>76</v>
      </c>
      <c r="N272" t="s">
        <v>352</v>
      </c>
      <c r="O272" t="s">
        <v>72</v>
      </c>
      <c r="P272" t="s">
        <v>72</v>
      </c>
      <c r="Q272" t="s">
        <v>72</v>
      </c>
      <c r="R272" t="s">
        <v>72</v>
      </c>
      <c r="S272" t="s">
        <v>72</v>
      </c>
      <c r="T272" t="s">
        <v>15496</v>
      </c>
      <c r="U272" t="s">
        <v>15497</v>
      </c>
      <c r="V272" t="s">
        <v>15498</v>
      </c>
      <c r="W272" t="s">
        <v>15499</v>
      </c>
      <c r="X272" t="s">
        <v>7021</v>
      </c>
      <c r="Y272" t="s">
        <v>15500</v>
      </c>
      <c r="Z272" t="s">
        <v>11107</v>
      </c>
      <c r="AA272" t="s">
        <v>11108</v>
      </c>
      <c r="AB272" t="s">
        <v>15501</v>
      </c>
      <c r="AC272" t="s">
        <v>3790</v>
      </c>
      <c r="AD272" t="s">
        <v>3791</v>
      </c>
      <c r="AE272" t="s">
        <v>3792</v>
      </c>
      <c r="AF272" t="s">
        <v>72</v>
      </c>
      <c r="AG272">
        <v>69</v>
      </c>
      <c r="AH272">
        <v>0</v>
      </c>
      <c r="AI272">
        <v>0</v>
      </c>
      <c r="AJ272">
        <v>1</v>
      </c>
      <c r="AK272">
        <v>1</v>
      </c>
      <c r="AL272" t="s">
        <v>190</v>
      </c>
      <c r="AM272" t="s">
        <v>191</v>
      </c>
      <c r="AN272" t="s">
        <v>192</v>
      </c>
      <c r="AO272" t="s">
        <v>1031</v>
      </c>
      <c r="AP272" t="s">
        <v>1032</v>
      </c>
      <c r="AQ272" t="s">
        <v>72</v>
      </c>
      <c r="AR272" t="s">
        <v>1033</v>
      </c>
      <c r="AS272" t="s">
        <v>1034</v>
      </c>
      <c r="AT272" t="s">
        <v>72</v>
      </c>
      <c r="AU272" t="s">
        <v>72</v>
      </c>
      <c r="AV272" t="s">
        <v>72</v>
      </c>
      <c r="AW272" t="s">
        <v>72</v>
      </c>
      <c r="AX272" t="s">
        <v>72</v>
      </c>
      <c r="AY272" t="s">
        <v>72</v>
      </c>
      <c r="AZ272" t="s">
        <v>72</v>
      </c>
      <c r="BA272" t="s">
        <v>72</v>
      </c>
      <c r="BB272" t="s">
        <v>72</v>
      </c>
      <c r="BC272" t="s">
        <v>72</v>
      </c>
      <c r="BD272">
        <v>1.940161222110474E+16</v>
      </c>
      <c r="BE272" t="s">
        <v>15502</v>
      </c>
      <c r="BF272" t="str">
        <f>HYPERLINK("http://dx.doi.org/10.1177/19401612221104740","http://dx.doi.org/10.1177/19401612221104740")</f>
        <v>http://dx.doi.org/10.1177/19401612221104740</v>
      </c>
      <c r="BG272" t="s">
        <v>72</v>
      </c>
      <c r="BH272" t="s">
        <v>988</v>
      </c>
      <c r="BI272">
        <v>21</v>
      </c>
      <c r="BJ272" t="s">
        <v>278</v>
      </c>
      <c r="BK272" s="1" t="s">
        <v>17619</v>
      </c>
      <c r="BL272" t="s">
        <v>15503</v>
      </c>
      <c r="BM272" t="s">
        <v>72</v>
      </c>
      <c r="BN272" t="s">
        <v>346</v>
      </c>
      <c r="BO272" t="s">
        <v>72</v>
      </c>
      <c r="BP272" t="s">
        <v>72</v>
      </c>
      <c r="BQ272" t="s">
        <v>100</v>
      </c>
      <c r="BR272" t="s">
        <v>15504</v>
      </c>
      <c r="BS272" t="str">
        <f>HYPERLINK("https%3A%2F%2Fwww.webofscience.com%2Fwos%2Fwoscc%2Ffull-record%2FWOS:000810471000001","View Full Record in Web of Science")</f>
        <v>View Full Record in Web of Science</v>
      </c>
    </row>
    <row r="273" spans="1:71" x14ac:dyDescent="0.2">
      <c r="A273" t="s">
        <v>70</v>
      </c>
      <c r="B273" t="s">
        <v>16213</v>
      </c>
      <c r="C273" t="s">
        <v>72</v>
      </c>
      <c r="D273" t="s">
        <v>72</v>
      </c>
      <c r="E273" t="s">
        <v>72</v>
      </c>
      <c r="F273" t="s">
        <v>16214</v>
      </c>
      <c r="G273" t="s">
        <v>72</v>
      </c>
      <c r="H273" t="s">
        <v>72</v>
      </c>
      <c r="I273" t="s">
        <v>16215</v>
      </c>
      <c r="J273" t="s">
        <v>256</v>
      </c>
      <c r="K273" t="s">
        <v>72</v>
      </c>
      <c r="L273" t="s">
        <v>72</v>
      </c>
      <c r="M273" t="s">
        <v>76</v>
      </c>
      <c r="N273" t="s">
        <v>77</v>
      </c>
      <c r="O273" t="s">
        <v>72</v>
      </c>
      <c r="P273" t="s">
        <v>72</v>
      </c>
      <c r="Q273" t="s">
        <v>72</v>
      </c>
      <c r="R273" t="s">
        <v>72</v>
      </c>
      <c r="S273" t="s">
        <v>72</v>
      </c>
      <c r="T273" t="s">
        <v>16216</v>
      </c>
      <c r="U273" t="s">
        <v>16217</v>
      </c>
      <c r="V273" t="s">
        <v>16218</v>
      </c>
      <c r="W273" t="s">
        <v>16219</v>
      </c>
      <c r="X273" t="s">
        <v>16220</v>
      </c>
      <c r="Y273" t="s">
        <v>16221</v>
      </c>
      <c r="Z273" t="s">
        <v>16222</v>
      </c>
      <c r="AA273" t="s">
        <v>72</v>
      </c>
      <c r="AB273" t="s">
        <v>16223</v>
      </c>
      <c r="AC273" t="s">
        <v>10706</v>
      </c>
      <c r="AD273" t="s">
        <v>10707</v>
      </c>
      <c r="AE273" t="s">
        <v>16224</v>
      </c>
      <c r="AF273" t="s">
        <v>72</v>
      </c>
      <c r="AG273">
        <v>91</v>
      </c>
      <c r="AH273">
        <v>0</v>
      </c>
      <c r="AI273">
        <v>0</v>
      </c>
      <c r="AJ273">
        <v>11</v>
      </c>
      <c r="AK273">
        <v>30</v>
      </c>
      <c r="AL273" t="s">
        <v>269</v>
      </c>
      <c r="AM273" t="s">
        <v>270</v>
      </c>
      <c r="AN273" t="s">
        <v>271</v>
      </c>
      <c r="AO273" t="s">
        <v>272</v>
      </c>
      <c r="AP273" t="s">
        <v>273</v>
      </c>
      <c r="AQ273" t="s">
        <v>72</v>
      </c>
      <c r="AR273" t="s">
        <v>274</v>
      </c>
      <c r="AS273" t="s">
        <v>275</v>
      </c>
      <c r="AT273" t="s">
        <v>1172</v>
      </c>
      <c r="AU273">
        <v>2022</v>
      </c>
      <c r="AV273">
        <v>39</v>
      </c>
      <c r="AW273">
        <v>1</v>
      </c>
      <c r="AX273" t="s">
        <v>72</v>
      </c>
      <c r="AY273" t="s">
        <v>72</v>
      </c>
      <c r="AZ273" t="s">
        <v>72</v>
      </c>
      <c r="BA273" t="s">
        <v>72</v>
      </c>
      <c r="BB273">
        <v>98</v>
      </c>
      <c r="BC273">
        <v>121</v>
      </c>
      <c r="BD273" t="s">
        <v>72</v>
      </c>
      <c r="BE273" t="s">
        <v>16225</v>
      </c>
      <c r="BF273" t="str">
        <f>HYPERLINK("http://dx.doi.org/10.1080/10584609.2021.1952497","http://dx.doi.org/10.1080/10584609.2021.1952497")</f>
        <v>http://dx.doi.org/10.1080/10584609.2021.1952497</v>
      </c>
      <c r="BG273" t="s">
        <v>72</v>
      </c>
      <c r="BH273" t="s">
        <v>4769</v>
      </c>
      <c r="BI273">
        <v>24</v>
      </c>
      <c r="BJ273" t="s">
        <v>278</v>
      </c>
      <c r="BK273" s="1" t="s">
        <v>17619</v>
      </c>
      <c r="BL273" t="s">
        <v>16226</v>
      </c>
      <c r="BM273" t="s">
        <v>72</v>
      </c>
      <c r="BN273" t="s">
        <v>72</v>
      </c>
      <c r="BO273" t="s">
        <v>72</v>
      </c>
      <c r="BP273" t="s">
        <v>72</v>
      </c>
      <c r="BQ273" t="s">
        <v>100</v>
      </c>
      <c r="BR273" t="s">
        <v>16227</v>
      </c>
      <c r="BS273" t="str">
        <f>HYPERLINK("https%3A%2F%2Fwww.webofscience.com%2Fwos%2Fwoscc%2Ffull-record%2FWOS:000684714500001","View Full Record in Web of Science")</f>
        <v>View Full Record in Web of Science</v>
      </c>
    </row>
    <row r="274" spans="1:71" x14ac:dyDescent="0.2">
      <c r="A274" t="s">
        <v>70</v>
      </c>
      <c r="B274" t="s">
        <v>16228</v>
      </c>
      <c r="C274" t="s">
        <v>72</v>
      </c>
      <c r="D274" t="s">
        <v>72</v>
      </c>
      <c r="E274" t="s">
        <v>72</v>
      </c>
      <c r="F274" t="s">
        <v>16229</v>
      </c>
      <c r="G274" t="s">
        <v>72</v>
      </c>
      <c r="H274" t="s">
        <v>72</v>
      </c>
      <c r="I274" t="s">
        <v>16230</v>
      </c>
      <c r="J274" t="s">
        <v>16231</v>
      </c>
      <c r="K274" t="s">
        <v>72</v>
      </c>
      <c r="L274" t="s">
        <v>72</v>
      </c>
      <c r="M274" t="s">
        <v>76</v>
      </c>
      <c r="N274" t="s">
        <v>77</v>
      </c>
      <c r="O274" t="s">
        <v>72</v>
      </c>
      <c r="P274" t="s">
        <v>72</v>
      </c>
      <c r="Q274" t="s">
        <v>72</v>
      </c>
      <c r="R274" t="s">
        <v>72</v>
      </c>
      <c r="S274" t="s">
        <v>72</v>
      </c>
      <c r="T274" t="s">
        <v>16232</v>
      </c>
      <c r="U274" t="s">
        <v>16233</v>
      </c>
      <c r="V274" t="s">
        <v>16234</v>
      </c>
      <c r="W274" t="s">
        <v>16235</v>
      </c>
      <c r="X274" t="s">
        <v>16236</v>
      </c>
      <c r="Y274" t="s">
        <v>16237</v>
      </c>
      <c r="Z274" t="s">
        <v>16238</v>
      </c>
      <c r="AA274" t="s">
        <v>16239</v>
      </c>
      <c r="AB274" t="s">
        <v>16240</v>
      </c>
      <c r="AC274" t="s">
        <v>16241</v>
      </c>
      <c r="AD274" t="s">
        <v>16242</v>
      </c>
      <c r="AE274" t="s">
        <v>16243</v>
      </c>
      <c r="AF274" t="s">
        <v>72</v>
      </c>
      <c r="AG274">
        <v>105</v>
      </c>
      <c r="AH274">
        <v>1</v>
      </c>
      <c r="AI274">
        <v>1</v>
      </c>
      <c r="AJ274">
        <v>20</v>
      </c>
      <c r="AK274">
        <v>62</v>
      </c>
      <c r="AL274" t="s">
        <v>1260</v>
      </c>
      <c r="AM274" t="s">
        <v>964</v>
      </c>
      <c r="AN274" t="s">
        <v>965</v>
      </c>
      <c r="AO274" t="s">
        <v>16244</v>
      </c>
      <c r="AP274" t="s">
        <v>72</v>
      </c>
      <c r="AQ274" t="s">
        <v>72</v>
      </c>
      <c r="AR274" t="s">
        <v>16245</v>
      </c>
      <c r="AS274" t="s">
        <v>16246</v>
      </c>
      <c r="AT274" t="s">
        <v>95</v>
      </c>
      <c r="AU274">
        <v>2022</v>
      </c>
      <c r="AV274">
        <v>14</v>
      </c>
      <c r="AW274">
        <v>3</v>
      </c>
      <c r="AX274" t="s">
        <v>72</v>
      </c>
      <c r="AY274" t="s">
        <v>72</v>
      </c>
      <c r="AZ274" t="s">
        <v>72</v>
      </c>
      <c r="BA274" t="s">
        <v>72</v>
      </c>
      <c r="BB274">
        <v>651</v>
      </c>
      <c r="BC274">
        <v>672</v>
      </c>
      <c r="BD274" t="s">
        <v>72</v>
      </c>
      <c r="BE274" t="s">
        <v>16247</v>
      </c>
      <c r="BF274" t="str">
        <f>HYPERLINK("http://dx.doi.org/10.1002/poi3.282","http://dx.doi.org/10.1002/poi3.282")</f>
        <v>http://dx.doi.org/10.1002/poi3.282</v>
      </c>
      <c r="BG274" t="s">
        <v>72</v>
      </c>
      <c r="BH274" t="s">
        <v>1288</v>
      </c>
      <c r="BI274">
        <v>22</v>
      </c>
      <c r="BJ274" t="s">
        <v>278</v>
      </c>
      <c r="BK274" s="1" t="s">
        <v>17619</v>
      </c>
      <c r="BL274" t="s">
        <v>16248</v>
      </c>
      <c r="BM274" t="s">
        <v>72</v>
      </c>
      <c r="BN274" t="s">
        <v>1497</v>
      </c>
      <c r="BO274" t="s">
        <v>72</v>
      </c>
      <c r="BP274" t="s">
        <v>72</v>
      </c>
      <c r="BQ274" t="s">
        <v>100</v>
      </c>
      <c r="BR274" t="s">
        <v>16249</v>
      </c>
      <c r="BS274" t="str">
        <f>HYPERLINK("https%3A%2F%2Fwww.webofscience.com%2Fwos%2Fwoscc%2Ffull-record%2FWOS:000734461200001","View Full Record in Web of Science")</f>
        <v>View Full Record in Web of Science</v>
      </c>
    </row>
    <row r="275" spans="1:71" x14ac:dyDescent="0.2">
      <c r="A275" t="s">
        <v>70</v>
      </c>
      <c r="B275" t="s">
        <v>9425</v>
      </c>
      <c r="C275" t="s">
        <v>72</v>
      </c>
      <c r="D275" t="s">
        <v>72</v>
      </c>
      <c r="E275" t="s">
        <v>72</v>
      </c>
      <c r="F275" t="s">
        <v>9426</v>
      </c>
      <c r="G275" t="s">
        <v>72</v>
      </c>
      <c r="H275" t="s">
        <v>72</v>
      </c>
      <c r="I275" t="s">
        <v>9427</v>
      </c>
      <c r="J275" t="s">
        <v>9428</v>
      </c>
      <c r="K275" t="s">
        <v>72</v>
      </c>
      <c r="L275" t="s">
        <v>72</v>
      </c>
      <c r="M275" t="s">
        <v>76</v>
      </c>
      <c r="N275" t="s">
        <v>77</v>
      </c>
      <c r="O275" t="s">
        <v>72</v>
      </c>
      <c r="P275" t="s">
        <v>72</v>
      </c>
      <c r="Q275" t="s">
        <v>72</v>
      </c>
      <c r="R275" t="s">
        <v>72</v>
      </c>
      <c r="S275" t="s">
        <v>72</v>
      </c>
      <c r="T275" t="s">
        <v>72</v>
      </c>
      <c r="U275" t="s">
        <v>9429</v>
      </c>
      <c r="V275" t="s">
        <v>9430</v>
      </c>
      <c r="W275" t="s">
        <v>9431</v>
      </c>
      <c r="X275" t="s">
        <v>9432</v>
      </c>
      <c r="Y275" t="s">
        <v>9433</v>
      </c>
      <c r="Z275" t="s">
        <v>9434</v>
      </c>
      <c r="AA275" t="s">
        <v>72</v>
      </c>
      <c r="AB275" t="s">
        <v>72</v>
      </c>
      <c r="AC275" t="s">
        <v>9435</v>
      </c>
      <c r="AD275" t="s">
        <v>9435</v>
      </c>
      <c r="AE275" t="s">
        <v>9436</v>
      </c>
      <c r="AF275" t="s">
        <v>72</v>
      </c>
      <c r="AG275">
        <v>59</v>
      </c>
      <c r="AH275">
        <v>11</v>
      </c>
      <c r="AI275">
        <v>11</v>
      </c>
      <c r="AJ275">
        <v>1</v>
      </c>
      <c r="AK275">
        <v>18</v>
      </c>
      <c r="AL275" t="s">
        <v>879</v>
      </c>
      <c r="AM275" t="s">
        <v>451</v>
      </c>
      <c r="AN275" t="s">
        <v>880</v>
      </c>
      <c r="AO275" t="s">
        <v>9437</v>
      </c>
      <c r="AP275" t="s">
        <v>9438</v>
      </c>
      <c r="AQ275" t="s">
        <v>72</v>
      </c>
      <c r="AR275" t="s">
        <v>9439</v>
      </c>
      <c r="AS275" t="s">
        <v>9440</v>
      </c>
      <c r="AT275" t="s">
        <v>2322</v>
      </c>
      <c r="AU275">
        <v>2017</v>
      </c>
      <c r="AV275">
        <v>81</v>
      </c>
      <c r="AW275">
        <v>1</v>
      </c>
      <c r="AX275" t="s">
        <v>72</v>
      </c>
      <c r="AY275" t="s">
        <v>72</v>
      </c>
      <c r="AZ275" t="s">
        <v>72</v>
      </c>
      <c r="BA275" t="s">
        <v>72</v>
      </c>
      <c r="BB275">
        <v>111</v>
      </c>
      <c r="BC275">
        <v>130</v>
      </c>
      <c r="BD275" t="s">
        <v>72</v>
      </c>
      <c r="BE275" t="s">
        <v>9441</v>
      </c>
      <c r="BF275" t="str">
        <f>HYPERLINK("http://dx.doi.org/10.1093/poq/nfw039","http://dx.doi.org/10.1093/poq/nfw039")</f>
        <v>http://dx.doi.org/10.1093/poq/nfw039</v>
      </c>
      <c r="BG275" t="s">
        <v>72</v>
      </c>
      <c r="BH275" t="s">
        <v>72</v>
      </c>
      <c r="BI275">
        <v>20</v>
      </c>
      <c r="BJ275" t="s">
        <v>9442</v>
      </c>
      <c r="BK275" s="1" t="s">
        <v>17619</v>
      </c>
      <c r="BL275" t="s">
        <v>9443</v>
      </c>
      <c r="BM275" t="s">
        <v>72</v>
      </c>
      <c r="BN275" t="s">
        <v>251</v>
      </c>
      <c r="BO275" t="s">
        <v>72</v>
      </c>
      <c r="BP275" t="s">
        <v>72</v>
      </c>
      <c r="BQ275" t="s">
        <v>100</v>
      </c>
      <c r="BR275" t="s">
        <v>9444</v>
      </c>
      <c r="BS275" t="str">
        <f>HYPERLINK("https%3A%2F%2Fwww.webofscience.com%2Fwos%2Fwoscc%2Ffull-record%2FWOS:000398001700005","View Full Record in Web of Science")</f>
        <v>View Full Record in Web of Science</v>
      </c>
    </row>
    <row r="276" spans="1:71" hidden="1" x14ac:dyDescent="0.2">
      <c r="A276" t="s">
        <v>70</v>
      </c>
      <c r="B276" t="s">
        <v>5207</v>
      </c>
      <c r="C276" t="s">
        <v>72</v>
      </c>
      <c r="D276" t="s">
        <v>72</v>
      </c>
      <c r="E276" t="s">
        <v>72</v>
      </c>
      <c r="F276" t="s">
        <v>5208</v>
      </c>
      <c r="G276" t="s">
        <v>72</v>
      </c>
      <c r="H276" t="s">
        <v>72</v>
      </c>
      <c r="I276" t="s">
        <v>5209</v>
      </c>
      <c r="J276" t="s">
        <v>5210</v>
      </c>
      <c r="K276" t="s">
        <v>72</v>
      </c>
      <c r="L276" t="s">
        <v>72</v>
      </c>
      <c r="M276" t="s">
        <v>76</v>
      </c>
      <c r="N276" t="s">
        <v>77</v>
      </c>
      <c r="O276" t="s">
        <v>72</v>
      </c>
      <c r="P276" t="s">
        <v>72</v>
      </c>
      <c r="Q276" t="s">
        <v>72</v>
      </c>
      <c r="R276" t="s">
        <v>72</v>
      </c>
      <c r="S276" t="s">
        <v>72</v>
      </c>
      <c r="T276" t="s">
        <v>72</v>
      </c>
      <c r="U276" t="s">
        <v>5211</v>
      </c>
      <c r="V276" t="s">
        <v>5212</v>
      </c>
      <c r="W276" t="s">
        <v>5213</v>
      </c>
      <c r="X276" t="s">
        <v>999</v>
      </c>
      <c r="Y276" t="s">
        <v>5214</v>
      </c>
      <c r="Z276" t="s">
        <v>5215</v>
      </c>
      <c r="AA276" t="s">
        <v>5216</v>
      </c>
      <c r="AB276" t="s">
        <v>5217</v>
      </c>
      <c r="AC276" t="s">
        <v>72</v>
      </c>
      <c r="AD276" t="s">
        <v>72</v>
      </c>
      <c r="AE276" t="s">
        <v>72</v>
      </c>
      <c r="AF276" t="s">
        <v>72</v>
      </c>
      <c r="AG276">
        <v>46</v>
      </c>
      <c r="AH276">
        <v>3</v>
      </c>
      <c r="AI276">
        <v>3</v>
      </c>
      <c r="AJ276">
        <v>3</v>
      </c>
      <c r="AK276">
        <v>31</v>
      </c>
      <c r="AL276" t="s">
        <v>364</v>
      </c>
      <c r="AM276" t="s">
        <v>365</v>
      </c>
      <c r="AN276" t="s">
        <v>366</v>
      </c>
      <c r="AO276" t="s">
        <v>5218</v>
      </c>
      <c r="AP276" t="s">
        <v>5219</v>
      </c>
      <c r="AQ276" t="s">
        <v>72</v>
      </c>
      <c r="AR276" t="s">
        <v>5220</v>
      </c>
      <c r="AS276" t="s">
        <v>5221</v>
      </c>
      <c r="AT276" t="s">
        <v>5222</v>
      </c>
      <c r="AU276">
        <v>2021</v>
      </c>
      <c r="AV276">
        <v>36</v>
      </c>
      <c r="AW276">
        <v>2</v>
      </c>
      <c r="AX276" t="s">
        <v>72</v>
      </c>
      <c r="AY276" t="s">
        <v>72</v>
      </c>
      <c r="AZ276" t="s">
        <v>72</v>
      </c>
      <c r="BA276" t="s">
        <v>72</v>
      </c>
      <c r="BB276">
        <v>226</v>
      </c>
      <c r="BC276">
        <v>235</v>
      </c>
      <c r="BD276" t="s">
        <v>72</v>
      </c>
      <c r="BE276" t="s">
        <v>5223</v>
      </c>
      <c r="BF276" t="str">
        <f>HYPERLINK("http://dx.doi.org/10.1080/10410236.2019.1673950","http://dx.doi.org/10.1080/10410236.2019.1673950")</f>
        <v>http://dx.doi.org/10.1080/10410236.2019.1673950</v>
      </c>
      <c r="BG276" t="s">
        <v>72</v>
      </c>
      <c r="BH276" t="s">
        <v>5224</v>
      </c>
      <c r="BI276">
        <v>10</v>
      </c>
      <c r="BJ276" t="s">
        <v>5225</v>
      </c>
      <c r="BK276" t="s">
        <v>5226</v>
      </c>
      <c r="BL276" t="s">
        <v>5227</v>
      </c>
      <c r="BM276">
        <v>36112901</v>
      </c>
      <c r="BN276" t="s">
        <v>559</v>
      </c>
      <c r="BO276" t="s">
        <v>72</v>
      </c>
      <c r="BP276" t="s">
        <v>72</v>
      </c>
      <c r="BQ276" t="s">
        <v>100</v>
      </c>
      <c r="BR276" t="s">
        <v>5228</v>
      </c>
      <c r="BS276" t="str">
        <f>HYPERLINK("https%3A%2F%2Fwww.webofscience.com%2Fwos%2Fwoscc%2Ffull-record%2FWOS:000489442700001","View Full Record in Web of Science")</f>
        <v>View Full Record in Web of Science</v>
      </c>
    </row>
    <row r="277" spans="1:71" hidden="1" x14ac:dyDescent="0.2">
      <c r="A277" t="s">
        <v>70</v>
      </c>
      <c r="B277" t="s">
        <v>5696</v>
      </c>
      <c r="C277" t="s">
        <v>72</v>
      </c>
      <c r="D277" t="s">
        <v>72</v>
      </c>
      <c r="E277" t="s">
        <v>72</v>
      </c>
      <c r="F277" t="s">
        <v>5697</v>
      </c>
      <c r="G277" t="s">
        <v>72</v>
      </c>
      <c r="H277" t="s">
        <v>72</v>
      </c>
      <c r="I277" t="s">
        <v>5698</v>
      </c>
      <c r="J277" t="s">
        <v>5210</v>
      </c>
      <c r="K277" t="s">
        <v>72</v>
      </c>
      <c r="L277" t="s">
        <v>72</v>
      </c>
      <c r="M277" t="s">
        <v>76</v>
      </c>
      <c r="N277" t="s">
        <v>77</v>
      </c>
      <c r="O277" t="s">
        <v>72</v>
      </c>
      <c r="P277" t="s">
        <v>72</v>
      </c>
      <c r="Q277" t="s">
        <v>72</v>
      </c>
      <c r="R277" t="s">
        <v>72</v>
      </c>
      <c r="S277" t="s">
        <v>72</v>
      </c>
      <c r="T277" t="s">
        <v>72</v>
      </c>
      <c r="U277" t="s">
        <v>5699</v>
      </c>
      <c r="V277" t="s">
        <v>5700</v>
      </c>
      <c r="W277" t="s">
        <v>5701</v>
      </c>
      <c r="X277" t="s">
        <v>5702</v>
      </c>
      <c r="Y277" t="s">
        <v>5703</v>
      </c>
      <c r="Z277" t="s">
        <v>5704</v>
      </c>
      <c r="AA277" t="s">
        <v>72</v>
      </c>
      <c r="AB277" t="s">
        <v>5705</v>
      </c>
      <c r="AC277" t="s">
        <v>5706</v>
      </c>
      <c r="AD277" t="s">
        <v>5707</v>
      </c>
      <c r="AE277" t="s">
        <v>5708</v>
      </c>
      <c r="AF277" t="s">
        <v>72</v>
      </c>
      <c r="AG277">
        <v>62</v>
      </c>
      <c r="AH277">
        <v>3</v>
      </c>
      <c r="AI277">
        <v>3</v>
      </c>
      <c r="AJ277">
        <v>4</v>
      </c>
      <c r="AK277">
        <v>5</v>
      </c>
      <c r="AL277" t="s">
        <v>364</v>
      </c>
      <c r="AM277" t="s">
        <v>365</v>
      </c>
      <c r="AN277" t="s">
        <v>366</v>
      </c>
      <c r="AO277" t="s">
        <v>5218</v>
      </c>
      <c r="AP277" t="s">
        <v>5219</v>
      </c>
      <c r="AQ277" t="s">
        <v>72</v>
      </c>
      <c r="AR277" t="s">
        <v>5220</v>
      </c>
      <c r="AS277" t="s">
        <v>5221</v>
      </c>
      <c r="AT277" t="s">
        <v>5709</v>
      </c>
      <c r="AU277">
        <v>2022</v>
      </c>
      <c r="AV277">
        <v>37</v>
      </c>
      <c r="AW277">
        <v>10</v>
      </c>
      <c r="AX277" t="s">
        <v>72</v>
      </c>
      <c r="AY277" t="s">
        <v>72</v>
      </c>
      <c r="AZ277" t="s">
        <v>72</v>
      </c>
      <c r="BA277" t="s">
        <v>72</v>
      </c>
      <c r="BB277">
        <v>1305</v>
      </c>
      <c r="BC277">
        <v>1315</v>
      </c>
      <c r="BD277" t="s">
        <v>72</v>
      </c>
      <c r="BE277" t="s">
        <v>5710</v>
      </c>
      <c r="BF277" t="str">
        <f>HYPERLINK("http://dx.doi.org/10.1080/10410236.2021.1886411","http://dx.doi.org/10.1080/10410236.2021.1886411")</f>
        <v>http://dx.doi.org/10.1080/10410236.2021.1886411</v>
      </c>
      <c r="BG277" t="s">
        <v>72</v>
      </c>
      <c r="BH277" t="s">
        <v>344</v>
      </c>
      <c r="BI277">
        <v>11</v>
      </c>
      <c r="BJ277" t="s">
        <v>5225</v>
      </c>
      <c r="BK277" t="s">
        <v>5226</v>
      </c>
      <c r="BL277" t="s">
        <v>5711</v>
      </c>
      <c r="BM277">
        <v>33602000</v>
      </c>
      <c r="BN277" t="s">
        <v>72</v>
      </c>
      <c r="BO277" t="s">
        <v>72</v>
      </c>
      <c r="BP277" t="s">
        <v>72</v>
      </c>
      <c r="BQ277" t="s">
        <v>100</v>
      </c>
      <c r="BR277" t="s">
        <v>5712</v>
      </c>
      <c r="BS277" t="str">
        <f>HYPERLINK("https%3A%2F%2Fwww.webofscience.com%2Fwos%2Fwoscc%2Ffull-record%2FWOS:000619751800001","View Full Record in Web of Science")</f>
        <v>View Full Record in Web of Science</v>
      </c>
    </row>
    <row r="278" spans="1:71" hidden="1" x14ac:dyDescent="0.2">
      <c r="A278" t="s">
        <v>70</v>
      </c>
      <c r="B278" t="s">
        <v>3151</v>
      </c>
      <c r="C278" t="s">
        <v>72</v>
      </c>
      <c r="D278" t="s">
        <v>72</v>
      </c>
      <c r="E278" t="s">
        <v>72</v>
      </c>
      <c r="F278" t="s">
        <v>3152</v>
      </c>
      <c r="G278" t="s">
        <v>72</v>
      </c>
      <c r="H278" t="s">
        <v>72</v>
      </c>
      <c r="I278" t="s">
        <v>3153</v>
      </c>
      <c r="J278" t="s">
        <v>3154</v>
      </c>
      <c r="K278" t="s">
        <v>72</v>
      </c>
      <c r="L278" t="s">
        <v>72</v>
      </c>
      <c r="M278" t="s">
        <v>76</v>
      </c>
      <c r="N278" t="s">
        <v>77</v>
      </c>
      <c r="O278" t="s">
        <v>72</v>
      </c>
      <c r="P278" t="s">
        <v>72</v>
      </c>
      <c r="Q278" t="s">
        <v>72</v>
      </c>
      <c r="R278" t="s">
        <v>72</v>
      </c>
      <c r="S278" t="s">
        <v>72</v>
      </c>
      <c r="T278" t="s">
        <v>3155</v>
      </c>
      <c r="U278" t="s">
        <v>3156</v>
      </c>
      <c r="V278" t="s">
        <v>3157</v>
      </c>
      <c r="W278" t="s">
        <v>3158</v>
      </c>
      <c r="X278" t="s">
        <v>3159</v>
      </c>
      <c r="Y278" t="s">
        <v>3160</v>
      </c>
      <c r="Z278" t="s">
        <v>1029</v>
      </c>
      <c r="AA278" t="s">
        <v>72</v>
      </c>
      <c r="AB278" t="s">
        <v>1030</v>
      </c>
      <c r="AC278" t="s">
        <v>72</v>
      </c>
      <c r="AD278" t="s">
        <v>72</v>
      </c>
      <c r="AE278" t="s">
        <v>72</v>
      </c>
      <c r="AF278" t="s">
        <v>72</v>
      </c>
      <c r="AG278">
        <v>83</v>
      </c>
      <c r="AH278">
        <v>19</v>
      </c>
      <c r="AI278">
        <v>19</v>
      </c>
      <c r="AJ278">
        <v>5</v>
      </c>
      <c r="AK278">
        <v>38</v>
      </c>
      <c r="AL278" t="s">
        <v>336</v>
      </c>
      <c r="AM278" t="s">
        <v>337</v>
      </c>
      <c r="AN278" t="s">
        <v>338</v>
      </c>
      <c r="AO278" t="s">
        <v>3161</v>
      </c>
      <c r="AP278" t="s">
        <v>3162</v>
      </c>
      <c r="AQ278" t="s">
        <v>72</v>
      </c>
      <c r="AR278" t="s">
        <v>3163</v>
      </c>
      <c r="AS278" t="s">
        <v>3164</v>
      </c>
      <c r="AT278" t="s">
        <v>639</v>
      </c>
      <c r="AU278">
        <v>2019</v>
      </c>
      <c r="AV278">
        <v>28</v>
      </c>
      <c r="AW278">
        <v>6</v>
      </c>
      <c r="AX278" t="s">
        <v>72</v>
      </c>
      <c r="AY278" t="s">
        <v>72</v>
      </c>
      <c r="AZ278" t="s">
        <v>72</v>
      </c>
      <c r="BA278" t="s">
        <v>72</v>
      </c>
      <c r="BB278">
        <v>696</v>
      </c>
      <c r="BC278">
        <v>712</v>
      </c>
      <c r="BD278" t="s">
        <v>72</v>
      </c>
      <c r="BE278" t="s">
        <v>3165</v>
      </c>
      <c r="BF278" t="str">
        <f>HYPERLINK("http://dx.doi.org/10.1177/0963662519844131","http://dx.doi.org/10.1177/0963662519844131")</f>
        <v>http://dx.doi.org/10.1177/0963662519844131</v>
      </c>
      <c r="BG278" t="s">
        <v>72</v>
      </c>
      <c r="BH278" t="s">
        <v>72</v>
      </c>
      <c r="BI278">
        <v>17</v>
      </c>
      <c r="BJ278" t="s">
        <v>3166</v>
      </c>
      <c r="BK278" t="s">
        <v>3167</v>
      </c>
      <c r="BL278" t="s">
        <v>3168</v>
      </c>
      <c r="BM278">
        <v>31027461</v>
      </c>
      <c r="BN278" t="s">
        <v>2403</v>
      </c>
      <c r="BO278" t="s">
        <v>72</v>
      </c>
      <c r="BP278" t="s">
        <v>72</v>
      </c>
      <c r="BQ278" t="s">
        <v>100</v>
      </c>
      <c r="BR278" t="s">
        <v>3169</v>
      </c>
      <c r="BS278" t="str">
        <f>HYPERLINK("https%3A%2F%2Fwww.webofscience.com%2Fwos%2Fwoscc%2Ffull-record%2FWOS:000481471000006","View Full Record in Web of Science")</f>
        <v>View Full Record in Web of Science</v>
      </c>
    </row>
    <row r="279" spans="1:71" hidden="1" x14ac:dyDescent="0.2">
      <c r="A279" t="s">
        <v>70</v>
      </c>
      <c r="B279" t="s">
        <v>5836</v>
      </c>
      <c r="C279" t="s">
        <v>72</v>
      </c>
      <c r="D279" t="s">
        <v>72</v>
      </c>
      <c r="E279" t="s">
        <v>72</v>
      </c>
      <c r="F279" t="s">
        <v>5837</v>
      </c>
      <c r="G279" t="s">
        <v>72</v>
      </c>
      <c r="H279" t="s">
        <v>72</v>
      </c>
      <c r="I279" t="s">
        <v>5838</v>
      </c>
      <c r="J279" t="s">
        <v>3154</v>
      </c>
      <c r="K279" t="s">
        <v>72</v>
      </c>
      <c r="L279" t="s">
        <v>72</v>
      </c>
      <c r="M279" t="s">
        <v>76</v>
      </c>
      <c r="N279" t="s">
        <v>77</v>
      </c>
      <c r="O279" t="s">
        <v>72</v>
      </c>
      <c r="P279" t="s">
        <v>72</v>
      </c>
      <c r="Q279" t="s">
        <v>72</v>
      </c>
      <c r="R279" t="s">
        <v>72</v>
      </c>
      <c r="S279" t="s">
        <v>72</v>
      </c>
      <c r="T279" t="s">
        <v>5839</v>
      </c>
      <c r="U279" t="s">
        <v>72</v>
      </c>
      <c r="V279" t="s">
        <v>5840</v>
      </c>
      <c r="W279" t="s">
        <v>5841</v>
      </c>
      <c r="X279" t="s">
        <v>5842</v>
      </c>
      <c r="Y279" t="s">
        <v>5843</v>
      </c>
      <c r="Z279" t="s">
        <v>5844</v>
      </c>
      <c r="AA279" t="s">
        <v>5845</v>
      </c>
      <c r="AB279" t="s">
        <v>5846</v>
      </c>
      <c r="AC279" t="s">
        <v>72</v>
      </c>
      <c r="AD279" t="s">
        <v>72</v>
      </c>
      <c r="AE279" t="s">
        <v>72</v>
      </c>
      <c r="AF279" t="s">
        <v>72</v>
      </c>
      <c r="AG279">
        <v>67</v>
      </c>
      <c r="AH279">
        <v>7</v>
      </c>
      <c r="AI279">
        <v>7</v>
      </c>
      <c r="AJ279">
        <v>0</v>
      </c>
      <c r="AK279">
        <v>2</v>
      </c>
      <c r="AL279" t="s">
        <v>336</v>
      </c>
      <c r="AM279" t="s">
        <v>337</v>
      </c>
      <c r="AN279" t="s">
        <v>338</v>
      </c>
      <c r="AO279" t="s">
        <v>3161</v>
      </c>
      <c r="AP279" t="s">
        <v>3162</v>
      </c>
      <c r="AQ279" t="s">
        <v>72</v>
      </c>
      <c r="AR279" t="s">
        <v>3163</v>
      </c>
      <c r="AS279" t="s">
        <v>3164</v>
      </c>
      <c r="AT279" t="s">
        <v>1602</v>
      </c>
      <c r="AU279">
        <v>2021</v>
      </c>
      <c r="AV279">
        <v>30</v>
      </c>
      <c r="AW279">
        <v>2</v>
      </c>
      <c r="AX279" t="s">
        <v>72</v>
      </c>
      <c r="AY279" t="s">
        <v>72</v>
      </c>
      <c r="AZ279" t="s">
        <v>72</v>
      </c>
      <c r="BA279" t="s">
        <v>72</v>
      </c>
      <c r="BB279">
        <v>179</v>
      </c>
      <c r="BC279">
        <v>195</v>
      </c>
      <c r="BD279">
        <v>963662520966742</v>
      </c>
      <c r="BE279" t="s">
        <v>5847</v>
      </c>
      <c r="BF279" t="str">
        <f>HYPERLINK("http://dx.doi.org/10.1177/0963662520966742","http://dx.doi.org/10.1177/0963662520966742")</f>
        <v>http://dx.doi.org/10.1177/0963662520966742</v>
      </c>
      <c r="BG279" t="s">
        <v>72</v>
      </c>
      <c r="BH279" t="s">
        <v>5788</v>
      </c>
      <c r="BI279">
        <v>17</v>
      </c>
      <c r="BJ279" t="s">
        <v>3166</v>
      </c>
      <c r="BK279" t="s">
        <v>3167</v>
      </c>
      <c r="BL279" t="s">
        <v>5848</v>
      </c>
      <c r="BM279">
        <v>33103601</v>
      </c>
      <c r="BN279" t="s">
        <v>72</v>
      </c>
      <c r="BO279" t="s">
        <v>72</v>
      </c>
      <c r="BP279" t="s">
        <v>72</v>
      </c>
      <c r="BQ279" t="s">
        <v>100</v>
      </c>
      <c r="BR279" t="s">
        <v>5849</v>
      </c>
      <c r="BS279" t="str">
        <f>HYPERLINK("https%3A%2F%2Fwww.webofscience.com%2Fwos%2Fwoscc%2Ffull-record%2FWOS:000598504500001","View Full Record in Web of Science")</f>
        <v>View Full Record in Web of Science</v>
      </c>
    </row>
    <row r="280" spans="1:71" hidden="1" x14ac:dyDescent="0.2">
      <c r="A280" t="s">
        <v>70</v>
      </c>
      <c r="B280" t="s">
        <v>6033</v>
      </c>
      <c r="C280" t="s">
        <v>72</v>
      </c>
      <c r="D280" t="s">
        <v>72</v>
      </c>
      <c r="E280" t="s">
        <v>72</v>
      </c>
      <c r="F280" t="s">
        <v>6034</v>
      </c>
      <c r="G280" t="s">
        <v>72</v>
      </c>
      <c r="H280" t="s">
        <v>72</v>
      </c>
      <c r="I280" t="s">
        <v>6035</v>
      </c>
      <c r="J280" t="s">
        <v>3154</v>
      </c>
      <c r="K280" t="s">
        <v>72</v>
      </c>
      <c r="L280" t="s">
        <v>72</v>
      </c>
      <c r="M280" t="s">
        <v>76</v>
      </c>
      <c r="N280" t="s">
        <v>77</v>
      </c>
      <c r="O280" t="s">
        <v>72</v>
      </c>
      <c r="P280" t="s">
        <v>72</v>
      </c>
      <c r="Q280" t="s">
        <v>72</v>
      </c>
      <c r="R280" t="s">
        <v>72</v>
      </c>
      <c r="S280" t="s">
        <v>72</v>
      </c>
      <c r="T280" t="s">
        <v>6036</v>
      </c>
      <c r="U280" t="s">
        <v>6037</v>
      </c>
      <c r="V280" t="s">
        <v>6038</v>
      </c>
      <c r="W280" t="s">
        <v>6039</v>
      </c>
      <c r="X280" t="s">
        <v>6040</v>
      </c>
      <c r="Y280" t="s">
        <v>6041</v>
      </c>
      <c r="Z280" t="s">
        <v>6042</v>
      </c>
      <c r="AA280" t="s">
        <v>6043</v>
      </c>
      <c r="AB280" t="s">
        <v>6044</v>
      </c>
      <c r="AC280" t="s">
        <v>6045</v>
      </c>
      <c r="AD280" t="s">
        <v>6046</v>
      </c>
      <c r="AE280" t="s">
        <v>6047</v>
      </c>
      <c r="AF280" t="s">
        <v>72</v>
      </c>
      <c r="AG280">
        <v>44</v>
      </c>
      <c r="AH280">
        <v>8</v>
      </c>
      <c r="AI280">
        <v>8</v>
      </c>
      <c r="AJ280">
        <v>1</v>
      </c>
      <c r="AK280">
        <v>30</v>
      </c>
      <c r="AL280" t="s">
        <v>336</v>
      </c>
      <c r="AM280" t="s">
        <v>337</v>
      </c>
      <c r="AN280" t="s">
        <v>338</v>
      </c>
      <c r="AO280" t="s">
        <v>3161</v>
      </c>
      <c r="AP280" t="s">
        <v>3162</v>
      </c>
      <c r="AQ280" t="s">
        <v>72</v>
      </c>
      <c r="AR280" t="s">
        <v>3163</v>
      </c>
      <c r="AS280" t="s">
        <v>3164</v>
      </c>
      <c r="AT280" t="s">
        <v>639</v>
      </c>
      <c r="AU280">
        <v>2016</v>
      </c>
      <c r="AV280">
        <v>25</v>
      </c>
      <c r="AW280">
        <v>6</v>
      </c>
      <c r="AX280" t="s">
        <v>72</v>
      </c>
      <c r="AY280" t="s">
        <v>72</v>
      </c>
      <c r="AZ280" t="s">
        <v>72</v>
      </c>
      <c r="BA280" t="s">
        <v>72</v>
      </c>
      <c r="BB280">
        <v>691</v>
      </c>
      <c r="BC280">
        <v>705</v>
      </c>
      <c r="BD280" t="s">
        <v>72</v>
      </c>
      <c r="BE280" t="s">
        <v>6048</v>
      </c>
      <c r="BF280" t="str">
        <f>HYPERLINK("http://dx.doi.org/10.1177/0963662515576864","http://dx.doi.org/10.1177/0963662515576864")</f>
        <v>http://dx.doi.org/10.1177/0963662515576864</v>
      </c>
      <c r="BG280" t="s">
        <v>72</v>
      </c>
      <c r="BH280" t="s">
        <v>72</v>
      </c>
      <c r="BI280">
        <v>15</v>
      </c>
      <c r="BJ280" t="s">
        <v>3166</v>
      </c>
      <c r="BK280" t="s">
        <v>3167</v>
      </c>
      <c r="BL280" t="s">
        <v>6049</v>
      </c>
      <c r="BM280">
        <v>25847718</v>
      </c>
      <c r="BN280" t="s">
        <v>1128</v>
      </c>
      <c r="BO280" t="s">
        <v>72</v>
      </c>
      <c r="BP280" t="s">
        <v>72</v>
      </c>
      <c r="BQ280" t="s">
        <v>100</v>
      </c>
      <c r="BR280" t="s">
        <v>6050</v>
      </c>
      <c r="BS280" t="str">
        <f>HYPERLINK("https%3A%2F%2Fwww.webofscience.com%2Fwos%2Fwoscc%2Ffull-record%2FWOS:000382481800004","View Full Record in Web of Science")</f>
        <v>View Full Record in Web of Science</v>
      </c>
    </row>
    <row r="281" spans="1:71" hidden="1" x14ac:dyDescent="0.2">
      <c r="A281" t="s">
        <v>70</v>
      </c>
      <c r="B281" t="s">
        <v>9512</v>
      </c>
      <c r="C281" t="s">
        <v>72</v>
      </c>
      <c r="D281" t="s">
        <v>72</v>
      </c>
      <c r="E281" t="s">
        <v>72</v>
      </c>
      <c r="F281" t="s">
        <v>9513</v>
      </c>
      <c r="G281" t="s">
        <v>72</v>
      </c>
      <c r="H281" t="s">
        <v>72</v>
      </c>
      <c r="I281" t="s">
        <v>9514</v>
      </c>
      <c r="J281" t="s">
        <v>3154</v>
      </c>
      <c r="K281" t="s">
        <v>72</v>
      </c>
      <c r="L281" t="s">
        <v>72</v>
      </c>
      <c r="M281" t="s">
        <v>76</v>
      </c>
      <c r="N281" t="s">
        <v>77</v>
      </c>
      <c r="O281" t="s">
        <v>72</v>
      </c>
      <c r="P281" t="s">
        <v>72</v>
      </c>
      <c r="Q281" t="s">
        <v>72</v>
      </c>
      <c r="R281" t="s">
        <v>72</v>
      </c>
      <c r="S281" t="s">
        <v>72</v>
      </c>
      <c r="T281" t="s">
        <v>9515</v>
      </c>
      <c r="U281" t="s">
        <v>9516</v>
      </c>
      <c r="V281" t="s">
        <v>9517</v>
      </c>
      <c r="W281" t="s">
        <v>9518</v>
      </c>
      <c r="X281" t="s">
        <v>9519</v>
      </c>
      <c r="Y281" t="s">
        <v>9520</v>
      </c>
      <c r="Z281" t="s">
        <v>9521</v>
      </c>
      <c r="AA281" t="s">
        <v>9522</v>
      </c>
      <c r="AB281" t="s">
        <v>9523</v>
      </c>
      <c r="AC281" t="s">
        <v>72</v>
      </c>
      <c r="AD281" t="s">
        <v>72</v>
      </c>
      <c r="AE281" t="s">
        <v>72</v>
      </c>
      <c r="AF281" t="s">
        <v>72</v>
      </c>
      <c r="AG281">
        <v>31</v>
      </c>
      <c r="AH281">
        <v>31</v>
      </c>
      <c r="AI281">
        <v>31</v>
      </c>
      <c r="AJ281">
        <v>1</v>
      </c>
      <c r="AK281">
        <v>44</v>
      </c>
      <c r="AL281" t="s">
        <v>336</v>
      </c>
      <c r="AM281" t="s">
        <v>337</v>
      </c>
      <c r="AN281" t="s">
        <v>338</v>
      </c>
      <c r="AO281" t="s">
        <v>3161</v>
      </c>
      <c r="AP281" t="s">
        <v>3162</v>
      </c>
      <c r="AQ281" t="s">
        <v>72</v>
      </c>
      <c r="AR281" t="s">
        <v>3163</v>
      </c>
      <c r="AS281" t="s">
        <v>3164</v>
      </c>
      <c r="AT281" t="s">
        <v>951</v>
      </c>
      <c r="AU281">
        <v>2013</v>
      </c>
      <c r="AV281">
        <v>22</v>
      </c>
      <c r="AW281">
        <v>8</v>
      </c>
      <c r="AX281" t="s">
        <v>72</v>
      </c>
      <c r="AY281" t="s">
        <v>72</v>
      </c>
      <c r="AZ281" t="s">
        <v>72</v>
      </c>
      <c r="BA281" t="s">
        <v>72</v>
      </c>
      <c r="BB281">
        <v>1011</v>
      </c>
      <c r="BC281">
        <v>1024</v>
      </c>
      <c r="BD281" t="s">
        <v>72</v>
      </c>
      <c r="BE281" t="s">
        <v>9524</v>
      </c>
      <c r="BF281" t="str">
        <f>HYPERLINK("http://dx.doi.org/10.1177/0963662512443326","http://dx.doi.org/10.1177/0963662512443326")</f>
        <v>http://dx.doi.org/10.1177/0963662512443326</v>
      </c>
      <c r="BG281" t="s">
        <v>72</v>
      </c>
      <c r="BH281" t="s">
        <v>72</v>
      </c>
      <c r="BI281">
        <v>14</v>
      </c>
      <c r="BJ281" t="s">
        <v>3166</v>
      </c>
      <c r="BK281" t="s">
        <v>3167</v>
      </c>
      <c r="BL281" t="s">
        <v>9525</v>
      </c>
      <c r="BM281">
        <v>23825240</v>
      </c>
      <c r="BN281" t="s">
        <v>72</v>
      </c>
      <c r="BO281" t="s">
        <v>72</v>
      </c>
      <c r="BP281" t="s">
        <v>72</v>
      </c>
      <c r="BQ281" t="s">
        <v>100</v>
      </c>
      <c r="BR281" t="s">
        <v>9526</v>
      </c>
      <c r="BS281" t="str">
        <f>HYPERLINK("https%3A%2F%2Fwww.webofscience.com%2Fwos%2Fwoscc%2Ffull-record%2FWOS:000325934000009","View Full Record in Web of Science")</f>
        <v>View Full Record in Web of Science</v>
      </c>
    </row>
    <row r="282" spans="1:71" hidden="1" x14ac:dyDescent="0.2">
      <c r="A282" t="s">
        <v>70</v>
      </c>
      <c r="B282" t="s">
        <v>5148</v>
      </c>
      <c r="C282" t="s">
        <v>72</v>
      </c>
      <c r="D282" t="s">
        <v>72</v>
      </c>
      <c r="E282" t="s">
        <v>72</v>
      </c>
      <c r="F282" t="s">
        <v>5149</v>
      </c>
      <c r="G282" t="s">
        <v>72</v>
      </c>
      <c r="H282" t="s">
        <v>72</v>
      </c>
      <c r="I282" t="s">
        <v>5150</v>
      </c>
      <c r="J282" t="s">
        <v>5151</v>
      </c>
      <c r="K282" t="s">
        <v>72</v>
      </c>
      <c r="L282" t="s">
        <v>72</v>
      </c>
      <c r="M282" t="s">
        <v>5152</v>
      </c>
      <c r="N282" t="s">
        <v>77</v>
      </c>
      <c r="O282" t="s">
        <v>72</v>
      </c>
      <c r="P282" t="s">
        <v>72</v>
      </c>
      <c r="Q282" t="s">
        <v>72</v>
      </c>
      <c r="R282" t="s">
        <v>72</v>
      </c>
      <c r="S282" t="s">
        <v>72</v>
      </c>
      <c r="T282" t="s">
        <v>5153</v>
      </c>
      <c r="U282" t="s">
        <v>72</v>
      </c>
      <c r="V282" t="s">
        <v>5154</v>
      </c>
      <c r="W282" t="s">
        <v>5155</v>
      </c>
      <c r="X282" t="s">
        <v>5156</v>
      </c>
      <c r="Y282" t="s">
        <v>5157</v>
      </c>
      <c r="Z282" t="s">
        <v>5158</v>
      </c>
      <c r="AA282" t="s">
        <v>5159</v>
      </c>
      <c r="AB282" t="s">
        <v>5160</v>
      </c>
      <c r="AC282" t="s">
        <v>72</v>
      </c>
      <c r="AD282" t="s">
        <v>72</v>
      </c>
      <c r="AE282" t="s">
        <v>72</v>
      </c>
      <c r="AF282" t="s">
        <v>72</v>
      </c>
      <c r="AG282">
        <v>34</v>
      </c>
      <c r="AH282">
        <v>33</v>
      </c>
      <c r="AI282">
        <v>37</v>
      </c>
      <c r="AJ282">
        <v>1</v>
      </c>
      <c r="AK282">
        <v>94</v>
      </c>
      <c r="AL282" t="s">
        <v>5161</v>
      </c>
      <c r="AM282" t="s">
        <v>5162</v>
      </c>
      <c r="AN282" t="s">
        <v>5163</v>
      </c>
      <c r="AO282" t="s">
        <v>5164</v>
      </c>
      <c r="AP282" t="s">
        <v>72</v>
      </c>
      <c r="AQ282" t="s">
        <v>72</v>
      </c>
      <c r="AR282" t="s">
        <v>5165</v>
      </c>
      <c r="AS282" t="s">
        <v>5166</v>
      </c>
      <c r="AT282" t="s">
        <v>5167</v>
      </c>
      <c r="AU282">
        <v>2016</v>
      </c>
      <c r="AV282">
        <v>25</v>
      </c>
      <c r="AW282">
        <v>4</v>
      </c>
      <c r="AX282" t="s">
        <v>72</v>
      </c>
      <c r="AY282" t="s">
        <v>72</v>
      </c>
      <c r="AZ282" t="s">
        <v>72</v>
      </c>
      <c r="BA282" t="s">
        <v>72</v>
      </c>
      <c r="BB282">
        <v>623</v>
      </c>
      <c r="BC282">
        <v>631</v>
      </c>
      <c r="BD282" t="s">
        <v>72</v>
      </c>
      <c r="BE282" t="s">
        <v>5168</v>
      </c>
      <c r="BF282" t="str">
        <f>HYPERLINK("http://dx.doi.org/10.3145/epi.2016.jul.12","http://dx.doi.org/10.3145/epi.2016.jul.12")</f>
        <v>http://dx.doi.org/10.3145/epi.2016.jul.12</v>
      </c>
      <c r="BG282" t="s">
        <v>72</v>
      </c>
      <c r="BH282" t="s">
        <v>72</v>
      </c>
      <c r="BI282">
        <v>9</v>
      </c>
      <c r="BJ282" t="s">
        <v>5169</v>
      </c>
      <c r="BK282" t="s">
        <v>5169</v>
      </c>
      <c r="BL282" t="s">
        <v>5170</v>
      </c>
      <c r="BM282" t="s">
        <v>72</v>
      </c>
      <c r="BN282" t="s">
        <v>5171</v>
      </c>
      <c r="BO282" t="s">
        <v>72</v>
      </c>
      <c r="BP282" t="s">
        <v>72</v>
      </c>
      <c r="BQ282" t="s">
        <v>100</v>
      </c>
      <c r="BR282" t="s">
        <v>5172</v>
      </c>
      <c r="BS282" t="str">
        <f>HYPERLINK("https%3A%2F%2Fwww.webofscience.com%2Fwos%2Fwoscc%2Ffull-record%2FWOS:000381938600012","View Full Record in Web of Science")</f>
        <v>View Full Record in Web of Science</v>
      </c>
    </row>
    <row r="283" spans="1:71" hidden="1" x14ac:dyDescent="0.2">
      <c r="A283" t="s">
        <v>70</v>
      </c>
      <c r="B283" t="s">
        <v>6705</v>
      </c>
      <c r="C283" t="s">
        <v>72</v>
      </c>
      <c r="D283" t="s">
        <v>72</v>
      </c>
      <c r="E283" t="s">
        <v>72</v>
      </c>
      <c r="F283" t="s">
        <v>6706</v>
      </c>
      <c r="G283" t="s">
        <v>72</v>
      </c>
      <c r="H283" t="s">
        <v>72</v>
      </c>
      <c r="I283" t="s">
        <v>6707</v>
      </c>
      <c r="J283" t="s">
        <v>6708</v>
      </c>
      <c r="K283" t="s">
        <v>72</v>
      </c>
      <c r="L283" t="s">
        <v>72</v>
      </c>
      <c r="M283" t="s">
        <v>76</v>
      </c>
      <c r="N283" t="s">
        <v>77</v>
      </c>
      <c r="O283" t="s">
        <v>72</v>
      </c>
      <c r="P283" t="s">
        <v>72</v>
      </c>
      <c r="Q283" t="s">
        <v>72</v>
      </c>
      <c r="R283" t="s">
        <v>72</v>
      </c>
      <c r="S283" t="s">
        <v>72</v>
      </c>
      <c r="T283" t="s">
        <v>6709</v>
      </c>
      <c r="U283" t="s">
        <v>6710</v>
      </c>
      <c r="V283" t="s">
        <v>6711</v>
      </c>
      <c r="W283" t="s">
        <v>6712</v>
      </c>
      <c r="X283" t="s">
        <v>6713</v>
      </c>
      <c r="Y283" t="s">
        <v>6714</v>
      </c>
      <c r="Z283" t="s">
        <v>6715</v>
      </c>
      <c r="AA283" t="s">
        <v>6716</v>
      </c>
      <c r="AB283" t="s">
        <v>6717</v>
      </c>
      <c r="AC283" t="s">
        <v>6718</v>
      </c>
      <c r="AD283" t="s">
        <v>6719</v>
      </c>
      <c r="AE283" t="s">
        <v>6720</v>
      </c>
      <c r="AF283" t="s">
        <v>72</v>
      </c>
      <c r="AG283">
        <v>65</v>
      </c>
      <c r="AH283">
        <v>19</v>
      </c>
      <c r="AI283">
        <v>19</v>
      </c>
      <c r="AJ283">
        <v>5</v>
      </c>
      <c r="AK283">
        <v>28</v>
      </c>
      <c r="AL283" t="s">
        <v>142</v>
      </c>
      <c r="AM283" t="s">
        <v>143</v>
      </c>
      <c r="AN283" t="s">
        <v>144</v>
      </c>
      <c r="AO283" t="s">
        <v>6721</v>
      </c>
      <c r="AP283" t="s">
        <v>72</v>
      </c>
      <c r="AQ283" t="s">
        <v>72</v>
      </c>
      <c r="AR283" t="s">
        <v>6722</v>
      </c>
      <c r="AS283" t="s">
        <v>6723</v>
      </c>
      <c r="AT283" t="s">
        <v>776</v>
      </c>
      <c r="AU283">
        <v>2019</v>
      </c>
      <c r="AV283">
        <v>24</v>
      </c>
      <c r="AW283">
        <v>4</v>
      </c>
      <c r="AX283" t="s">
        <v>72</v>
      </c>
      <c r="AY283" t="s">
        <v>72</v>
      </c>
      <c r="AZ283" t="s">
        <v>72</v>
      </c>
      <c r="BA283" t="s">
        <v>72</v>
      </c>
      <c r="BB283">
        <v>182</v>
      </c>
      <c r="BC283">
        <v>202</v>
      </c>
      <c r="BD283" t="s">
        <v>72</v>
      </c>
      <c r="BE283" t="s">
        <v>6724</v>
      </c>
      <c r="BF283" t="str">
        <f>HYPERLINK("http://dx.doi.org/10.1093/jcmc/zmz009","http://dx.doi.org/10.1093/jcmc/zmz009")</f>
        <v>http://dx.doi.org/10.1093/jcmc/zmz009</v>
      </c>
      <c r="BG283" t="s">
        <v>72</v>
      </c>
      <c r="BH283" t="s">
        <v>72</v>
      </c>
      <c r="BI283">
        <v>21</v>
      </c>
      <c r="BJ283" t="s">
        <v>5169</v>
      </c>
      <c r="BK283" t="s">
        <v>5169</v>
      </c>
      <c r="BL283" t="s">
        <v>6725</v>
      </c>
      <c r="BM283" t="s">
        <v>72</v>
      </c>
      <c r="BN283" t="s">
        <v>1497</v>
      </c>
      <c r="BO283" t="s">
        <v>72</v>
      </c>
      <c r="BP283" t="s">
        <v>72</v>
      </c>
      <c r="BQ283" t="s">
        <v>100</v>
      </c>
      <c r="BR283" t="s">
        <v>6726</v>
      </c>
      <c r="BS283" t="str">
        <f>HYPERLINK("https%3A%2F%2Fwww.webofscience.com%2Fwos%2Fwoscc%2Ffull-record%2FWOS:000474271000003","View Full Record in Web of Science")</f>
        <v>View Full Record in Web of Science</v>
      </c>
    </row>
    <row r="284" spans="1:71" hidden="1" x14ac:dyDescent="0.2">
      <c r="A284" t="s">
        <v>70</v>
      </c>
      <c r="B284" t="s">
        <v>8667</v>
      </c>
      <c r="C284" t="s">
        <v>72</v>
      </c>
      <c r="D284" t="s">
        <v>72</v>
      </c>
      <c r="E284" t="s">
        <v>72</v>
      </c>
      <c r="F284" t="s">
        <v>8668</v>
      </c>
      <c r="G284" t="s">
        <v>72</v>
      </c>
      <c r="H284" t="s">
        <v>72</v>
      </c>
      <c r="I284" t="s">
        <v>8669</v>
      </c>
      <c r="J284" t="s">
        <v>8670</v>
      </c>
      <c r="K284" t="s">
        <v>72</v>
      </c>
      <c r="L284" t="s">
        <v>72</v>
      </c>
      <c r="M284" t="s">
        <v>76</v>
      </c>
      <c r="N284" t="s">
        <v>77</v>
      </c>
      <c r="O284" t="s">
        <v>72</v>
      </c>
      <c r="P284" t="s">
        <v>72</v>
      </c>
      <c r="Q284" t="s">
        <v>72</v>
      </c>
      <c r="R284" t="s">
        <v>72</v>
      </c>
      <c r="S284" t="s">
        <v>72</v>
      </c>
      <c r="T284" t="s">
        <v>8671</v>
      </c>
      <c r="U284" t="s">
        <v>8672</v>
      </c>
      <c r="V284" t="s">
        <v>8673</v>
      </c>
      <c r="W284" t="s">
        <v>8674</v>
      </c>
      <c r="X284" t="s">
        <v>8675</v>
      </c>
      <c r="Y284" t="s">
        <v>8676</v>
      </c>
      <c r="Z284" t="s">
        <v>8677</v>
      </c>
      <c r="AA284" t="s">
        <v>72</v>
      </c>
      <c r="AB284" t="s">
        <v>8678</v>
      </c>
      <c r="AC284" t="s">
        <v>72</v>
      </c>
      <c r="AD284" t="s">
        <v>72</v>
      </c>
      <c r="AE284" t="s">
        <v>72</v>
      </c>
      <c r="AF284" t="s">
        <v>72</v>
      </c>
      <c r="AG284">
        <v>38</v>
      </c>
      <c r="AH284">
        <v>2</v>
      </c>
      <c r="AI284">
        <v>2</v>
      </c>
      <c r="AJ284">
        <v>1</v>
      </c>
      <c r="AK284">
        <v>4</v>
      </c>
      <c r="AL284" t="s">
        <v>5662</v>
      </c>
      <c r="AM284" t="s">
        <v>168</v>
      </c>
      <c r="AN284" t="s">
        <v>5663</v>
      </c>
      <c r="AO284" t="s">
        <v>8679</v>
      </c>
      <c r="AP284" t="s">
        <v>72</v>
      </c>
      <c r="AQ284" t="s">
        <v>72</v>
      </c>
      <c r="AR284" t="s">
        <v>8680</v>
      </c>
      <c r="AS284" t="s">
        <v>8681</v>
      </c>
      <c r="AT284" t="s">
        <v>72</v>
      </c>
      <c r="AU284">
        <v>2020</v>
      </c>
      <c r="AV284">
        <v>30</v>
      </c>
      <c r="AW284">
        <v>2</v>
      </c>
      <c r="AX284" t="s">
        <v>72</v>
      </c>
      <c r="AY284" t="s">
        <v>72</v>
      </c>
      <c r="AZ284" t="s">
        <v>72</v>
      </c>
      <c r="BA284" t="s">
        <v>72</v>
      </c>
      <c r="BB284">
        <v>271</v>
      </c>
      <c r="BC284">
        <v>293</v>
      </c>
      <c r="BD284" t="s">
        <v>72</v>
      </c>
      <c r="BE284" t="s">
        <v>8682</v>
      </c>
      <c r="BF284" t="str">
        <f>HYPERLINK("http://dx.doi.org/10.1075/ni.18054.sul","http://dx.doi.org/10.1075/ni.18054.sul")</f>
        <v>http://dx.doi.org/10.1075/ni.18054.sul</v>
      </c>
      <c r="BG284" t="s">
        <v>72</v>
      </c>
      <c r="BH284" t="s">
        <v>72</v>
      </c>
      <c r="BI284">
        <v>23</v>
      </c>
      <c r="BJ284" t="s">
        <v>8683</v>
      </c>
      <c r="BK284" t="s">
        <v>8684</v>
      </c>
      <c r="BL284" t="s">
        <v>8685</v>
      </c>
      <c r="BM284" t="s">
        <v>72</v>
      </c>
      <c r="BN284" t="s">
        <v>72</v>
      </c>
      <c r="BO284" t="s">
        <v>72</v>
      </c>
      <c r="BP284" t="s">
        <v>72</v>
      </c>
      <c r="BQ284" t="s">
        <v>100</v>
      </c>
      <c r="BR284" t="s">
        <v>8686</v>
      </c>
      <c r="BS284" t="str">
        <f>HYPERLINK("https%3A%2F%2Fwww.webofscience.com%2Fwos%2Fwoscc%2Ffull-record%2FWOS:000535704000003","View Full Record in Web of Science")</f>
        <v>View Full Record in Web of Science</v>
      </c>
    </row>
    <row r="285" spans="1:71" hidden="1" x14ac:dyDescent="0.2">
      <c r="A285" t="s">
        <v>70</v>
      </c>
      <c r="B285" t="s">
        <v>3170</v>
      </c>
      <c r="C285" t="s">
        <v>72</v>
      </c>
      <c r="D285" t="s">
        <v>72</v>
      </c>
      <c r="E285" t="s">
        <v>72</v>
      </c>
      <c r="F285" t="s">
        <v>3171</v>
      </c>
      <c r="G285" t="s">
        <v>72</v>
      </c>
      <c r="H285" t="s">
        <v>72</v>
      </c>
      <c r="I285" t="s">
        <v>3172</v>
      </c>
      <c r="J285" t="s">
        <v>3173</v>
      </c>
      <c r="K285" t="s">
        <v>72</v>
      </c>
      <c r="L285" t="s">
        <v>72</v>
      </c>
      <c r="M285" t="s">
        <v>76</v>
      </c>
      <c r="N285" t="s">
        <v>77</v>
      </c>
      <c r="O285" t="s">
        <v>72</v>
      </c>
      <c r="P285" t="s">
        <v>72</v>
      </c>
      <c r="Q285" t="s">
        <v>72</v>
      </c>
      <c r="R285" t="s">
        <v>72</v>
      </c>
      <c r="S285" t="s">
        <v>72</v>
      </c>
      <c r="T285" t="s">
        <v>3174</v>
      </c>
      <c r="U285" t="s">
        <v>3175</v>
      </c>
      <c r="V285" t="s">
        <v>3176</v>
      </c>
      <c r="W285" t="s">
        <v>3177</v>
      </c>
      <c r="X285" t="s">
        <v>825</v>
      </c>
      <c r="Y285" t="s">
        <v>3178</v>
      </c>
      <c r="Z285" t="s">
        <v>3179</v>
      </c>
      <c r="AA285" t="s">
        <v>3180</v>
      </c>
      <c r="AB285" t="s">
        <v>3181</v>
      </c>
      <c r="AC285" t="s">
        <v>72</v>
      </c>
      <c r="AD285" t="s">
        <v>72</v>
      </c>
      <c r="AE285" t="s">
        <v>72</v>
      </c>
      <c r="AF285" t="s">
        <v>72</v>
      </c>
      <c r="AG285">
        <v>26</v>
      </c>
      <c r="AH285">
        <v>14</v>
      </c>
      <c r="AI285">
        <v>14</v>
      </c>
      <c r="AJ285">
        <v>0</v>
      </c>
      <c r="AK285">
        <v>5</v>
      </c>
      <c r="AL285" t="s">
        <v>190</v>
      </c>
      <c r="AM285" t="s">
        <v>191</v>
      </c>
      <c r="AN285" t="s">
        <v>192</v>
      </c>
      <c r="AO285" t="s">
        <v>3182</v>
      </c>
      <c r="AP285" t="s">
        <v>3183</v>
      </c>
      <c r="AQ285" t="s">
        <v>72</v>
      </c>
      <c r="AR285" t="s">
        <v>3184</v>
      </c>
      <c r="AS285" t="s">
        <v>3185</v>
      </c>
      <c r="AT285" t="s">
        <v>299</v>
      </c>
      <c r="AU285">
        <v>2018</v>
      </c>
      <c r="AV285">
        <v>37</v>
      </c>
      <c r="AW285">
        <v>3</v>
      </c>
      <c r="AX285" t="s">
        <v>72</v>
      </c>
      <c r="AY285" t="s">
        <v>72</v>
      </c>
      <c r="AZ285" t="s">
        <v>72</v>
      </c>
      <c r="BA285" t="s">
        <v>72</v>
      </c>
      <c r="BB285">
        <v>376</v>
      </c>
      <c r="BC285">
        <v>387</v>
      </c>
      <c r="BD285" t="s">
        <v>72</v>
      </c>
      <c r="BE285" t="s">
        <v>3186</v>
      </c>
      <c r="BF285" t="str">
        <f>HYPERLINK("http://dx.doi.org/10.1177/0261927X17751012","http://dx.doi.org/10.1177/0261927X17751012")</f>
        <v>http://dx.doi.org/10.1177/0261927X17751012</v>
      </c>
      <c r="BG285" t="s">
        <v>72</v>
      </c>
      <c r="BH285" t="s">
        <v>72</v>
      </c>
      <c r="BI285">
        <v>12</v>
      </c>
      <c r="BJ285" t="s">
        <v>3187</v>
      </c>
      <c r="BK285" t="s">
        <v>3188</v>
      </c>
      <c r="BL285" t="s">
        <v>3189</v>
      </c>
      <c r="BM285" t="s">
        <v>72</v>
      </c>
      <c r="BN285" t="s">
        <v>72</v>
      </c>
      <c r="BO285" t="s">
        <v>72</v>
      </c>
      <c r="BP285" t="s">
        <v>72</v>
      </c>
      <c r="BQ285" t="s">
        <v>100</v>
      </c>
      <c r="BR285" t="s">
        <v>3190</v>
      </c>
      <c r="BS285" t="str">
        <f>HYPERLINK("https%3A%2F%2Fwww.webofscience.com%2Fwos%2Fwoscc%2Ffull-record%2FWOS:000432089000007","View Full Record in Web of Science")</f>
        <v>View Full Record in Web of Science</v>
      </c>
    </row>
    <row r="286" spans="1:71" hidden="1" x14ac:dyDescent="0.2">
      <c r="A286" t="s">
        <v>70</v>
      </c>
      <c r="B286" t="s">
        <v>3170</v>
      </c>
      <c r="C286" t="s">
        <v>72</v>
      </c>
      <c r="D286" t="s">
        <v>72</v>
      </c>
      <c r="E286" t="s">
        <v>72</v>
      </c>
      <c r="F286" t="s">
        <v>3171</v>
      </c>
      <c r="G286" t="s">
        <v>72</v>
      </c>
      <c r="H286" t="s">
        <v>72</v>
      </c>
      <c r="I286" t="s">
        <v>3191</v>
      </c>
      <c r="J286" t="s">
        <v>3173</v>
      </c>
      <c r="K286" t="s">
        <v>72</v>
      </c>
      <c r="L286" t="s">
        <v>72</v>
      </c>
      <c r="M286" t="s">
        <v>76</v>
      </c>
      <c r="N286" t="s">
        <v>77</v>
      </c>
      <c r="O286" t="s">
        <v>72</v>
      </c>
      <c r="P286" t="s">
        <v>72</v>
      </c>
      <c r="Q286" t="s">
        <v>72</v>
      </c>
      <c r="R286" t="s">
        <v>72</v>
      </c>
      <c r="S286" t="s">
        <v>72</v>
      </c>
      <c r="T286" t="s">
        <v>3192</v>
      </c>
      <c r="U286" t="s">
        <v>3193</v>
      </c>
      <c r="V286" t="s">
        <v>3194</v>
      </c>
      <c r="W286" t="s">
        <v>3195</v>
      </c>
      <c r="X286" t="s">
        <v>3196</v>
      </c>
      <c r="Y286" t="s">
        <v>3197</v>
      </c>
      <c r="Z286" t="s">
        <v>3198</v>
      </c>
      <c r="AA286" t="s">
        <v>3180</v>
      </c>
      <c r="AB286" t="s">
        <v>3181</v>
      </c>
      <c r="AC286" t="s">
        <v>72</v>
      </c>
      <c r="AD286" t="s">
        <v>72</v>
      </c>
      <c r="AE286" t="s">
        <v>72</v>
      </c>
      <c r="AF286" t="s">
        <v>72</v>
      </c>
      <c r="AG286">
        <v>23</v>
      </c>
      <c r="AH286">
        <v>3</v>
      </c>
      <c r="AI286">
        <v>3</v>
      </c>
      <c r="AJ286">
        <v>0</v>
      </c>
      <c r="AK286">
        <v>3</v>
      </c>
      <c r="AL286" t="s">
        <v>190</v>
      </c>
      <c r="AM286" t="s">
        <v>191</v>
      </c>
      <c r="AN286" t="s">
        <v>192</v>
      </c>
      <c r="AO286" t="s">
        <v>3182</v>
      </c>
      <c r="AP286" t="s">
        <v>3183</v>
      </c>
      <c r="AQ286" t="s">
        <v>72</v>
      </c>
      <c r="AR286" t="s">
        <v>3184</v>
      </c>
      <c r="AS286" t="s">
        <v>3185</v>
      </c>
      <c r="AT286" t="s">
        <v>299</v>
      </c>
      <c r="AU286">
        <v>2021</v>
      </c>
      <c r="AV286">
        <v>40</v>
      </c>
      <c r="AW286">
        <v>3</v>
      </c>
      <c r="AX286" t="s">
        <v>72</v>
      </c>
      <c r="AY286" t="s">
        <v>72</v>
      </c>
      <c r="AZ286" t="s">
        <v>72</v>
      </c>
      <c r="BA286" t="s">
        <v>72</v>
      </c>
      <c r="BB286">
        <v>412</v>
      </c>
      <c r="BC286">
        <v>423</v>
      </c>
      <c r="BD286" t="s">
        <v>3199</v>
      </c>
      <c r="BE286" t="s">
        <v>3200</v>
      </c>
      <c r="BF286" t="str">
        <f>HYPERLINK("http://dx.doi.org/10.1177/0261927X20988765","http://dx.doi.org/10.1177/0261927X20988765")</f>
        <v>http://dx.doi.org/10.1177/0261927X20988765</v>
      </c>
      <c r="BG286" t="s">
        <v>72</v>
      </c>
      <c r="BH286" t="s">
        <v>3201</v>
      </c>
      <c r="BI286">
        <v>12</v>
      </c>
      <c r="BJ286" t="s">
        <v>3187</v>
      </c>
      <c r="BK286" t="s">
        <v>3188</v>
      </c>
      <c r="BL286" t="s">
        <v>3202</v>
      </c>
      <c r="BM286" t="s">
        <v>72</v>
      </c>
      <c r="BN286" t="s">
        <v>72</v>
      </c>
      <c r="BO286" t="s">
        <v>72</v>
      </c>
      <c r="BP286" t="s">
        <v>72</v>
      </c>
      <c r="BQ286" t="s">
        <v>100</v>
      </c>
      <c r="BR286" t="s">
        <v>3203</v>
      </c>
      <c r="BS286" t="str">
        <f>HYPERLINK("https%3A%2F%2Fwww.webofscience.com%2Fwos%2Fwoscc%2Ffull-record%2FWOS:000611042100001","View Full Record in Web of Science")</f>
        <v>View Full Record in Web of Science</v>
      </c>
    </row>
    <row r="287" spans="1:71" hidden="1" x14ac:dyDescent="0.2">
      <c r="A287" t="s">
        <v>70</v>
      </c>
      <c r="B287" t="s">
        <v>3170</v>
      </c>
      <c r="C287" t="s">
        <v>72</v>
      </c>
      <c r="D287" t="s">
        <v>72</v>
      </c>
      <c r="E287" t="s">
        <v>72</v>
      </c>
      <c r="F287" t="s">
        <v>3171</v>
      </c>
      <c r="G287" t="s">
        <v>72</v>
      </c>
      <c r="H287" t="s">
        <v>72</v>
      </c>
      <c r="I287" t="s">
        <v>4125</v>
      </c>
      <c r="J287" t="s">
        <v>3173</v>
      </c>
      <c r="K287" t="s">
        <v>72</v>
      </c>
      <c r="L287" t="s">
        <v>72</v>
      </c>
      <c r="M287" t="s">
        <v>76</v>
      </c>
      <c r="N287" t="s">
        <v>77</v>
      </c>
      <c r="O287" t="s">
        <v>72</v>
      </c>
      <c r="P287" t="s">
        <v>72</v>
      </c>
      <c r="Q287" t="s">
        <v>72</v>
      </c>
      <c r="R287" t="s">
        <v>72</v>
      </c>
      <c r="S287" t="s">
        <v>72</v>
      </c>
      <c r="T287" t="s">
        <v>4126</v>
      </c>
      <c r="U287" t="s">
        <v>4127</v>
      </c>
      <c r="V287" t="s">
        <v>4128</v>
      </c>
      <c r="W287" t="s">
        <v>3195</v>
      </c>
      <c r="X287" t="s">
        <v>3196</v>
      </c>
      <c r="Y287" t="s">
        <v>3197</v>
      </c>
      <c r="Z287" t="s">
        <v>3198</v>
      </c>
      <c r="AA287" t="s">
        <v>72</v>
      </c>
      <c r="AB287" t="s">
        <v>3181</v>
      </c>
      <c r="AC287" t="s">
        <v>72</v>
      </c>
      <c r="AD287" t="s">
        <v>72</v>
      </c>
      <c r="AE287" t="s">
        <v>72</v>
      </c>
      <c r="AF287" t="s">
        <v>72</v>
      </c>
      <c r="AG287">
        <v>26</v>
      </c>
      <c r="AH287">
        <v>4</v>
      </c>
      <c r="AI287">
        <v>4</v>
      </c>
      <c r="AJ287">
        <v>1</v>
      </c>
      <c r="AK287">
        <v>16</v>
      </c>
      <c r="AL287" t="s">
        <v>190</v>
      </c>
      <c r="AM287" t="s">
        <v>191</v>
      </c>
      <c r="AN287" t="s">
        <v>192</v>
      </c>
      <c r="AO287" t="s">
        <v>3182</v>
      </c>
      <c r="AP287" t="s">
        <v>3183</v>
      </c>
      <c r="AQ287" t="s">
        <v>72</v>
      </c>
      <c r="AR287" t="s">
        <v>3184</v>
      </c>
      <c r="AS287" t="s">
        <v>3185</v>
      </c>
      <c r="AT287" t="s">
        <v>555</v>
      </c>
      <c r="AU287">
        <v>2022</v>
      </c>
      <c r="AV287">
        <v>41</v>
      </c>
      <c r="AW287">
        <v>2</v>
      </c>
      <c r="AX287" t="s">
        <v>72</v>
      </c>
      <c r="AY287" t="s">
        <v>72</v>
      </c>
      <c r="AZ287" t="s">
        <v>72</v>
      </c>
      <c r="BA287" t="s">
        <v>72</v>
      </c>
      <c r="BB287">
        <v>209</v>
      </c>
      <c r="BC287">
        <v>218</v>
      </c>
      <c r="BD287" t="s">
        <v>4129</v>
      </c>
      <c r="BE287" t="s">
        <v>4130</v>
      </c>
      <c r="BF287" t="str">
        <f>HYPERLINK("http://dx.doi.org/10.1177/0261927X211026346","http://dx.doi.org/10.1177/0261927X211026346")</f>
        <v>http://dx.doi.org/10.1177/0261927X211026346</v>
      </c>
      <c r="BG287" t="s">
        <v>72</v>
      </c>
      <c r="BH287" t="s">
        <v>4131</v>
      </c>
      <c r="BI287">
        <v>10</v>
      </c>
      <c r="BJ287" t="s">
        <v>3187</v>
      </c>
      <c r="BK287" t="s">
        <v>3188</v>
      </c>
      <c r="BL287" t="s">
        <v>4132</v>
      </c>
      <c r="BM287" t="s">
        <v>72</v>
      </c>
      <c r="BN287" t="s">
        <v>72</v>
      </c>
      <c r="BO287" t="s">
        <v>72</v>
      </c>
      <c r="BP287" t="s">
        <v>72</v>
      </c>
      <c r="BQ287" t="s">
        <v>100</v>
      </c>
      <c r="BR287" t="s">
        <v>4133</v>
      </c>
      <c r="BS287" t="str">
        <f>HYPERLINK("https%3A%2F%2Fwww.webofscience.com%2Fwos%2Fwoscc%2Ffull-record%2FWOS:000665243200001","View Full Record in Web of Science")</f>
        <v>View Full Record in Web of Science</v>
      </c>
    </row>
    <row r="288" spans="1:71" hidden="1" x14ac:dyDescent="0.2">
      <c r="A288" t="s">
        <v>70</v>
      </c>
      <c r="B288" t="s">
        <v>3170</v>
      </c>
      <c r="C288" t="s">
        <v>72</v>
      </c>
      <c r="D288" t="s">
        <v>72</v>
      </c>
      <c r="E288" t="s">
        <v>72</v>
      </c>
      <c r="F288" t="s">
        <v>3171</v>
      </c>
      <c r="G288" t="s">
        <v>72</v>
      </c>
      <c r="H288" t="s">
        <v>72</v>
      </c>
      <c r="I288" t="s">
        <v>5583</v>
      </c>
      <c r="J288" t="s">
        <v>3173</v>
      </c>
      <c r="K288" t="s">
        <v>72</v>
      </c>
      <c r="L288" t="s">
        <v>72</v>
      </c>
      <c r="M288" t="s">
        <v>76</v>
      </c>
      <c r="N288" t="s">
        <v>77</v>
      </c>
      <c r="O288" t="s">
        <v>72</v>
      </c>
      <c r="P288" t="s">
        <v>72</v>
      </c>
      <c r="Q288" t="s">
        <v>72</v>
      </c>
      <c r="R288" t="s">
        <v>72</v>
      </c>
      <c r="S288" t="s">
        <v>72</v>
      </c>
      <c r="T288" t="s">
        <v>5584</v>
      </c>
      <c r="U288" t="s">
        <v>5585</v>
      </c>
      <c r="V288" t="s">
        <v>5586</v>
      </c>
      <c r="W288" t="s">
        <v>5587</v>
      </c>
      <c r="X288" t="s">
        <v>3196</v>
      </c>
      <c r="Y288" t="s">
        <v>5588</v>
      </c>
      <c r="Z288" t="s">
        <v>3198</v>
      </c>
      <c r="AA288" t="s">
        <v>3180</v>
      </c>
      <c r="AB288" t="s">
        <v>3181</v>
      </c>
      <c r="AC288" t="s">
        <v>72</v>
      </c>
      <c r="AD288" t="s">
        <v>72</v>
      </c>
      <c r="AE288" t="s">
        <v>72</v>
      </c>
      <c r="AF288" t="s">
        <v>72</v>
      </c>
      <c r="AG288">
        <v>47</v>
      </c>
      <c r="AH288">
        <v>19</v>
      </c>
      <c r="AI288">
        <v>19</v>
      </c>
      <c r="AJ288">
        <v>5</v>
      </c>
      <c r="AK288">
        <v>19</v>
      </c>
      <c r="AL288" t="s">
        <v>190</v>
      </c>
      <c r="AM288" t="s">
        <v>191</v>
      </c>
      <c r="AN288" t="s">
        <v>192</v>
      </c>
      <c r="AO288" t="s">
        <v>3182</v>
      </c>
      <c r="AP288" t="s">
        <v>3183</v>
      </c>
      <c r="AQ288" t="s">
        <v>72</v>
      </c>
      <c r="AR288" t="s">
        <v>3184</v>
      </c>
      <c r="AS288" t="s">
        <v>3185</v>
      </c>
      <c r="AT288" t="s">
        <v>299</v>
      </c>
      <c r="AU288">
        <v>2019</v>
      </c>
      <c r="AV288">
        <v>38</v>
      </c>
      <c r="AW288">
        <v>3</v>
      </c>
      <c r="AX288" t="s">
        <v>72</v>
      </c>
      <c r="AY288" t="s">
        <v>72</v>
      </c>
      <c r="AZ288" t="s">
        <v>72</v>
      </c>
      <c r="BA288" t="s">
        <v>72</v>
      </c>
      <c r="BB288">
        <v>264</v>
      </c>
      <c r="BC288">
        <v>282</v>
      </c>
      <c r="BD288" t="s">
        <v>72</v>
      </c>
      <c r="BE288" t="s">
        <v>5589</v>
      </c>
      <c r="BF288" t="str">
        <f>HYPERLINK("http://dx.doi.org/10.1177/0261927X18824859","http://dx.doi.org/10.1177/0261927X18824859")</f>
        <v>http://dx.doi.org/10.1177/0261927X18824859</v>
      </c>
      <c r="BG288" t="s">
        <v>72</v>
      </c>
      <c r="BH288" t="s">
        <v>72</v>
      </c>
      <c r="BI288">
        <v>19</v>
      </c>
      <c r="BJ288" t="s">
        <v>3187</v>
      </c>
      <c r="BK288" t="s">
        <v>3188</v>
      </c>
      <c r="BL288" t="s">
        <v>5590</v>
      </c>
      <c r="BM288" t="s">
        <v>72</v>
      </c>
      <c r="BN288" t="s">
        <v>72</v>
      </c>
      <c r="BO288" t="s">
        <v>72</v>
      </c>
      <c r="BP288" t="s">
        <v>72</v>
      </c>
      <c r="BQ288" t="s">
        <v>100</v>
      </c>
      <c r="BR288" t="s">
        <v>5591</v>
      </c>
      <c r="BS288" t="str">
        <f>HYPERLINK("https%3A%2F%2Fwww.webofscience.com%2Fwos%2Fwoscc%2Ffull-record%2FWOS:000466421200001","View Full Record in Web of Science")</f>
        <v>View Full Record in Web of Science</v>
      </c>
    </row>
    <row r="289" spans="1:71" hidden="1" x14ac:dyDescent="0.2">
      <c r="A289" t="s">
        <v>70</v>
      </c>
      <c r="B289" t="s">
        <v>3170</v>
      </c>
      <c r="C289" t="s">
        <v>72</v>
      </c>
      <c r="D289" t="s">
        <v>72</v>
      </c>
      <c r="E289" t="s">
        <v>72</v>
      </c>
      <c r="F289" t="s">
        <v>3171</v>
      </c>
      <c r="G289" t="s">
        <v>72</v>
      </c>
      <c r="H289" t="s">
        <v>72</v>
      </c>
      <c r="I289" t="s">
        <v>6003</v>
      </c>
      <c r="J289" t="s">
        <v>3173</v>
      </c>
      <c r="K289" t="s">
        <v>72</v>
      </c>
      <c r="L289" t="s">
        <v>72</v>
      </c>
      <c r="M289" t="s">
        <v>76</v>
      </c>
      <c r="N289" t="s">
        <v>352</v>
      </c>
      <c r="O289" t="s">
        <v>72</v>
      </c>
      <c r="P289" t="s">
        <v>72</v>
      </c>
      <c r="Q289" t="s">
        <v>72</v>
      </c>
      <c r="R289" t="s">
        <v>72</v>
      </c>
      <c r="S289" t="s">
        <v>72</v>
      </c>
      <c r="T289" t="s">
        <v>6004</v>
      </c>
      <c r="U289" t="s">
        <v>6005</v>
      </c>
      <c r="V289" t="s">
        <v>6006</v>
      </c>
      <c r="W289" t="s">
        <v>6007</v>
      </c>
      <c r="X289" t="s">
        <v>3196</v>
      </c>
      <c r="Y289" t="s">
        <v>5637</v>
      </c>
      <c r="Z289" t="s">
        <v>3198</v>
      </c>
      <c r="AA289" t="s">
        <v>72</v>
      </c>
      <c r="AB289" t="s">
        <v>3181</v>
      </c>
      <c r="AC289" t="s">
        <v>6008</v>
      </c>
      <c r="AD289" t="s">
        <v>6008</v>
      </c>
      <c r="AE289" t="s">
        <v>6009</v>
      </c>
      <c r="AF289" t="s">
        <v>72</v>
      </c>
      <c r="AG289">
        <v>96</v>
      </c>
      <c r="AH289">
        <v>0</v>
      </c>
      <c r="AI289">
        <v>0</v>
      </c>
      <c r="AJ289">
        <v>5</v>
      </c>
      <c r="AK289">
        <v>5</v>
      </c>
      <c r="AL289" t="s">
        <v>190</v>
      </c>
      <c r="AM289" t="s">
        <v>191</v>
      </c>
      <c r="AN289" t="s">
        <v>192</v>
      </c>
      <c r="AO289" t="s">
        <v>3182</v>
      </c>
      <c r="AP289" t="s">
        <v>3183</v>
      </c>
      <c r="AQ289" t="s">
        <v>72</v>
      </c>
      <c r="AR289" t="s">
        <v>3184</v>
      </c>
      <c r="AS289" t="s">
        <v>3185</v>
      </c>
      <c r="AT289" t="s">
        <v>72</v>
      </c>
      <c r="AU289" t="s">
        <v>72</v>
      </c>
      <c r="AV289" t="s">
        <v>72</v>
      </c>
      <c r="AW289" t="s">
        <v>72</v>
      </c>
      <c r="AX289" t="s">
        <v>72</v>
      </c>
      <c r="AY289" t="s">
        <v>72</v>
      </c>
      <c r="AZ289" t="s">
        <v>72</v>
      </c>
      <c r="BA289" t="s">
        <v>72</v>
      </c>
      <c r="BB289" t="s">
        <v>72</v>
      </c>
      <c r="BC289" t="s">
        <v>72</v>
      </c>
      <c r="BD289" t="s">
        <v>72</v>
      </c>
      <c r="BE289" t="s">
        <v>6010</v>
      </c>
      <c r="BF289" t="str">
        <f>HYPERLINK("http://dx.doi.org/10.1177/0261927X221117497","http://dx.doi.org/10.1177/0261927X221117497")</f>
        <v>http://dx.doi.org/10.1177/0261927X221117497</v>
      </c>
      <c r="BG289" t="s">
        <v>72</v>
      </c>
      <c r="BH289" t="s">
        <v>1072</v>
      </c>
      <c r="BI289">
        <v>25</v>
      </c>
      <c r="BJ289" t="s">
        <v>3187</v>
      </c>
      <c r="BK289" t="s">
        <v>3188</v>
      </c>
      <c r="BL289" t="s">
        <v>6011</v>
      </c>
      <c r="BM289" t="s">
        <v>72</v>
      </c>
      <c r="BN289" t="s">
        <v>72</v>
      </c>
      <c r="BO289" t="s">
        <v>72</v>
      </c>
      <c r="BP289" t="s">
        <v>72</v>
      </c>
      <c r="BQ289" t="s">
        <v>100</v>
      </c>
      <c r="BR289" t="s">
        <v>6012</v>
      </c>
      <c r="BS289" t="str">
        <f>HYPERLINK("https%3A%2F%2Fwww.webofscience.com%2Fwos%2Fwoscc%2Ffull-record%2FWOS:000835927800001","View Full Record in Web of Science")</f>
        <v>View Full Record in Web of Science</v>
      </c>
    </row>
    <row r="290" spans="1:71" hidden="1" x14ac:dyDescent="0.2">
      <c r="A290" t="s">
        <v>70</v>
      </c>
      <c r="B290" t="s">
        <v>6264</v>
      </c>
      <c r="C290" t="s">
        <v>72</v>
      </c>
      <c r="D290" t="s">
        <v>72</v>
      </c>
      <c r="E290" t="s">
        <v>72</v>
      </c>
      <c r="F290" t="s">
        <v>6265</v>
      </c>
      <c r="G290" t="s">
        <v>72</v>
      </c>
      <c r="H290" t="s">
        <v>72</v>
      </c>
      <c r="I290" t="s">
        <v>6266</v>
      </c>
      <c r="J290" t="s">
        <v>3173</v>
      </c>
      <c r="K290" t="s">
        <v>72</v>
      </c>
      <c r="L290" t="s">
        <v>72</v>
      </c>
      <c r="M290" t="s">
        <v>76</v>
      </c>
      <c r="N290" t="s">
        <v>77</v>
      </c>
      <c r="O290" t="s">
        <v>72</v>
      </c>
      <c r="P290" t="s">
        <v>72</v>
      </c>
      <c r="Q290" t="s">
        <v>72</v>
      </c>
      <c r="R290" t="s">
        <v>72</v>
      </c>
      <c r="S290" t="s">
        <v>72</v>
      </c>
      <c r="T290" t="s">
        <v>6267</v>
      </c>
      <c r="U290" t="s">
        <v>6268</v>
      </c>
      <c r="V290" t="s">
        <v>6269</v>
      </c>
      <c r="W290" t="s">
        <v>6270</v>
      </c>
      <c r="X290" t="s">
        <v>6271</v>
      </c>
      <c r="Y290" t="s">
        <v>3197</v>
      </c>
      <c r="Z290" t="s">
        <v>3198</v>
      </c>
      <c r="AA290" t="s">
        <v>3180</v>
      </c>
      <c r="AB290" t="s">
        <v>3181</v>
      </c>
      <c r="AC290" t="s">
        <v>72</v>
      </c>
      <c r="AD290" t="s">
        <v>72</v>
      </c>
      <c r="AE290" t="s">
        <v>72</v>
      </c>
      <c r="AF290" t="s">
        <v>72</v>
      </c>
      <c r="AG290">
        <v>65</v>
      </c>
      <c r="AH290">
        <v>5</v>
      </c>
      <c r="AI290">
        <v>5</v>
      </c>
      <c r="AJ290">
        <v>1</v>
      </c>
      <c r="AK290">
        <v>10</v>
      </c>
      <c r="AL290" t="s">
        <v>190</v>
      </c>
      <c r="AM290" t="s">
        <v>191</v>
      </c>
      <c r="AN290" t="s">
        <v>192</v>
      </c>
      <c r="AO290" t="s">
        <v>3182</v>
      </c>
      <c r="AP290" t="s">
        <v>3183</v>
      </c>
      <c r="AQ290" t="s">
        <v>72</v>
      </c>
      <c r="AR290" t="s">
        <v>3184</v>
      </c>
      <c r="AS290" t="s">
        <v>3185</v>
      </c>
      <c r="AT290" t="s">
        <v>395</v>
      </c>
      <c r="AU290">
        <v>2020</v>
      </c>
      <c r="AV290">
        <v>39</v>
      </c>
      <c r="AW290" t="s">
        <v>5524</v>
      </c>
      <c r="AX290" t="s">
        <v>72</v>
      </c>
      <c r="AY290" t="s">
        <v>72</v>
      </c>
      <c r="AZ290" t="s">
        <v>72</v>
      </c>
      <c r="BA290" t="s">
        <v>72</v>
      </c>
      <c r="BB290">
        <v>598</v>
      </c>
      <c r="BC290">
        <v>625</v>
      </c>
      <c r="BD290" t="s">
        <v>6272</v>
      </c>
      <c r="BE290" t="s">
        <v>6273</v>
      </c>
      <c r="BF290" t="str">
        <f>HYPERLINK("http://dx.doi.org/10.1177/0261927X20902816","http://dx.doi.org/10.1177/0261927X20902816")</f>
        <v>http://dx.doi.org/10.1177/0261927X20902816</v>
      </c>
      <c r="BG290" t="s">
        <v>72</v>
      </c>
      <c r="BH290" t="s">
        <v>6274</v>
      </c>
      <c r="BI290">
        <v>28</v>
      </c>
      <c r="BJ290" t="s">
        <v>3187</v>
      </c>
      <c r="BK290" t="s">
        <v>3188</v>
      </c>
      <c r="BL290" t="s">
        <v>6275</v>
      </c>
      <c r="BM290" t="s">
        <v>72</v>
      </c>
      <c r="BN290" t="s">
        <v>72</v>
      </c>
      <c r="BO290" t="s">
        <v>72</v>
      </c>
      <c r="BP290" t="s">
        <v>72</v>
      </c>
      <c r="BQ290" t="s">
        <v>100</v>
      </c>
      <c r="BR290" t="s">
        <v>6276</v>
      </c>
      <c r="BS290" t="str">
        <f>HYPERLINK("https%3A%2F%2Fwww.webofscience.com%2Fwos%2Fwoscc%2Ffull-record%2FWOS:000510628700001","View Full Record in Web of Science")</f>
        <v>View Full Record in Web of Science</v>
      </c>
    </row>
    <row r="291" spans="1:71" hidden="1" x14ac:dyDescent="0.2">
      <c r="A291" t="s">
        <v>70</v>
      </c>
      <c r="B291" t="s">
        <v>9712</v>
      </c>
      <c r="C291" t="s">
        <v>72</v>
      </c>
      <c r="D291" t="s">
        <v>72</v>
      </c>
      <c r="E291" t="s">
        <v>72</v>
      </c>
      <c r="F291" t="s">
        <v>9713</v>
      </c>
      <c r="G291" t="s">
        <v>72</v>
      </c>
      <c r="H291" t="s">
        <v>72</v>
      </c>
      <c r="I291" t="s">
        <v>9714</v>
      </c>
      <c r="J291" t="s">
        <v>3173</v>
      </c>
      <c r="K291" t="s">
        <v>72</v>
      </c>
      <c r="L291" t="s">
        <v>72</v>
      </c>
      <c r="M291" t="s">
        <v>76</v>
      </c>
      <c r="N291" t="s">
        <v>77</v>
      </c>
      <c r="O291" t="s">
        <v>72</v>
      </c>
      <c r="P291" t="s">
        <v>72</v>
      </c>
      <c r="Q291" t="s">
        <v>72</v>
      </c>
      <c r="R291" t="s">
        <v>72</v>
      </c>
      <c r="S291" t="s">
        <v>72</v>
      </c>
      <c r="T291" t="s">
        <v>9715</v>
      </c>
      <c r="U291" t="s">
        <v>9716</v>
      </c>
      <c r="V291" t="s">
        <v>9717</v>
      </c>
      <c r="W291" t="s">
        <v>9718</v>
      </c>
      <c r="X291" t="s">
        <v>9719</v>
      </c>
      <c r="Y291" t="s">
        <v>9720</v>
      </c>
      <c r="Z291" t="s">
        <v>9721</v>
      </c>
      <c r="AA291" t="s">
        <v>9722</v>
      </c>
      <c r="AB291" t="s">
        <v>9723</v>
      </c>
      <c r="AC291" t="s">
        <v>9724</v>
      </c>
      <c r="AD291" t="s">
        <v>9725</v>
      </c>
      <c r="AE291" t="s">
        <v>9726</v>
      </c>
      <c r="AF291" t="s">
        <v>72</v>
      </c>
      <c r="AG291">
        <v>65</v>
      </c>
      <c r="AH291">
        <v>1</v>
      </c>
      <c r="AI291">
        <v>1</v>
      </c>
      <c r="AJ291">
        <v>0</v>
      </c>
      <c r="AK291">
        <v>1</v>
      </c>
      <c r="AL291" t="s">
        <v>190</v>
      </c>
      <c r="AM291" t="s">
        <v>191</v>
      </c>
      <c r="AN291" t="s">
        <v>192</v>
      </c>
      <c r="AO291" t="s">
        <v>3182</v>
      </c>
      <c r="AP291" t="s">
        <v>3183</v>
      </c>
      <c r="AQ291" t="s">
        <v>72</v>
      </c>
      <c r="AR291" t="s">
        <v>3184</v>
      </c>
      <c r="AS291" t="s">
        <v>3185</v>
      </c>
      <c r="AT291" t="s">
        <v>555</v>
      </c>
      <c r="AU291">
        <v>2020</v>
      </c>
      <c r="AV291">
        <v>39</v>
      </c>
      <c r="AW291">
        <v>2</v>
      </c>
      <c r="AX291" t="s">
        <v>72</v>
      </c>
      <c r="AY291" t="s">
        <v>72</v>
      </c>
      <c r="AZ291" t="s">
        <v>72</v>
      </c>
      <c r="BA291" t="s">
        <v>72</v>
      </c>
      <c r="BB291">
        <v>237</v>
      </c>
      <c r="BC291">
        <v>259</v>
      </c>
      <c r="BD291" t="s">
        <v>9727</v>
      </c>
      <c r="BE291" t="s">
        <v>9728</v>
      </c>
      <c r="BF291" t="str">
        <f>HYPERLINK("http://dx.doi.org/10.1177/0261927X19893833","http://dx.doi.org/10.1177/0261927X19893833")</f>
        <v>http://dx.doi.org/10.1177/0261927X19893833</v>
      </c>
      <c r="BG291" t="s">
        <v>72</v>
      </c>
      <c r="BH291" t="s">
        <v>6816</v>
      </c>
      <c r="BI291">
        <v>23</v>
      </c>
      <c r="BJ291" t="s">
        <v>3187</v>
      </c>
      <c r="BK291" t="s">
        <v>3188</v>
      </c>
      <c r="BL291" t="s">
        <v>9729</v>
      </c>
      <c r="BM291" t="s">
        <v>72</v>
      </c>
      <c r="BN291" t="s">
        <v>72</v>
      </c>
      <c r="BO291" t="s">
        <v>72</v>
      </c>
      <c r="BP291" t="s">
        <v>72</v>
      </c>
      <c r="BQ291" t="s">
        <v>100</v>
      </c>
      <c r="BR291" t="s">
        <v>9730</v>
      </c>
      <c r="BS291" t="str">
        <f>HYPERLINK("https%3A%2F%2Fwww.webofscience.com%2Fwos%2Fwoscc%2Ffull-record%2FWOS:000506493300001","View Full Record in Web of Science")</f>
        <v>View Full Record in Web of Science</v>
      </c>
    </row>
    <row r="292" spans="1:71" hidden="1" x14ac:dyDescent="0.2">
      <c r="A292" t="s">
        <v>70</v>
      </c>
      <c r="B292" t="s">
        <v>12473</v>
      </c>
      <c r="C292" t="s">
        <v>72</v>
      </c>
      <c r="D292" t="s">
        <v>72</v>
      </c>
      <c r="E292" t="s">
        <v>72</v>
      </c>
      <c r="F292" t="s">
        <v>12474</v>
      </c>
      <c r="G292" t="s">
        <v>72</v>
      </c>
      <c r="H292" t="s">
        <v>72</v>
      </c>
      <c r="I292" t="s">
        <v>12475</v>
      </c>
      <c r="J292" t="s">
        <v>3173</v>
      </c>
      <c r="K292" t="s">
        <v>72</v>
      </c>
      <c r="L292" t="s">
        <v>72</v>
      </c>
      <c r="M292" t="s">
        <v>76</v>
      </c>
      <c r="N292" t="s">
        <v>77</v>
      </c>
      <c r="O292" t="s">
        <v>72</v>
      </c>
      <c r="P292" t="s">
        <v>72</v>
      </c>
      <c r="Q292" t="s">
        <v>72</v>
      </c>
      <c r="R292" t="s">
        <v>72</v>
      </c>
      <c r="S292" t="s">
        <v>72</v>
      </c>
      <c r="T292" t="s">
        <v>12476</v>
      </c>
      <c r="U292" t="s">
        <v>12477</v>
      </c>
      <c r="V292" t="s">
        <v>12478</v>
      </c>
      <c r="W292" t="s">
        <v>12479</v>
      </c>
      <c r="X292" t="s">
        <v>12480</v>
      </c>
      <c r="Y292" t="s">
        <v>12481</v>
      </c>
      <c r="Z292" t="s">
        <v>12482</v>
      </c>
      <c r="AA292" t="s">
        <v>72</v>
      </c>
      <c r="AB292" t="s">
        <v>12483</v>
      </c>
      <c r="AC292" t="s">
        <v>12484</v>
      </c>
      <c r="AD292" t="s">
        <v>12485</v>
      </c>
      <c r="AE292" t="s">
        <v>12486</v>
      </c>
      <c r="AF292" t="s">
        <v>72</v>
      </c>
      <c r="AG292">
        <v>85</v>
      </c>
      <c r="AH292">
        <v>3</v>
      </c>
      <c r="AI292">
        <v>3</v>
      </c>
      <c r="AJ292">
        <v>3</v>
      </c>
      <c r="AK292">
        <v>3</v>
      </c>
      <c r="AL292" t="s">
        <v>190</v>
      </c>
      <c r="AM292" t="s">
        <v>191</v>
      </c>
      <c r="AN292" t="s">
        <v>192</v>
      </c>
      <c r="AO292" t="s">
        <v>3182</v>
      </c>
      <c r="AP292" t="s">
        <v>3183</v>
      </c>
      <c r="AQ292" t="s">
        <v>72</v>
      </c>
      <c r="AR292" t="s">
        <v>3184</v>
      </c>
      <c r="AS292" t="s">
        <v>3185</v>
      </c>
      <c r="AT292" t="s">
        <v>395</v>
      </c>
      <c r="AU292">
        <v>2021</v>
      </c>
      <c r="AV292">
        <v>40</v>
      </c>
      <c r="AW292" t="s">
        <v>5524</v>
      </c>
      <c r="AX292" t="s">
        <v>72</v>
      </c>
      <c r="AY292" t="s">
        <v>72</v>
      </c>
      <c r="AZ292" t="s">
        <v>478</v>
      </c>
      <c r="BA292" t="s">
        <v>72</v>
      </c>
      <c r="BB292">
        <v>653</v>
      </c>
      <c r="BC292">
        <v>676</v>
      </c>
      <c r="BD292" t="s">
        <v>12487</v>
      </c>
      <c r="BE292" t="s">
        <v>12488</v>
      </c>
      <c r="BF292" t="str">
        <f>HYPERLINK("http://dx.doi.org/10.1177/0261927X211044194","http://dx.doi.org/10.1177/0261927X211044194")</f>
        <v>http://dx.doi.org/10.1177/0261927X211044194</v>
      </c>
      <c r="BG292" t="s">
        <v>72</v>
      </c>
      <c r="BH292" t="s">
        <v>5580</v>
      </c>
      <c r="BI292">
        <v>24</v>
      </c>
      <c r="BJ292" t="s">
        <v>3187</v>
      </c>
      <c r="BK292" t="s">
        <v>3188</v>
      </c>
      <c r="BL292" t="s">
        <v>12489</v>
      </c>
      <c r="BM292" t="s">
        <v>72</v>
      </c>
      <c r="BN292" t="s">
        <v>280</v>
      </c>
      <c r="BO292" t="s">
        <v>72</v>
      </c>
      <c r="BP292" t="s">
        <v>72</v>
      </c>
      <c r="BQ292" t="s">
        <v>100</v>
      </c>
      <c r="BR292" t="s">
        <v>12490</v>
      </c>
      <c r="BS292" t="str">
        <f>HYPERLINK("https%3A%2F%2Fwww.webofscience.com%2Fwos%2Fwoscc%2Ffull-record%2FWOS:000712514500001","View Full Record in Web of Science")</f>
        <v>View Full Record in Web of Science</v>
      </c>
    </row>
    <row r="293" spans="1:71" hidden="1" x14ac:dyDescent="0.2">
      <c r="A293" t="s">
        <v>70</v>
      </c>
      <c r="B293" t="s">
        <v>12526</v>
      </c>
      <c r="C293" t="s">
        <v>72</v>
      </c>
      <c r="D293" t="s">
        <v>72</v>
      </c>
      <c r="E293" t="s">
        <v>72</v>
      </c>
      <c r="F293" t="s">
        <v>12527</v>
      </c>
      <c r="G293" t="s">
        <v>72</v>
      </c>
      <c r="H293" t="s">
        <v>72</v>
      </c>
      <c r="I293" t="s">
        <v>12528</v>
      </c>
      <c r="J293" t="s">
        <v>12529</v>
      </c>
      <c r="K293" t="s">
        <v>72</v>
      </c>
      <c r="L293" t="s">
        <v>72</v>
      </c>
      <c r="M293" t="s">
        <v>76</v>
      </c>
      <c r="N293" t="s">
        <v>77</v>
      </c>
      <c r="O293" t="s">
        <v>72</v>
      </c>
      <c r="P293" t="s">
        <v>72</v>
      </c>
      <c r="Q293" t="s">
        <v>72</v>
      </c>
      <c r="R293" t="s">
        <v>72</v>
      </c>
      <c r="S293" t="s">
        <v>72</v>
      </c>
      <c r="T293" t="s">
        <v>12530</v>
      </c>
      <c r="U293" t="s">
        <v>12531</v>
      </c>
      <c r="V293" t="s">
        <v>12532</v>
      </c>
      <c r="W293" t="s">
        <v>12533</v>
      </c>
      <c r="X293" t="s">
        <v>3680</v>
      </c>
      <c r="Y293" t="s">
        <v>12534</v>
      </c>
      <c r="Z293" t="s">
        <v>3682</v>
      </c>
      <c r="AA293" t="s">
        <v>3683</v>
      </c>
      <c r="AB293" t="s">
        <v>3684</v>
      </c>
      <c r="AC293" t="s">
        <v>72</v>
      </c>
      <c r="AD293" t="s">
        <v>72</v>
      </c>
      <c r="AE293" t="s">
        <v>72</v>
      </c>
      <c r="AF293" t="s">
        <v>72</v>
      </c>
      <c r="AG293">
        <v>52</v>
      </c>
      <c r="AH293">
        <v>2</v>
      </c>
      <c r="AI293">
        <v>2</v>
      </c>
      <c r="AJ293">
        <v>7</v>
      </c>
      <c r="AK293">
        <v>12</v>
      </c>
      <c r="AL293" t="s">
        <v>2483</v>
      </c>
      <c r="AM293" t="s">
        <v>1280</v>
      </c>
      <c r="AN293" t="s">
        <v>2484</v>
      </c>
      <c r="AO293" t="s">
        <v>12535</v>
      </c>
      <c r="AP293" t="s">
        <v>12536</v>
      </c>
      <c r="AQ293" t="s">
        <v>72</v>
      </c>
      <c r="AR293" t="s">
        <v>12537</v>
      </c>
      <c r="AS293" t="s">
        <v>12538</v>
      </c>
      <c r="AT293" t="s">
        <v>149</v>
      </c>
      <c r="AU293">
        <v>2022</v>
      </c>
      <c r="AV293">
        <v>11</v>
      </c>
      <c r="AW293">
        <v>2</v>
      </c>
      <c r="AX293" t="s">
        <v>72</v>
      </c>
      <c r="AY293" t="s">
        <v>72</v>
      </c>
      <c r="AZ293" t="s">
        <v>72</v>
      </c>
      <c r="BA293" t="s">
        <v>72</v>
      </c>
      <c r="BB293">
        <v>227</v>
      </c>
      <c r="BC293">
        <v>236</v>
      </c>
      <c r="BD293" t="s">
        <v>72</v>
      </c>
      <c r="BE293" t="s">
        <v>12539</v>
      </c>
      <c r="BF293" t="str">
        <f>HYPERLINK("http://dx.doi.org/10.1037/ppm0000352","http://dx.doi.org/10.1037/ppm0000352")</f>
        <v>http://dx.doi.org/10.1037/ppm0000352</v>
      </c>
      <c r="BG293" t="s">
        <v>72</v>
      </c>
      <c r="BH293" t="s">
        <v>4769</v>
      </c>
      <c r="BI293">
        <v>10</v>
      </c>
      <c r="BJ293" t="s">
        <v>12540</v>
      </c>
      <c r="BK293" t="s">
        <v>12541</v>
      </c>
      <c r="BL293" t="s">
        <v>12542</v>
      </c>
      <c r="BM293" t="s">
        <v>72</v>
      </c>
      <c r="BN293" t="s">
        <v>72</v>
      </c>
      <c r="BO293" t="s">
        <v>72</v>
      </c>
      <c r="BP293" t="s">
        <v>72</v>
      </c>
      <c r="BQ293" t="s">
        <v>100</v>
      </c>
      <c r="BR293" t="s">
        <v>12543</v>
      </c>
      <c r="BS293" t="str">
        <f>HYPERLINK("https%3A%2F%2Fwww.webofscience.com%2Fwos%2Fwoscc%2Ffull-record%2FWOS:000733039400001","View Full Record in Web of Science")</f>
        <v>View Full Record in Web of Science</v>
      </c>
    </row>
    <row r="294" spans="1:71" hidden="1" x14ac:dyDescent="0.2">
      <c r="A294" t="s">
        <v>70</v>
      </c>
      <c r="B294" t="s">
        <v>6783</v>
      </c>
      <c r="C294" t="s">
        <v>72</v>
      </c>
      <c r="D294" t="s">
        <v>72</v>
      </c>
      <c r="E294" t="s">
        <v>72</v>
      </c>
      <c r="F294" t="s">
        <v>6784</v>
      </c>
      <c r="G294" t="s">
        <v>72</v>
      </c>
      <c r="H294" t="s">
        <v>72</v>
      </c>
      <c r="I294" t="s">
        <v>7853</v>
      </c>
      <c r="J294" t="s">
        <v>7854</v>
      </c>
      <c r="K294" t="s">
        <v>72</v>
      </c>
      <c r="L294" t="s">
        <v>72</v>
      </c>
      <c r="M294" t="s">
        <v>76</v>
      </c>
      <c r="N294" t="s">
        <v>77</v>
      </c>
      <c r="O294" t="s">
        <v>72</v>
      </c>
      <c r="P294" t="s">
        <v>72</v>
      </c>
      <c r="Q294" t="s">
        <v>72</v>
      </c>
      <c r="R294" t="s">
        <v>72</v>
      </c>
      <c r="S294" t="s">
        <v>72</v>
      </c>
      <c r="T294" t="s">
        <v>7855</v>
      </c>
      <c r="U294" t="s">
        <v>7856</v>
      </c>
      <c r="V294" t="s">
        <v>7857</v>
      </c>
      <c r="W294" t="s">
        <v>7858</v>
      </c>
      <c r="X294" t="s">
        <v>6791</v>
      </c>
      <c r="Y294" t="s">
        <v>7859</v>
      </c>
      <c r="Z294" t="s">
        <v>6793</v>
      </c>
      <c r="AA294" t="s">
        <v>72</v>
      </c>
      <c r="AB294" t="s">
        <v>6794</v>
      </c>
      <c r="AC294" t="s">
        <v>72</v>
      </c>
      <c r="AD294" t="s">
        <v>72</v>
      </c>
      <c r="AE294" t="s">
        <v>72</v>
      </c>
      <c r="AF294" t="s">
        <v>72</v>
      </c>
      <c r="AG294">
        <v>55</v>
      </c>
      <c r="AH294">
        <v>42</v>
      </c>
      <c r="AI294">
        <v>42</v>
      </c>
      <c r="AJ294">
        <v>5</v>
      </c>
      <c r="AK294">
        <v>60</v>
      </c>
      <c r="AL294" t="s">
        <v>336</v>
      </c>
      <c r="AM294" t="s">
        <v>337</v>
      </c>
      <c r="AN294" t="s">
        <v>338</v>
      </c>
      <c r="AO294" t="s">
        <v>7860</v>
      </c>
      <c r="AP294" t="s">
        <v>7861</v>
      </c>
      <c r="AQ294" t="s">
        <v>72</v>
      </c>
      <c r="AR294" t="s">
        <v>7862</v>
      </c>
      <c r="AS294" t="s">
        <v>7863</v>
      </c>
      <c r="AT294" t="s">
        <v>776</v>
      </c>
      <c r="AU294">
        <v>2016</v>
      </c>
      <c r="AV294">
        <v>27</v>
      </c>
      <c r="AW294">
        <v>4</v>
      </c>
      <c r="AX294" t="s">
        <v>72</v>
      </c>
      <c r="AY294" t="s">
        <v>72</v>
      </c>
      <c r="AZ294" t="s">
        <v>72</v>
      </c>
      <c r="BA294" t="s">
        <v>72</v>
      </c>
      <c r="BB294">
        <v>401</v>
      </c>
      <c r="BC294">
        <v>422</v>
      </c>
      <c r="BD294" t="s">
        <v>72</v>
      </c>
      <c r="BE294" t="s">
        <v>7864</v>
      </c>
      <c r="BF294" t="str">
        <f>HYPERLINK("http://dx.doi.org/10.1177/0957926516634546","http://dx.doi.org/10.1177/0957926516634546")</f>
        <v>http://dx.doi.org/10.1177/0957926516634546</v>
      </c>
      <c r="BG294" t="s">
        <v>72</v>
      </c>
      <c r="BH294" t="s">
        <v>72</v>
      </c>
      <c r="BI294">
        <v>22</v>
      </c>
      <c r="BJ294" t="s">
        <v>7865</v>
      </c>
      <c r="BK294" t="s">
        <v>7866</v>
      </c>
      <c r="BL294" t="s">
        <v>7867</v>
      </c>
      <c r="BM294" t="s">
        <v>72</v>
      </c>
      <c r="BN294" t="s">
        <v>72</v>
      </c>
      <c r="BO294" t="s">
        <v>72</v>
      </c>
      <c r="BP294" t="s">
        <v>72</v>
      </c>
      <c r="BQ294" t="s">
        <v>100</v>
      </c>
      <c r="BR294" t="s">
        <v>7868</v>
      </c>
      <c r="BS294" t="str">
        <f>HYPERLINK("https%3A%2F%2Fwww.webofscience.com%2Fwos%2Fwoscc%2Ffull-record%2FWOS:000378784200003","View Full Record in Web of Science")</f>
        <v>View Full Record in Web of Science</v>
      </c>
    </row>
    <row r="295" spans="1:71" x14ac:dyDescent="0.2">
      <c r="A295" t="s">
        <v>305</v>
      </c>
      <c r="B295" t="s">
        <v>7633</v>
      </c>
      <c r="C295" t="s">
        <v>72</v>
      </c>
      <c r="D295" t="s">
        <v>7634</v>
      </c>
      <c r="E295" t="s">
        <v>72</v>
      </c>
      <c r="F295" t="s">
        <v>7635</v>
      </c>
      <c r="G295" t="s">
        <v>72</v>
      </c>
      <c r="H295" t="s">
        <v>72</v>
      </c>
      <c r="I295" t="s">
        <v>7636</v>
      </c>
      <c r="J295" t="s">
        <v>7637</v>
      </c>
      <c r="K295" t="s">
        <v>72</v>
      </c>
      <c r="L295" t="s">
        <v>72</v>
      </c>
      <c r="M295" t="s">
        <v>76</v>
      </c>
      <c r="N295" t="s">
        <v>312</v>
      </c>
      <c r="O295" t="s">
        <v>7638</v>
      </c>
      <c r="P295" t="s">
        <v>7639</v>
      </c>
      <c r="Q295" t="s">
        <v>7640</v>
      </c>
      <c r="R295" t="s">
        <v>72</v>
      </c>
      <c r="S295" t="s">
        <v>72</v>
      </c>
      <c r="T295" t="s">
        <v>7641</v>
      </c>
      <c r="U295" t="s">
        <v>7642</v>
      </c>
      <c r="V295" t="s">
        <v>7643</v>
      </c>
      <c r="W295" t="s">
        <v>7644</v>
      </c>
      <c r="X295" t="s">
        <v>72</v>
      </c>
      <c r="Y295" t="s">
        <v>72</v>
      </c>
      <c r="Z295" t="s">
        <v>7645</v>
      </c>
      <c r="AA295" t="s">
        <v>7646</v>
      </c>
      <c r="AB295" t="s">
        <v>7647</v>
      </c>
      <c r="AC295" t="s">
        <v>72</v>
      </c>
      <c r="AD295" t="s">
        <v>72</v>
      </c>
      <c r="AE295" t="s">
        <v>72</v>
      </c>
      <c r="AF295" t="s">
        <v>72</v>
      </c>
      <c r="AG295">
        <v>42</v>
      </c>
      <c r="AH295">
        <v>8</v>
      </c>
      <c r="AI295">
        <v>9</v>
      </c>
      <c r="AJ295">
        <v>0</v>
      </c>
      <c r="AK295">
        <v>7</v>
      </c>
      <c r="AL295" t="s">
        <v>7648</v>
      </c>
      <c r="AM295" t="s">
        <v>7649</v>
      </c>
      <c r="AN295" t="s">
        <v>7650</v>
      </c>
      <c r="AO295" t="s">
        <v>72</v>
      </c>
      <c r="AP295" t="s">
        <v>72</v>
      </c>
      <c r="AQ295" t="s">
        <v>7651</v>
      </c>
      <c r="AR295" t="s">
        <v>72</v>
      </c>
      <c r="AS295" t="s">
        <v>72</v>
      </c>
      <c r="AT295" t="s">
        <v>72</v>
      </c>
      <c r="AU295">
        <v>2011</v>
      </c>
      <c r="AV295" t="s">
        <v>72</v>
      </c>
      <c r="AW295" t="s">
        <v>72</v>
      </c>
      <c r="AX295" t="s">
        <v>72</v>
      </c>
      <c r="AY295" t="s">
        <v>72</v>
      </c>
      <c r="AZ295" t="s">
        <v>72</v>
      </c>
      <c r="BA295" t="s">
        <v>72</v>
      </c>
      <c r="BB295">
        <v>165</v>
      </c>
      <c r="BC295">
        <v>177</v>
      </c>
      <c r="BD295" t="s">
        <v>72</v>
      </c>
      <c r="BE295" t="s">
        <v>72</v>
      </c>
      <c r="BF295" t="s">
        <v>72</v>
      </c>
      <c r="BG295" t="s">
        <v>72</v>
      </c>
      <c r="BH295" t="s">
        <v>72</v>
      </c>
      <c r="BI295">
        <v>13</v>
      </c>
      <c r="BJ295" t="s">
        <v>7652</v>
      </c>
      <c r="BK295" t="s">
        <v>7653</v>
      </c>
      <c r="BL295" t="s">
        <v>7654</v>
      </c>
      <c r="BM295" t="s">
        <v>72</v>
      </c>
      <c r="BN295" t="s">
        <v>72</v>
      </c>
      <c r="BO295" t="s">
        <v>72</v>
      </c>
      <c r="BP295" t="s">
        <v>72</v>
      </c>
      <c r="BQ295" t="s">
        <v>100</v>
      </c>
      <c r="BR295" t="s">
        <v>7655</v>
      </c>
      <c r="BS295" t="str">
        <f>HYPERLINK("https%3A%2F%2Fwww.webofscience.com%2Fwos%2Fwoscc%2Ffull-record%2FWOS:000289967000014","View Full Record in Web of Science")</f>
        <v>View Full Record in Web of Science</v>
      </c>
    </row>
    <row r="296" spans="1:71" hidden="1" x14ac:dyDescent="0.2">
      <c r="A296" t="s">
        <v>70</v>
      </c>
      <c r="B296" t="s">
        <v>7166</v>
      </c>
      <c r="C296" t="s">
        <v>72</v>
      </c>
      <c r="D296" t="s">
        <v>72</v>
      </c>
      <c r="E296" t="s">
        <v>72</v>
      </c>
      <c r="F296" t="s">
        <v>7167</v>
      </c>
      <c r="G296" t="s">
        <v>72</v>
      </c>
      <c r="H296" t="s">
        <v>72</v>
      </c>
      <c r="I296" t="s">
        <v>7168</v>
      </c>
      <c r="J296" t="s">
        <v>7169</v>
      </c>
      <c r="K296" t="s">
        <v>72</v>
      </c>
      <c r="L296" t="s">
        <v>72</v>
      </c>
      <c r="M296" t="s">
        <v>76</v>
      </c>
      <c r="N296" t="s">
        <v>77</v>
      </c>
      <c r="O296" t="s">
        <v>72</v>
      </c>
      <c r="P296" t="s">
        <v>72</v>
      </c>
      <c r="Q296" t="s">
        <v>72</v>
      </c>
      <c r="R296" t="s">
        <v>72</v>
      </c>
      <c r="S296" t="s">
        <v>72</v>
      </c>
      <c r="T296" t="s">
        <v>7170</v>
      </c>
      <c r="U296" t="s">
        <v>7171</v>
      </c>
      <c r="V296" t="s">
        <v>7172</v>
      </c>
      <c r="W296" t="s">
        <v>7173</v>
      </c>
      <c r="X296" t="s">
        <v>2020</v>
      </c>
      <c r="Y296" t="s">
        <v>7174</v>
      </c>
      <c r="Z296" t="s">
        <v>7175</v>
      </c>
      <c r="AA296" t="s">
        <v>7176</v>
      </c>
      <c r="AB296" t="s">
        <v>7177</v>
      </c>
      <c r="AC296" t="s">
        <v>7178</v>
      </c>
      <c r="AD296" t="s">
        <v>7179</v>
      </c>
      <c r="AE296" t="s">
        <v>7180</v>
      </c>
      <c r="AF296" t="s">
        <v>72</v>
      </c>
      <c r="AG296">
        <v>63</v>
      </c>
      <c r="AH296">
        <v>133</v>
      </c>
      <c r="AI296">
        <v>139</v>
      </c>
      <c r="AJ296">
        <v>17</v>
      </c>
      <c r="AK296">
        <v>194</v>
      </c>
      <c r="AL296" t="s">
        <v>364</v>
      </c>
      <c r="AM296" t="s">
        <v>365</v>
      </c>
      <c r="AN296" t="s">
        <v>366</v>
      </c>
      <c r="AO296" t="s">
        <v>7181</v>
      </c>
      <c r="AP296" t="s">
        <v>7182</v>
      </c>
      <c r="AQ296" t="s">
        <v>72</v>
      </c>
      <c r="AR296" t="s">
        <v>7183</v>
      </c>
      <c r="AS296" t="s">
        <v>7184</v>
      </c>
      <c r="AT296" t="s">
        <v>72</v>
      </c>
      <c r="AU296">
        <v>2017</v>
      </c>
      <c r="AV296">
        <v>20</v>
      </c>
      <c r="AW296">
        <v>9</v>
      </c>
      <c r="AX296" t="s">
        <v>72</v>
      </c>
      <c r="AY296" t="s">
        <v>72</v>
      </c>
      <c r="AZ296" t="s">
        <v>478</v>
      </c>
      <c r="BA296" t="s">
        <v>72</v>
      </c>
      <c r="BB296">
        <v>1347</v>
      </c>
      <c r="BC296">
        <v>1364</v>
      </c>
      <c r="BD296" t="s">
        <v>72</v>
      </c>
      <c r="BE296" t="s">
        <v>7185</v>
      </c>
      <c r="BF296" t="str">
        <f>HYPERLINK("http://dx.doi.org/10.1080/1369118X.2017.1329333","http://dx.doi.org/10.1080/1369118X.2017.1329333")</f>
        <v>http://dx.doi.org/10.1080/1369118X.2017.1329333</v>
      </c>
      <c r="BG296" t="s">
        <v>72</v>
      </c>
      <c r="BH296" t="s">
        <v>72</v>
      </c>
      <c r="BI296">
        <v>18</v>
      </c>
      <c r="BJ296" t="s">
        <v>7186</v>
      </c>
      <c r="BK296" t="s">
        <v>7186</v>
      </c>
      <c r="BL296" t="s">
        <v>7187</v>
      </c>
      <c r="BM296" t="s">
        <v>72</v>
      </c>
      <c r="BN296" t="s">
        <v>72</v>
      </c>
      <c r="BO296" t="s">
        <v>72</v>
      </c>
      <c r="BP296" t="s">
        <v>72</v>
      </c>
      <c r="BQ296" t="s">
        <v>100</v>
      </c>
      <c r="BR296" t="s">
        <v>7188</v>
      </c>
      <c r="BS296" t="str">
        <f>HYPERLINK("https%3A%2F%2Fwww.webofscience.com%2Fwos%2Fwoscc%2Ffull-record%2FWOS:000403776300005","View Full Record in Web of Science")</f>
        <v>View Full Record in Web of Science</v>
      </c>
    </row>
    <row r="297" spans="1:71" hidden="1" x14ac:dyDescent="0.2">
      <c r="A297" t="s">
        <v>70</v>
      </c>
      <c r="B297" t="s">
        <v>15770</v>
      </c>
      <c r="C297" t="s">
        <v>72</v>
      </c>
      <c r="D297" t="s">
        <v>72</v>
      </c>
      <c r="E297" t="s">
        <v>72</v>
      </c>
      <c r="F297" t="s">
        <v>15771</v>
      </c>
      <c r="G297" t="s">
        <v>72</v>
      </c>
      <c r="H297" t="s">
        <v>72</v>
      </c>
      <c r="I297" t="s">
        <v>15772</v>
      </c>
      <c r="J297" t="s">
        <v>7169</v>
      </c>
      <c r="K297" t="s">
        <v>72</v>
      </c>
      <c r="L297" t="s">
        <v>72</v>
      </c>
      <c r="M297" t="s">
        <v>76</v>
      </c>
      <c r="N297" t="s">
        <v>77</v>
      </c>
      <c r="O297" t="s">
        <v>72</v>
      </c>
      <c r="P297" t="s">
        <v>72</v>
      </c>
      <c r="Q297" t="s">
        <v>72</v>
      </c>
      <c r="R297" t="s">
        <v>72</v>
      </c>
      <c r="S297" t="s">
        <v>72</v>
      </c>
      <c r="T297" t="s">
        <v>15773</v>
      </c>
      <c r="U297" t="s">
        <v>15774</v>
      </c>
      <c r="V297" t="s">
        <v>15775</v>
      </c>
      <c r="W297" t="s">
        <v>15776</v>
      </c>
      <c r="X297" t="s">
        <v>493</v>
      </c>
      <c r="Y297" t="s">
        <v>15777</v>
      </c>
      <c r="Z297" t="s">
        <v>15778</v>
      </c>
      <c r="AA297" t="s">
        <v>72</v>
      </c>
      <c r="AB297" t="s">
        <v>1030</v>
      </c>
      <c r="AC297" t="s">
        <v>72</v>
      </c>
      <c r="AD297" t="s">
        <v>72</v>
      </c>
      <c r="AE297" t="s">
        <v>72</v>
      </c>
      <c r="AF297" t="s">
        <v>72</v>
      </c>
      <c r="AG297">
        <v>81</v>
      </c>
      <c r="AH297">
        <v>17</v>
      </c>
      <c r="AI297">
        <v>17</v>
      </c>
      <c r="AJ297">
        <v>7</v>
      </c>
      <c r="AK297">
        <v>54</v>
      </c>
      <c r="AL297" t="s">
        <v>364</v>
      </c>
      <c r="AM297" t="s">
        <v>365</v>
      </c>
      <c r="AN297" t="s">
        <v>366</v>
      </c>
      <c r="AO297" t="s">
        <v>7181</v>
      </c>
      <c r="AP297" t="s">
        <v>7182</v>
      </c>
      <c r="AQ297" t="s">
        <v>72</v>
      </c>
      <c r="AR297" t="s">
        <v>7183</v>
      </c>
      <c r="AS297" t="s">
        <v>7184</v>
      </c>
      <c r="AT297" t="s">
        <v>5222</v>
      </c>
      <c r="AU297">
        <v>2020</v>
      </c>
      <c r="AV297">
        <v>23</v>
      </c>
      <c r="AW297">
        <v>2</v>
      </c>
      <c r="AX297" t="s">
        <v>72</v>
      </c>
      <c r="AY297" t="s">
        <v>72</v>
      </c>
      <c r="AZ297" t="s">
        <v>72</v>
      </c>
      <c r="BA297" t="s">
        <v>72</v>
      </c>
      <c r="BB297">
        <v>267</v>
      </c>
      <c r="BC297">
        <v>287</v>
      </c>
      <c r="BD297" t="s">
        <v>72</v>
      </c>
      <c r="BE297" t="s">
        <v>15779</v>
      </c>
      <c r="BF297" t="str">
        <f>HYPERLINK("http://dx.doi.org/10.1080/1369118X.2018.1500622","http://dx.doi.org/10.1080/1369118X.2018.1500622")</f>
        <v>http://dx.doi.org/10.1080/1369118X.2018.1500622</v>
      </c>
      <c r="BG297" t="s">
        <v>72</v>
      </c>
      <c r="BH297" t="s">
        <v>72</v>
      </c>
      <c r="BI297">
        <v>21</v>
      </c>
      <c r="BJ297" t="s">
        <v>7186</v>
      </c>
      <c r="BK297" t="s">
        <v>7186</v>
      </c>
      <c r="BL297" t="s">
        <v>15780</v>
      </c>
      <c r="BM297" t="s">
        <v>72</v>
      </c>
      <c r="BN297" t="s">
        <v>72</v>
      </c>
      <c r="BO297" t="s">
        <v>72</v>
      </c>
      <c r="BP297" t="s">
        <v>72</v>
      </c>
      <c r="BQ297" t="s">
        <v>100</v>
      </c>
      <c r="BR297" t="s">
        <v>15781</v>
      </c>
      <c r="BS297" t="str">
        <f>HYPERLINK("https%3A%2F%2Fwww.webofscience.com%2Fwos%2Fwoscc%2Ffull-record%2FWOS:000505886800007","View Full Record in Web of Science")</f>
        <v>View Full Record in Web of Science</v>
      </c>
    </row>
    <row r="298" spans="1:71" hidden="1" x14ac:dyDescent="0.2">
      <c r="A298" t="s">
        <v>70</v>
      </c>
      <c r="B298" t="s">
        <v>3777</v>
      </c>
      <c r="C298" t="s">
        <v>72</v>
      </c>
      <c r="D298" t="s">
        <v>72</v>
      </c>
      <c r="E298" t="s">
        <v>72</v>
      </c>
      <c r="F298" t="s">
        <v>3778</v>
      </c>
      <c r="G298" t="s">
        <v>72</v>
      </c>
      <c r="H298" t="s">
        <v>72</v>
      </c>
      <c r="I298" t="s">
        <v>3779</v>
      </c>
      <c r="J298" t="s">
        <v>3780</v>
      </c>
      <c r="K298" t="s">
        <v>72</v>
      </c>
      <c r="L298" t="s">
        <v>72</v>
      </c>
      <c r="M298" t="s">
        <v>76</v>
      </c>
      <c r="N298" t="s">
        <v>77</v>
      </c>
      <c r="O298" t="s">
        <v>72</v>
      </c>
      <c r="P298" t="s">
        <v>72</v>
      </c>
      <c r="Q298" t="s">
        <v>72</v>
      </c>
      <c r="R298" t="s">
        <v>72</v>
      </c>
      <c r="S298" t="s">
        <v>72</v>
      </c>
      <c r="T298" t="s">
        <v>3781</v>
      </c>
      <c r="U298" t="s">
        <v>3782</v>
      </c>
      <c r="V298" t="s">
        <v>3783</v>
      </c>
      <c r="W298" t="s">
        <v>3784</v>
      </c>
      <c r="X298" t="s">
        <v>3785</v>
      </c>
      <c r="Y298" t="s">
        <v>3786</v>
      </c>
      <c r="Z298" t="s">
        <v>3787</v>
      </c>
      <c r="AA298" t="s">
        <v>3788</v>
      </c>
      <c r="AB298" t="s">
        <v>3789</v>
      </c>
      <c r="AC298" t="s">
        <v>3790</v>
      </c>
      <c r="AD298" t="s">
        <v>3791</v>
      </c>
      <c r="AE298" t="s">
        <v>3792</v>
      </c>
      <c r="AF298" t="s">
        <v>72</v>
      </c>
      <c r="AG298">
        <v>37</v>
      </c>
      <c r="AH298">
        <v>6</v>
      </c>
      <c r="AI298">
        <v>6</v>
      </c>
      <c r="AJ298">
        <v>2</v>
      </c>
      <c r="AK298">
        <v>5</v>
      </c>
      <c r="AL298" t="s">
        <v>364</v>
      </c>
      <c r="AM298" t="s">
        <v>365</v>
      </c>
      <c r="AN298" t="s">
        <v>366</v>
      </c>
      <c r="AO298" t="s">
        <v>3793</v>
      </c>
      <c r="AP298" t="s">
        <v>3794</v>
      </c>
      <c r="AQ298" t="s">
        <v>72</v>
      </c>
      <c r="AR298" t="s">
        <v>3795</v>
      </c>
      <c r="AS298" t="s">
        <v>3796</v>
      </c>
      <c r="AT298" t="s">
        <v>3797</v>
      </c>
      <c r="AU298">
        <v>2021</v>
      </c>
      <c r="AV298">
        <v>21</v>
      </c>
      <c r="AW298">
        <v>6</v>
      </c>
      <c r="AX298" t="s">
        <v>72</v>
      </c>
      <c r="AY298" t="s">
        <v>72</v>
      </c>
      <c r="AZ298" t="s">
        <v>478</v>
      </c>
      <c r="BA298" t="s">
        <v>72</v>
      </c>
      <c r="BB298">
        <v>923</v>
      </c>
      <c r="BC298">
        <v>940</v>
      </c>
      <c r="BD298" t="s">
        <v>72</v>
      </c>
      <c r="BE298" t="s">
        <v>3798</v>
      </c>
      <c r="BF298" t="str">
        <f>HYPERLINK("http://dx.doi.org/10.1080/14680777.2020.1713840","http://dx.doi.org/10.1080/14680777.2020.1713840")</f>
        <v>http://dx.doi.org/10.1080/14680777.2020.1713840</v>
      </c>
      <c r="BG298" t="s">
        <v>72</v>
      </c>
      <c r="BH298" t="s">
        <v>2281</v>
      </c>
      <c r="BI298">
        <v>18</v>
      </c>
      <c r="BJ298" t="s">
        <v>3799</v>
      </c>
      <c r="BK298" t="s">
        <v>3799</v>
      </c>
      <c r="BL298" t="s">
        <v>3800</v>
      </c>
      <c r="BM298" t="s">
        <v>72</v>
      </c>
      <c r="BN298" t="s">
        <v>346</v>
      </c>
      <c r="BO298" t="s">
        <v>72</v>
      </c>
      <c r="BP298" t="s">
        <v>72</v>
      </c>
      <c r="BQ298" t="s">
        <v>100</v>
      </c>
      <c r="BR298" t="s">
        <v>3801</v>
      </c>
      <c r="BS298" t="str">
        <f>HYPERLINK("https%3A%2F%2Fwww.webofscience.com%2Fwos%2Fwoscc%2Ffull-record%2FWOS:000509307200001","View Full Record in Web of Science")</f>
        <v>View Full Record in Web of Science</v>
      </c>
    </row>
    <row r="299" spans="1:71" hidden="1" x14ac:dyDescent="0.2">
      <c r="A299" t="s">
        <v>305</v>
      </c>
      <c r="B299" t="s">
        <v>643</v>
      </c>
      <c r="C299" t="s">
        <v>72</v>
      </c>
      <c r="D299" t="s">
        <v>644</v>
      </c>
      <c r="E299" t="s">
        <v>72</v>
      </c>
      <c r="F299" t="s">
        <v>645</v>
      </c>
      <c r="G299" t="s">
        <v>72</v>
      </c>
      <c r="H299" t="s">
        <v>72</v>
      </c>
      <c r="I299" t="s">
        <v>646</v>
      </c>
      <c r="J299" t="s">
        <v>647</v>
      </c>
      <c r="K299" t="s">
        <v>648</v>
      </c>
      <c r="L299" t="s">
        <v>72</v>
      </c>
      <c r="M299" t="s">
        <v>76</v>
      </c>
      <c r="N299" t="s">
        <v>312</v>
      </c>
      <c r="O299" t="s">
        <v>649</v>
      </c>
      <c r="P299" t="s">
        <v>650</v>
      </c>
      <c r="Q299" t="s">
        <v>651</v>
      </c>
      <c r="R299" t="s">
        <v>72</v>
      </c>
      <c r="S299" t="s">
        <v>72</v>
      </c>
      <c r="T299" t="s">
        <v>652</v>
      </c>
      <c r="U299" t="s">
        <v>72</v>
      </c>
      <c r="V299" t="s">
        <v>653</v>
      </c>
      <c r="W299" t="s">
        <v>654</v>
      </c>
      <c r="X299" t="s">
        <v>655</v>
      </c>
      <c r="Y299" t="s">
        <v>656</v>
      </c>
      <c r="Z299" t="s">
        <v>72</v>
      </c>
      <c r="AA299" t="s">
        <v>72</v>
      </c>
      <c r="AB299" t="s">
        <v>72</v>
      </c>
      <c r="AC299" t="s">
        <v>72</v>
      </c>
      <c r="AD299" t="s">
        <v>72</v>
      </c>
      <c r="AE299" t="s">
        <v>72</v>
      </c>
      <c r="AF299" t="s">
        <v>72</v>
      </c>
      <c r="AG299">
        <v>15</v>
      </c>
      <c r="AH299">
        <v>0</v>
      </c>
      <c r="AI299">
        <v>0</v>
      </c>
      <c r="AJ299">
        <v>0</v>
      </c>
      <c r="AK299">
        <v>17</v>
      </c>
      <c r="AL299" t="s">
        <v>657</v>
      </c>
      <c r="AM299" t="s">
        <v>658</v>
      </c>
      <c r="AN299" t="s">
        <v>659</v>
      </c>
      <c r="AO299" t="s">
        <v>660</v>
      </c>
      <c r="AP299" t="s">
        <v>72</v>
      </c>
      <c r="AQ299" t="s">
        <v>661</v>
      </c>
      <c r="AR299" t="s">
        <v>662</v>
      </c>
      <c r="AS299" t="s">
        <v>72</v>
      </c>
      <c r="AT299" t="s">
        <v>72</v>
      </c>
      <c r="AU299">
        <v>2013</v>
      </c>
      <c r="AV299">
        <v>26</v>
      </c>
      <c r="AW299" t="s">
        <v>72</v>
      </c>
      <c r="AX299" t="s">
        <v>72</v>
      </c>
      <c r="AY299" t="s">
        <v>72</v>
      </c>
      <c r="AZ299" t="s">
        <v>72</v>
      </c>
      <c r="BA299" t="s">
        <v>72</v>
      </c>
      <c r="BB299">
        <v>636</v>
      </c>
      <c r="BC299">
        <v>639</v>
      </c>
      <c r="BD299" t="s">
        <v>72</v>
      </c>
      <c r="BE299" t="s">
        <v>72</v>
      </c>
      <c r="BF299" t="s">
        <v>72</v>
      </c>
      <c r="BG299" t="s">
        <v>72</v>
      </c>
      <c r="BH299" t="s">
        <v>72</v>
      </c>
      <c r="BI299">
        <v>4</v>
      </c>
      <c r="BJ299" t="s">
        <v>663</v>
      </c>
      <c r="BK299" t="s">
        <v>664</v>
      </c>
      <c r="BL299" t="s">
        <v>665</v>
      </c>
      <c r="BM299" t="s">
        <v>72</v>
      </c>
      <c r="BN299" t="s">
        <v>72</v>
      </c>
      <c r="BO299" t="s">
        <v>72</v>
      </c>
      <c r="BP299" t="s">
        <v>72</v>
      </c>
      <c r="BQ299" t="s">
        <v>100</v>
      </c>
      <c r="BR299" t="s">
        <v>666</v>
      </c>
      <c r="BS299" t="str">
        <f>HYPERLINK("https%3A%2F%2Fwww.webofscience.com%2Fwos%2Fwoscc%2Ffull-record%2FWOS:000320283600136","View Full Record in Web of Science")</f>
        <v>View Full Record in Web of Science</v>
      </c>
    </row>
    <row r="300" spans="1:71" hidden="1" x14ac:dyDescent="0.2">
      <c r="A300" t="s">
        <v>305</v>
      </c>
      <c r="B300" t="s">
        <v>1101</v>
      </c>
      <c r="C300" t="s">
        <v>72</v>
      </c>
      <c r="D300" t="s">
        <v>72</v>
      </c>
      <c r="E300" t="s">
        <v>1102</v>
      </c>
      <c r="F300" t="s">
        <v>1103</v>
      </c>
      <c r="G300" t="s">
        <v>72</v>
      </c>
      <c r="H300" t="s">
        <v>72</v>
      </c>
      <c r="I300" t="s">
        <v>1104</v>
      </c>
      <c r="J300" t="s">
        <v>1105</v>
      </c>
      <c r="K300" t="s">
        <v>1106</v>
      </c>
      <c r="L300" t="s">
        <v>72</v>
      </c>
      <c r="M300" t="s">
        <v>76</v>
      </c>
      <c r="N300" t="s">
        <v>312</v>
      </c>
      <c r="O300" t="s">
        <v>1107</v>
      </c>
      <c r="P300" t="s">
        <v>1108</v>
      </c>
      <c r="Q300" t="s">
        <v>1109</v>
      </c>
      <c r="R300" t="s">
        <v>1110</v>
      </c>
      <c r="S300" t="s">
        <v>72</v>
      </c>
      <c r="T300" t="s">
        <v>1111</v>
      </c>
      <c r="U300" t="s">
        <v>72</v>
      </c>
      <c r="V300" t="s">
        <v>1112</v>
      </c>
      <c r="W300" t="s">
        <v>1113</v>
      </c>
      <c r="X300" t="s">
        <v>1114</v>
      </c>
      <c r="Y300" t="s">
        <v>1115</v>
      </c>
      <c r="Z300" t="s">
        <v>1116</v>
      </c>
      <c r="AA300" t="s">
        <v>1117</v>
      </c>
      <c r="AB300" t="s">
        <v>1118</v>
      </c>
      <c r="AC300" t="s">
        <v>1119</v>
      </c>
      <c r="AD300" t="s">
        <v>1119</v>
      </c>
      <c r="AE300" t="s">
        <v>1120</v>
      </c>
      <c r="AF300" t="s">
        <v>72</v>
      </c>
      <c r="AG300">
        <v>6</v>
      </c>
      <c r="AH300">
        <v>6</v>
      </c>
      <c r="AI300">
        <v>6</v>
      </c>
      <c r="AJ300">
        <v>1</v>
      </c>
      <c r="AK300">
        <v>3</v>
      </c>
      <c r="AL300" t="s">
        <v>1102</v>
      </c>
      <c r="AM300" t="s">
        <v>707</v>
      </c>
      <c r="AN300" t="s">
        <v>1121</v>
      </c>
      <c r="AO300" t="s">
        <v>1122</v>
      </c>
      <c r="AP300" t="s">
        <v>72</v>
      </c>
      <c r="AQ300" t="s">
        <v>1123</v>
      </c>
      <c r="AR300" t="s">
        <v>1124</v>
      </c>
      <c r="AS300" t="s">
        <v>72</v>
      </c>
      <c r="AT300" t="s">
        <v>72</v>
      </c>
      <c r="AU300">
        <v>2018</v>
      </c>
      <c r="AV300" t="s">
        <v>72</v>
      </c>
      <c r="AW300" t="s">
        <v>72</v>
      </c>
      <c r="AX300" t="s">
        <v>72</v>
      </c>
      <c r="AY300" t="s">
        <v>72</v>
      </c>
      <c r="AZ300" t="s">
        <v>72</v>
      </c>
      <c r="BA300" t="s">
        <v>72</v>
      </c>
      <c r="BB300">
        <v>329</v>
      </c>
      <c r="BC300">
        <v>330</v>
      </c>
      <c r="BD300" t="s">
        <v>72</v>
      </c>
      <c r="BE300" t="s">
        <v>1125</v>
      </c>
      <c r="BF300" t="str">
        <f>HYPERLINK("http://dx.doi.org/10.1109/eScience.2018.00078","http://dx.doi.org/10.1109/eScience.2018.00078")</f>
        <v>http://dx.doi.org/10.1109/eScience.2018.00078</v>
      </c>
      <c r="BG300" t="s">
        <v>72</v>
      </c>
      <c r="BH300" t="s">
        <v>72</v>
      </c>
      <c r="BI300">
        <v>2</v>
      </c>
      <c r="BJ300" t="s">
        <v>1126</v>
      </c>
      <c r="BK300" t="s">
        <v>664</v>
      </c>
      <c r="BL300" t="s">
        <v>1127</v>
      </c>
      <c r="BM300" t="s">
        <v>72</v>
      </c>
      <c r="BN300" t="s">
        <v>1128</v>
      </c>
      <c r="BO300" t="s">
        <v>72</v>
      </c>
      <c r="BP300" t="s">
        <v>72</v>
      </c>
      <c r="BQ300" t="s">
        <v>100</v>
      </c>
      <c r="BR300" t="s">
        <v>1129</v>
      </c>
      <c r="BS300" t="str">
        <f>HYPERLINK("https%3A%2F%2Fwww.webofscience.com%2Fwos%2Fwoscc%2Ffull-record%2FWOS:000459856400070","View Full Record in Web of Science")</f>
        <v>View Full Record in Web of Science</v>
      </c>
    </row>
    <row r="301" spans="1:71" hidden="1" x14ac:dyDescent="0.2">
      <c r="A301" t="s">
        <v>70</v>
      </c>
      <c r="B301" t="s">
        <v>2371</v>
      </c>
      <c r="C301" t="s">
        <v>72</v>
      </c>
      <c r="D301" t="s">
        <v>72</v>
      </c>
      <c r="E301" t="s">
        <v>72</v>
      </c>
      <c r="F301" t="s">
        <v>2372</v>
      </c>
      <c r="G301" t="s">
        <v>72</v>
      </c>
      <c r="H301" t="s">
        <v>72</v>
      </c>
      <c r="I301" t="s">
        <v>2373</v>
      </c>
      <c r="J301" t="s">
        <v>2374</v>
      </c>
      <c r="K301" t="s">
        <v>72</v>
      </c>
      <c r="L301" t="s">
        <v>72</v>
      </c>
      <c r="M301" t="s">
        <v>76</v>
      </c>
      <c r="N301" t="s">
        <v>77</v>
      </c>
      <c r="O301" t="s">
        <v>72</v>
      </c>
      <c r="P301" t="s">
        <v>72</v>
      </c>
      <c r="Q301" t="s">
        <v>72</v>
      </c>
      <c r="R301" t="s">
        <v>72</v>
      </c>
      <c r="S301" t="s">
        <v>72</v>
      </c>
      <c r="T301" t="s">
        <v>2375</v>
      </c>
      <c r="U301" t="s">
        <v>2376</v>
      </c>
      <c r="V301" t="s">
        <v>2377</v>
      </c>
      <c r="W301" t="s">
        <v>2378</v>
      </c>
      <c r="X301" t="s">
        <v>2379</v>
      </c>
      <c r="Y301" t="s">
        <v>2380</v>
      </c>
      <c r="Z301" t="s">
        <v>2381</v>
      </c>
      <c r="AA301" t="s">
        <v>72</v>
      </c>
      <c r="AB301" t="s">
        <v>72</v>
      </c>
      <c r="AC301" t="s">
        <v>72</v>
      </c>
      <c r="AD301" t="s">
        <v>72</v>
      </c>
      <c r="AE301" t="s">
        <v>72</v>
      </c>
      <c r="AF301" t="s">
        <v>72</v>
      </c>
      <c r="AG301">
        <v>28</v>
      </c>
      <c r="AH301">
        <v>5</v>
      </c>
      <c r="AI301">
        <v>5</v>
      </c>
      <c r="AJ301">
        <v>0</v>
      </c>
      <c r="AK301">
        <v>3</v>
      </c>
      <c r="AL301" t="s">
        <v>1461</v>
      </c>
      <c r="AM301" t="s">
        <v>1462</v>
      </c>
      <c r="AN301" t="s">
        <v>1463</v>
      </c>
      <c r="AO301" t="s">
        <v>2382</v>
      </c>
      <c r="AP301" t="s">
        <v>2383</v>
      </c>
      <c r="AQ301" t="s">
        <v>72</v>
      </c>
      <c r="AR301" t="s">
        <v>2384</v>
      </c>
      <c r="AS301" t="s">
        <v>2385</v>
      </c>
      <c r="AT301" t="s">
        <v>149</v>
      </c>
      <c r="AU301">
        <v>2006</v>
      </c>
      <c r="AV301">
        <v>8</v>
      </c>
      <c r="AW301">
        <v>1</v>
      </c>
      <c r="AX301" t="s">
        <v>72</v>
      </c>
      <c r="AY301" t="s">
        <v>72</v>
      </c>
      <c r="AZ301" t="s">
        <v>72</v>
      </c>
      <c r="BA301" t="s">
        <v>72</v>
      </c>
      <c r="BB301">
        <v>1</v>
      </c>
      <c r="BC301">
        <v>14</v>
      </c>
      <c r="BD301" t="s">
        <v>72</v>
      </c>
      <c r="BE301" t="s">
        <v>2386</v>
      </c>
      <c r="BF301" t="str">
        <f>HYPERLINK("http://dx.doi.org/10.1007/s10032-005-0146-7","http://dx.doi.org/10.1007/s10032-005-0146-7")</f>
        <v>http://dx.doi.org/10.1007/s10032-005-0146-7</v>
      </c>
      <c r="BG301" t="s">
        <v>72</v>
      </c>
      <c r="BH301" t="s">
        <v>72</v>
      </c>
      <c r="BI301">
        <v>14</v>
      </c>
      <c r="BJ301" t="s">
        <v>2387</v>
      </c>
      <c r="BK301" t="s">
        <v>664</v>
      </c>
      <c r="BL301" t="s">
        <v>2388</v>
      </c>
      <c r="BM301" t="s">
        <v>72</v>
      </c>
      <c r="BN301" t="s">
        <v>72</v>
      </c>
      <c r="BO301" t="s">
        <v>72</v>
      </c>
      <c r="BP301" t="s">
        <v>72</v>
      </c>
      <c r="BQ301" t="s">
        <v>100</v>
      </c>
      <c r="BR301" t="s">
        <v>2389</v>
      </c>
      <c r="BS301" t="str">
        <f>HYPERLINK("https%3A%2F%2Fwww.webofscience.com%2Fwos%2Fwoscc%2Ffull-record%2FWOS:000247587000001","View Full Record in Web of Science")</f>
        <v>View Full Record in Web of Science</v>
      </c>
    </row>
    <row r="302" spans="1:71" hidden="1" x14ac:dyDescent="0.2">
      <c r="A302" t="s">
        <v>305</v>
      </c>
      <c r="B302" t="s">
        <v>2877</v>
      </c>
      <c r="C302" t="s">
        <v>72</v>
      </c>
      <c r="D302" t="s">
        <v>2878</v>
      </c>
      <c r="E302" t="s">
        <v>72</v>
      </c>
      <c r="F302" t="s">
        <v>2879</v>
      </c>
      <c r="G302" t="s">
        <v>72</v>
      </c>
      <c r="H302" t="s">
        <v>72</v>
      </c>
      <c r="I302" t="s">
        <v>2880</v>
      </c>
      <c r="J302" t="s">
        <v>2881</v>
      </c>
      <c r="K302" t="s">
        <v>2882</v>
      </c>
      <c r="L302" t="s">
        <v>72</v>
      </c>
      <c r="M302" t="s">
        <v>76</v>
      </c>
      <c r="N302" t="s">
        <v>312</v>
      </c>
      <c r="O302" t="s">
        <v>2883</v>
      </c>
      <c r="P302" t="s">
        <v>2884</v>
      </c>
      <c r="Q302" t="s">
        <v>2885</v>
      </c>
      <c r="R302" t="s">
        <v>2886</v>
      </c>
      <c r="S302" t="s">
        <v>2887</v>
      </c>
      <c r="T302" t="s">
        <v>72</v>
      </c>
      <c r="U302" t="s">
        <v>72</v>
      </c>
      <c r="V302" t="s">
        <v>2888</v>
      </c>
      <c r="W302" t="s">
        <v>2889</v>
      </c>
      <c r="X302" t="s">
        <v>2890</v>
      </c>
      <c r="Y302" t="s">
        <v>2891</v>
      </c>
      <c r="Z302" t="s">
        <v>2892</v>
      </c>
      <c r="AA302" t="s">
        <v>2893</v>
      </c>
      <c r="AB302" t="s">
        <v>2894</v>
      </c>
      <c r="AC302" t="s">
        <v>2895</v>
      </c>
      <c r="AD302" t="s">
        <v>2896</v>
      </c>
      <c r="AE302" t="s">
        <v>2897</v>
      </c>
      <c r="AF302" t="s">
        <v>72</v>
      </c>
      <c r="AG302">
        <v>6</v>
      </c>
      <c r="AH302">
        <v>0</v>
      </c>
      <c r="AI302">
        <v>0</v>
      </c>
      <c r="AJ302">
        <v>0</v>
      </c>
      <c r="AK302">
        <v>0</v>
      </c>
      <c r="AL302" t="s">
        <v>2898</v>
      </c>
      <c r="AM302" t="s">
        <v>549</v>
      </c>
      <c r="AN302" t="s">
        <v>2899</v>
      </c>
      <c r="AO302" t="s">
        <v>2900</v>
      </c>
      <c r="AP302" t="s">
        <v>2901</v>
      </c>
      <c r="AQ302" t="s">
        <v>2902</v>
      </c>
      <c r="AR302" t="s">
        <v>2903</v>
      </c>
      <c r="AS302" t="s">
        <v>72</v>
      </c>
      <c r="AT302" t="s">
        <v>72</v>
      </c>
      <c r="AU302">
        <v>2006</v>
      </c>
      <c r="AV302">
        <v>4293</v>
      </c>
      <c r="AW302" t="s">
        <v>72</v>
      </c>
      <c r="AX302" t="s">
        <v>72</v>
      </c>
      <c r="AY302" t="s">
        <v>72</v>
      </c>
      <c r="AZ302" t="s">
        <v>72</v>
      </c>
      <c r="BA302" t="s">
        <v>72</v>
      </c>
      <c r="BB302">
        <v>1037</v>
      </c>
      <c r="BC302" t="s">
        <v>173</v>
      </c>
      <c r="BD302" t="s">
        <v>72</v>
      </c>
      <c r="BE302" t="s">
        <v>72</v>
      </c>
      <c r="BF302" t="s">
        <v>72</v>
      </c>
      <c r="BG302" t="s">
        <v>72</v>
      </c>
      <c r="BH302" t="s">
        <v>72</v>
      </c>
      <c r="BI302">
        <v>2</v>
      </c>
      <c r="BJ302" t="s">
        <v>2387</v>
      </c>
      <c r="BK302" t="s">
        <v>664</v>
      </c>
      <c r="BL302" t="s">
        <v>2904</v>
      </c>
      <c r="BM302" t="s">
        <v>72</v>
      </c>
      <c r="BN302" t="s">
        <v>72</v>
      </c>
      <c r="BO302" t="s">
        <v>72</v>
      </c>
      <c r="BP302" t="s">
        <v>72</v>
      </c>
      <c r="BQ302" t="s">
        <v>100</v>
      </c>
      <c r="BR302" t="s">
        <v>2905</v>
      </c>
      <c r="BS302" t="str">
        <f>HYPERLINK("https%3A%2F%2Fwww.webofscience.com%2Fwos%2Fwoscc%2Ffull-record%2FWOS:000244587700099","View Full Record in Web of Science")</f>
        <v>View Full Record in Web of Science</v>
      </c>
    </row>
    <row r="303" spans="1:71" hidden="1" x14ac:dyDescent="0.2">
      <c r="A303" t="s">
        <v>305</v>
      </c>
      <c r="B303" t="s">
        <v>3841</v>
      </c>
      <c r="C303" t="s">
        <v>72</v>
      </c>
      <c r="D303" t="s">
        <v>3842</v>
      </c>
      <c r="E303" t="s">
        <v>72</v>
      </c>
      <c r="F303" t="s">
        <v>3843</v>
      </c>
      <c r="G303" t="s">
        <v>72</v>
      </c>
      <c r="H303" t="s">
        <v>72</v>
      </c>
      <c r="I303" t="s">
        <v>3844</v>
      </c>
      <c r="J303" t="s">
        <v>3845</v>
      </c>
      <c r="K303" t="s">
        <v>3846</v>
      </c>
      <c r="L303" t="s">
        <v>72</v>
      </c>
      <c r="M303" t="s">
        <v>76</v>
      </c>
      <c r="N303" t="s">
        <v>312</v>
      </c>
      <c r="O303" t="s">
        <v>3847</v>
      </c>
      <c r="P303" t="s">
        <v>3848</v>
      </c>
      <c r="Q303" t="s">
        <v>3849</v>
      </c>
      <c r="R303" t="s">
        <v>3850</v>
      </c>
      <c r="S303" t="s">
        <v>3851</v>
      </c>
      <c r="T303" t="s">
        <v>3852</v>
      </c>
      <c r="U303" t="s">
        <v>72</v>
      </c>
      <c r="V303" t="s">
        <v>3853</v>
      </c>
      <c r="W303" t="s">
        <v>3854</v>
      </c>
      <c r="X303" t="s">
        <v>3855</v>
      </c>
      <c r="Y303" t="s">
        <v>3856</v>
      </c>
      <c r="Z303" t="s">
        <v>72</v>
      </c>
      <c r="AA303" t="s">
        <v>3857</v>
      </c>
      <c r="AB303" t="s">
        <v>3858</v>
      </c>
      <c r="AC303" t="s">
        <v>72</v>
      </c>
      <c r="AD303" t="s">
        <v>72</v>
      </c>
      <c r="AE303" t="s">
        <v>72</v>
      </c>
      <c r="AF303" t="s">
        <v>72</v>
      </c>
      <c r="AG303">
        <v>15</v>
      </c>
      <c r="AH303">
        <v>1</v>
      </c>
      <c r="AI303">
        <v>2</v>
      </c>
      <c r="AJ303">
        <v>0</v>
      </c>
      <c r="AK303">
        <v>0</v>
      </c>
      <c r="AL303" t="s">
        <v>3859</v>
      </c>
      <c r="AM303" t="s">
        <v>168</v>
      </c>
      <c r="AN303" t="s">
        <v>3860</v>
      </c>
      <c r="AO303" t="s">
        <v>3861</v>
      </c>
      <c r="AP303" t="s">
        <v>3862</v>
      </c>
      <c r="AQ303" t="s">
        <v>3863</v>
      </c>
      <c r="AR303" t="s">
        <v>3864</v>
      </c>
      <c r="AS303" t="s">
        <v>72</v>
      </c>
      <c r="AT303" t="s">
        <v>72</v>
      </c>
      <c r="AU303">
        <v>2011</v>
      </c>
      <c r="AV303">
        <v>235</v>
      </c>
      <c r="AW303" t="s">
        <v>72</v>
      </c>
      <c r="AX303" t="s">
        <v>72</v>
      </c>
      <c r="AY303" t="s">
        <v>72</v>
      </c>
      <c r="AZ303" t="s">
        <v>72</v>
      </c>
      <c r="BA303" t="s">
        <v>72</v>
      </c>
      <c r="BB303">
        <v>93</v>
      </c>
      <c r="BC303">
        <v>102</v>
      </c>
      <c r="BD303" t="s">
        <v>72</v>
      </c>
      <c r="BE303" t="s">
        <v>3865</v>
      </c>
      <c r="BF303" t="str">
        <f>HYPERLINK("http://dx.doi.org/10.3233/978-1-60750-981-3-93","http://dx.doi.org/10.3233/978-1-60750-981-3-93")</f>
        <v>http://dx.doi.org/10.3233/978-1-60750-981-3-93</v>
      </c>
      <c r="BG303" t="s">
        <v>72</v>
      </c>
      <c r="BH303" t="s">
        <v>72</v>
      </c>
      <c r="BI303">
        <v>10</v>
      </c>
      <c r="BJ303" t="s">
        <v>3866</v>
      </c>
      <c r="BK303" t="s">
        <v>664</v>
      </c>
      <c r="BL303" t="s">
        <v>3867</v>
      </c>
      <c r="BM303" t="s">
        <v>72</v>
      </c>
      <c r="BN303" t="s">
        <v>72</v>
      </c>
      <c r="BO303" t="s">
        <v>72</v>
      </c>
      <c r="BP303" t="s">
        <v>72</v>
      </c>
      <c r="BQ303" t="s">
        <v>100</v>
      </c>
      <c r="BR303" t="s">
        <v>3868</v>
      </c>
      <c r="BS303" t="str">
        <f>HYPERLINK("https%3A%2F%2Fwww.webofscience.com%2Fwos%2Fwoscc%2Ffull-record%2FWOS:000348845200010","View Full Record in Web of Science")</f>
        <v>View Full Record in Web of Science</v>
      </c>
    </row>
    <row r="304" spans="1:71" hidden="1" x14ac:dyDescent="0.2">
      <c r="A304" t="s">
        <v>70</v>
      </c>
      <c r="B304" t="s">
        <v>3892</v>
      </c>
      <c r="C304" t="s">
        <v>72</v>
      </c>
      <c r="D304" t="s">
        <v>72</v>
      </c>
      <c r="E304" t="s">
        <v>72</v>
      </c>
      <c r="F304" t="s">
        <v>3893</v>
      </c>
      <c r="G304" t="s">
        <v>72</v>
      </c>
      <c r="H304" t="s">
        <v>72</v>
      </c>
      <c r="I304" t="s">
        <v>3894</v>
      </c>
      <c r="J304" t="s">
        <v>3895</v>
      </c>
      <c r="K304" t="s">
        <v>72</v>
      </c>
      <c r="L304" t="s">
        <v>72</v>
      </c>
      <c r="M304" t="s">
        <v>76</v>
      </c>
      <c r="N304" t="s">
        <v>77</v>
      </c>
      <c r="O304" t="s">
        <v>72</v>
      </c>
      <c r="P304" t="s">
        <v>72</v>
      </c>
      <c r="Q304" t="s">
        <v>72</v>
      </c>
      <c r="R304" t="s">
        <v>72</v>
      </c>
      <c r="S304" t="s">
        <v>72</v>
      </c>
      <c r="T304" t="s">
        <v>3896</v>
      </c>
      <c r="U304" t="s">
        <v>72</v>
      </c>
      <c r="V304" t="s">
        <v>3897</v>
      </c>
      <c r="W304" t="s">
        <v>3898</v>
      </c>
      <c r="X304" t="s">
        <v>3899</v>
      </c>
      <c r="Y304" t="s">
        <v>3900</v>
      </c>
      <c r="Z304" t="s">
        <v>3901</v>
      </c>
      <c r="AA304" t="s">
        <v>72</v>
      </c>
      <c r="AB304" t="s">
        <v>72</v>
      </c>
      <c r="AC304" t="s">
        <v>72</v>
      </c>
      <c r="AD304" t="s">
        <v>72</v>
      </c>
      <c r="AE304" t="s">
        <v>72</v>
      </c>
      <c r="AF304" t="s">
        <v>72</v>
      </c>
      <c r="AG304">
        <v>43</v>
      </c>
      <c r="AH304">
        <v>2</v>
      </c>
      <c r="AI304">
        <v>2</v>
      </c>
      <c r="AJ304">
        <v>3</v>
      </c>
      <c r="AK304">
        <v>20</v>
      </c>
      <c r="AL304" t="s">
        <v>269</v>
      </c>
      <c r="AM304" t="s">
        <v>270</v>
      </c>
      <c r="AN304" t="s">
        <v>271</v>
      </c>
      <c r="AO304" t="s">
        <v>3902</v>
      </c>
      <c r="AP304" t="s">
        <v>3903</v>
      </c>
      <c r="AQ304" t="s">
        <v>72</v>
      </c>
      <c r="AR304" t="s">
        <v>3904</v>
      </c>
      <c r="AS304" t="s">
        <v>3905</v>
      </c>
      <c r="AT304" t="s">
        <v>1830</v>
      </c>
      <c r="AU304">
        <v>2022</v>
      </c>
      <c r="AV304">
        <v>62</v>
      </c>
      <c r="AW304">
        <v>3</v>
      </c>
      <c r="AX304" t="s">
        <v>72</v>
      </c>
      <c r="AY304" t="s">
        <v>72</v>
      </c>
      <c r="AZ304" t="s">
        <v>72</v>
      </c>
      <c r="BA304" t="s">
        <v>72</v>
      </c>
      <c r="BB304">
        <v>463</v>
      </c>
      <c r="BC304">
        <v>479</v>
      </c>
      <c r="BD304" t="s">
        <v>72</v>
      </c>
      <c r="BE304" t="s">
        <v>3906</v>
      </c>
      <c r="BF304" t="str">
        <f>HYPERLINK("http://dx.doi.org/10.1080/08874417.2020.1852628","http://dx.doi.org/10.1080/08874417.2020.1852628")</f>
        <v>http://dx.doi.org/10.1080/08874417.2020.1852628</v>
      </c>
      <c r="BG304" t="s">
        <v>72</v>
      </c>
      <c r="BH304" t="s">
        <v>344</v>
      </c>
      <c r="BI304">
        <v>17</v>
      </c>
      <c r="BJ304" t="s">
        <v>3907</v>
      </c>
      <c r="BK304" t="s">
        <v>664</v>
      </c>
      <c r="BL304" t="s">
        <v>3908</v>
      </c>
      <c r="BM304" t="s">
        <v>72</v>
      </c>
      <c r="BN304" t="s">
        <v>72</v>
      </c>
      <c r="BO304" t="s">
        <v>72</v>
      </c>
      <c r="BP304" t="s">
        <v>72</v>
      </c>
      <c r="BQ304" t="s">
        <v>100</v>
      </c>
      <c r="BR304" t="s">
        <v>3909</v>
      </c>
      <c r="BS304" t="str">
        <f>HYPERLINK("https%3A%2F%2Fwww.webofscience.com%2Fwos%2Fwoscc%2Ffull-record%2FWOS:000624738800001","View Full Record in Web of Science")</f>
        <v>View Full Record in Web of Science</v>
      </c>
    </row>
    <row r="305" spans="1:71" hidden="1" x14ac:dyDescent="0.2">
      <c r="A305" t="s">
        <v>305</v>
      </c>
      <c r="B305" t="s">
        <v>3930</v>
      </c>
      <c r="C305" t="s">
        <v>72</v>
      </c>
      <c r="D305" t="s">
        <v>3931</v>
      </c>
      <c r="E305" t="s">
        <v>72</v>
      </c>
      <c r="F305" t="s">
        <v>3932</v>
      </c>
      <c r="G305" t="s">
        <v>72</v>
      </c>
      <c r="H305" t="s">
        <v>72</v>
      </c>
      <c r="I305" t="s">
        <v>3933</v>
      </c>
      <c r="J305" t="s">
        <v>3934</v>
      </c>
      <c r="K305" t="s">
        <v>72</v>
      </c>
      <c r="L305" t="s">
        <v>72</v>
      </c>
      <c r="M305" t="s">
        <v>76</v>
      </c>
      <c r="N305" t="s">
        <v>312</v>
      </c>
      <c r="O305" t="s">
        <v>3935</v>
      </c>
      <c r="P305" t="s">
        <v>3936</v>
      </c>
      <c r="Q305" t="s">
        <v>3937</v>
      </c>
      <c r="R305" t="s">
        <v>3938</v>
      </c>
      <c r="S305" t="s">
        <v>72</v>
      </c>
      <c r="T305" t="s">
        <v>3939</v>
      </c>
      <c r="U305" t="s">
        <v>3940</v>
      </c>
      <c r="V305" t="s">
        <v>3941</v>
      </c>
      <c r="W305" t="s">
        <v>3942</v>
      </c>
      <c r="X305" t="s">
        <v>3943</v>
      </c>
      <c r="Y305" t="s">
        <v>3944</v>
      </c>
      <c r="Z305" t="s">
        <v>3945</v>
      </c>
      <c r="AA305" t="s">
        <v>3946</v>
      </c>
      <c r="AB305" t="s">
        <v>72</v>
      </c>
      <c r="AC305" t="s">
        <v>72</v>
      </c>
      <c r="AD305" t="s">
        <v>72</v>
      </c>
      <c r="AE305" t="s">
        <v>72</v>
      </c>
      <c r="AF305" t="s">
        <v>72</v>
      </c>
      <c r="AG305">
        <v>20</v>
      </c>
      <c r="AH305">
        <v>0</v>
      </c>
      <c r="AI305">
        <v>0</v>
      </c>
      <c r="AJ305">
        <v>2</v>
      </c>
      <c r="AK305">
        <v>13</v>
      </c>
      <c r="AL305" t="s">
        <v>1102</v>
      </c>
      <c r="AM305" t="s">
        <v>707</v>
      </c>
      <c r="AN305" t="s">
        <v>1121</v>
      </c>
      <c r="AO305" t="s">
        <v>72</v>
      </c>
      <c r="AP305" t="s">
        <v>72</v>
      </c>
      <c r="AQ305" t="s">
        <v>3947</v>
      </c>
      <c r="AR305" t="s">
        <v>72</v>
      </c>
      <c r="AS305" t="s">
        <v>72</v>
      </c>
      <c r="AT305" t="s">
        <v>72</v>
      </c>
      <c r="AU305">
        <v>2012</v>
      </c>
      <c r="AV305" t="s">
        <v>72</v>
      </c>
      <c r="AW305" t="s">
        <v>72</v>
      </c>
      <c r="AX305" t="s">
        <v>72</v>
      </c>
      <c r="AY305" t="s">
        <v>72</v>
      </c>
      <c r="AZ305" t="s">
        <v>72</v>
      </c>
      <c r="BA305" t="s">
        <v>72</v>
      </c>
      <c r="BB305">
        <v>625</v>
      </c>
      <c r="BC305">
        <v>628</v>
      </c>
      <c r="BD305" t="s">
        <v>72</v>
      </c>
      <c r="BE305" t="s">
        <v>3948</v>
      </c>
      <c r="BF305" t="str">
        <f>HYPERLINK("http://dx.doi.org/10.1109/BIFE.2012.135","http://dx.doi.org/10.1109/BIFE.2012.135")</f>
        <v>http://dx.doi.org/10.1109/BIFE.2012.135</v>
      </c>
      <c r="BG305" t="s">
        <v>72</v>
      </c>
      <c r="BH305" t="s">
        <v>72</v>
      </c>
      <c r="BI305">
        <v>4</v>
      </c>
      <c r="BJ305" t="s">
        <v>3949</v>
      </c>
      <c r="BK305" t="s">
        <v>664</v>
      </c>
      <c r="BL305" t="s">
        <v>3950</v>
      </c>
      <c r="BM305" t="s">
        <v>72</v>
      </c>
      <c r="BN305" t="s">
        <v>72</v>
      </c>
      <c r="BO305" t="s">
        <v>72</v>
      </c>
      <c r="BP305" t="s">
        <v>72</v>
      </c>
      <c r="BQ305" t="s">
        <v>100</v>
      </c>
      <c r="BR305" t="s">
        <v>3951</v>
      </c>
      <c r="BS305" t="str">
        <f>HYPERLINK("https%3A%2F%2Fwww.webofscience.com%2Fwos%2Fwoscc%2Ffull-record%2FWOS:000312497500134","View Full Record in Web of Science")</f>
        <v>View Full Record in Web of Science</v>
      </c>
    </row>
    <row r="306" spans="1:71" hidden="1" x14ac:dyDescent="0.2">
      <c r="A306" t="s">
        <v>70</v>
      </c>
      <c r="B306" t="s">
        <v>4095</v>
      </c>
      <c r="C306" t="s">
        <v>72</v>
      </c>
      <c r="D306" t="s">
        <v>72</v>
      </c>
      <c r="E306" t="s">
        <v>72</v>
      </c>
      <c r="F306" t="s">
        <v>4096</v>
      </c>
      <c r="G306" t="s">
        <v>72</v>
      </c>
      <c r="H306" t="s">
        <v>72</v>
      </c>
      <c r="I306" t="s">
        <v>4097</v>
      </c>
      <c r="J306" t="s">
        <v>3895</v>
      </c>
      <c r="K306" t="s">
        <v>72</v>
      </c>
      <c r="L306" t="s">
        <v>72</v>
      </c>
      <c r="M306" t="s">
        <v>76</v>
      </c>
      <c r="N306" t="s">
        <v>77</v>
      </c>
      <c r="O306" t="s">
        <v>72</v>
      </c>
      <c r="P306" t="s">
        <v>72</v>
      </c>
      <c r="Q306" t="s">
        <v>72</v>
      </c>
      <c r="R306" t="s">
        <v>72</v>
      </c>
      <c r="S306" t="s">
        <v>72</v>
      </c>
      <c r="T306" t="s">
        <v>4098</v>
      </c>
      <c r="U306" t="s">
        <v>4099</v>
      </c>
      <c r="V306" t="s">
        <v>4100</v>
      </c>
      <c r="W306" t="s">
        <v>4101</v>
      </c>
      <c r="X306" t="s">
        <v>4102</v>
      </c>
      <c r="Y306" t="s">
        <v>4103</v>
      </c>
      <c r="Z306" t="s">
        <v>72</v>
      </c>
      <c r="AA306" t="s">
        <v>72</v>
      </c>
      <c r="AB306" t="s">
        <v>4104</v>
      </c>
      <c r="AC306" t="s">
        <v>72</v>
      </c>
      <c r="AD306" t="s">
        <v>72</v>
      </c>
      <c r="AE306" t="s">
        <v>72</v>
      </c>
      <c r="AF306" t="s">
        <v>72</v>
      </c>
      <c r="AG306">
        <v>58</v>
      </c>
      <c r="AH306">
        <v>3</v>
      </c>
      <c r="AI306">
        <v>3</v>
      </c>
      <c r="AJ306">
        <v>2</v>
      </c>
      <c r="AK306">
        <v>63</v>
      </c>
      <c r="AL306" t="s">
        <v>269</v>
      </c>
      <c r="AM306" t="s">
        <v>270</v>
      </c>
      <c r="AN306" t="s">
        <v>271</v>
      </c>
      <c r="AO306" t="s">
        <v>3902</v>
      </c>
      <c r="AP306" t="s">
        <v>3903</v>
      </c>
      <c r="AQ306" t="s">
        <v>72</v>
      </c>
      <c r="AR306" t="s">
        <v>3904</v>
      </c>
      <c r="AS306" t="s">
        <v>3905</v>
      </c>
      <c r="AT306" t="s">
        <v>4105</v>
      </c>
      <c r="AU306">
        <v>2015</v>
      </c>
      <c r="AV306">
        <v>55</v>
      </c>
      <c r="AW306">
        <v>2</v>
      </c>
      <c r="AX306" t="s">
        <v>72</v>
      </c>
      <c r="AY306" t="s">
        <v>72</v>
      </c>
      <c r="AZ306" t="s">
        <v>72</v>
      </c>
      <c r="BA306" t="s">
        <v>72</v>
      </c>
      <c r="BB306">
        <v>59</v>
      </c>
      <c r="BC306">
        <v>67</v>
      </c>
      <c r="BD306" t="s">
        <v>72</v>
      </c>
      <c r="BE306" t="s">
        <v>4106</v>
      </c>
      <c r="BF306" t="str">
        <f>HYPERLINK("http://dx.doi.org/10.1080/08874417.2015.11645757","http://dx.doi.org/10.1080/08874417.2015.11645757")</f>
        <v>http://dx.doi.org/10.1080/08874417.2015.11645757</v>
      </c>
      <c r="BG306" t="s">
        <v>72</v>
      </c>
      <c r="BH306" t="s">
        <v>72</v>
      </c>
      <c r="BI306">
        <v>9</v>
      </c>
      <c r="BJ306" t="s">
        <v>3907</v>
      </c>
      <c r="BK306" t="s">
        <v>664</v>
      </c>
      <c r="BL306" t="s">
        <v>4107</v>
      </c>
      <c r="BM306" t="s">
        <v>72</v>
      </c>
      <c r="BN306" t="s">
        <v>72</v>
      </c>
      <c r="BO306" t="s">
        <v>72</v>
      </c>
      <c r="BP306" t="s">
        <v>72</v>
      </c>
      <c r="BQ306" t="s">
        <v>100</v>
      </c>
      <c r="BR306" t="s">
        <v>4108</v>
      </c>
      <c r="BS306" t="str">
        <f>HYPERLINK("https%3A%2F%2Fwww.webofscience.com%2Fwos%2Fwoscc%2Ffull-record%2FWOS:000347761800007","View Full Record in Web of Science")</f>
        <v>View Full Record in Web of Science</v>
      </c>
    </row>
    <row r="307" spans="1:71" hidden="1" x14ac:dyDescent="0.2">
      <c r="A307" t="s">
        <v>305</v>
      </c>
      <c r="B307" t="s">
        <v>4134</v>
      </c>
      <c r="C307" t="s">
        <v>72</v>
      </c>
      <c r="D307" t="s">
        <v>3931</v>
      </c>
      <c r="E307" t="s">
        <v>72</v>
      </c>
      <c r="F307" t="s">
        <v>4135</v>
      </c>
      <c r="G307" t="s">
        <v>72</v>
      </c>
      <c r="H307" t="s">
        <v>72</v>
      </c>
      <c r="I307" t="s">
        <v>4136</v>
      </c>
      <c r="J307" t="s">
        <v>3934</v>
      </c>
      <c r="K307" t="s">
        <v>72</v>
      </c>
      <c r="L307" t="s">
        <v>72</v>
      </c>
      <c r="M307" t="s">
        <v>76</v>
      </c>
      <c r="N307" t="s">
        <v>312</v>
      </c>
      <c r="O307" t="s">
        <v>3935</v>
      </c>
      <c r="P307" t="s">
        <v>3936</v>
      </c>
      <c r="Q307" t="s">
        <v>3937</v>
      </c>
      <c r="R307" t="s">
        <v>3938</v>
      </c>
      <c r="S307" t="s">
        <v>72</v>
      </c>
      <c r="T307" t="s">
        <v>4137</v>
      </c>
      <c r="U307" t="s">
        <v>4138</v>
      </c>
      <c r="V307" t="s">
        <v>4139</v>
      </c>
      <c r="W307" t="s">
        <v>4140</v>
      </c>
      <c r="X307" t="s">
        <v>3943</v>
      </c>
      <c r="Y307" t="s">
        <v>3944</v>
      </c>
      <c r="Z307" t="s">
        <v>3945</v>
      </c>
      <c r="AA307" t="s">
        <v>3946</v>
      </c>
      <c r="AB307" t="s">
        <v>72</v>
      </c>
      <c r="AC307" t="s">
        <v>72</v>
      </c>
      <c r="AD307" t="s">
        <v>72</v>
      </c>
      <c r="AE307" t="s">
        <v>72</v>
      </c>
      <c r="AF307" t="s">
        <v>72</v>
      </c>
      <c r="AG307">
        <v>24</v>
      </c>
      <c r="AH307">
        <v>0</v>
      </c>
      <c r="AI307">
        <v>0</v>
      </c>
      <c r="AJ307">
        <v>2</v>
      </c>
      <c r="AK307">
        <v>6</v>
      </c>
      <c r="AL307" t="s">
        <v>1102</v>
      </c>
      <c r="AM307" t="s">
        <v>707</v>
      </c>
      <c r="AN307" t="s">
        <v>1121</v>
      </c>
      <c r="AO307" t="s">
        <v>72</v>
      </c>
      <c r="AP307" t="s">
        <v>72</v>
      </c>
      <c r="AQ307" t="s">
        <v>4141</v>
      </c>
      <c r="AR307" t="s">
        <v>72</v>
      </c>
      <c r="AS307" t="s">
        <v>72</v>
      </c>
      <c r="AT307" t="s">
        <v>72</v>
      </c>
      <c r="AU307">
        <v>2012</v>
      </c>
      <c r="AV307" t="s">
        <v>72</v>
      </c>
      <c r="AW307" t="s">
        <v>72</v>
      </c>
      <c r="AX307" t="s">
        <v>72</v>
      </c>
      <c r="AY307" t="s">
        <v>72</v>
      </c>
      <c r="AZ307" t="s">
        <v>72</v>
      </c>
      <c r="BA307" t="s">
        <v>72</v>
      </c>
      <c r="BB307">
        <v>572</v>
      </c>
      <c r="BC307">
        <v>577</v>
      </c>
      <c r="BD307" t="s">
        <v>72</v>
      </c>
      <c r="BE307" t="s">
        <v>4142</v>
      </c>
      <c r="BF307" t="str">
        <f>HYPERLINK("http://dx.doi.org/10.1109/BIFE.2012.125","http://dx.doi.org/10.1109/BIFE.2012.125")</f>
        <v>http://dx.doi.org/10.1109/BIFE.2012.125</v>
      </c>
      <c r="BG307" t="s">
        <v>72</v>
      </c>
      <c r="BH307" t="s">
        <v>72</v>
      </c>
      <c r="BI307">
        <v>6</v>
      </c>
      <c r="BJ307" t="s">
        <v>3949</v>
      </c>
      <c r="BK307" t="s">
        <v>664</v>
      </c>
      <c r="BL307" t="s">
        <v>3950</v>
      </c>
      <c r="BM307" t="s">
        <v>72</v>
      </c>
      <c r="BN307" t="s">
        <v>72</v>
      </c>
      <c r="BO307" t="s">
        <v>72</v>
      </c>
      <c r="BP307" t="s">
        <v>72</v>
      </c>
      <c r="BQ307" t="s">
        <v>100</v>
      </c>
      <c r="BR307" t="s">
        <v>4143</v>
      </c>
      <c r="BS307" t="str">
        <f>HYPERLINK("https%3A%2F%2Fwww.webofscience.com%2Fwos%2Fwoscc%2Ffull-record%2FWOS:000312497500122","View Full Record in Web of Science")</f>
        <v>View Full Record in Web of Science</v>
      </c>
    </row>
    <row r="308" spans="1:71" hidden="1" x14ac:dyDescent="0.2">
      <c r="A308" t="s">
        <v>70</v>
      </c>
      <c r="B308" t="s">
        <v>4158</v>
      </c>
      <c r="C308" t="s">
        <v>72</v>
      </c>
      <c r="D308" t="s">
        <v>72</v>
      </c>
      <c r="E308" t="s">
        <v>72</v>
      </c>
      <c r="F308" t="s">
        <v>4159</v>
      </c>
      <c r="G308" t="s">
        <v>72</v>
      </c>
      <c r="H308" t="s">
        <v>72</v>
      </c>
      <c r="I308" t="s">
        <v>4160</v>
      </c>
      <c r="J308" t="s">
        <v>4161</v>
      </c>
      <c r="K308" t="s">
        <v>72</v>
      </c>
      <c r="L308" t="s">
        <v>72</v>
      </c>
      <c r="M308" t="s">
        <v>76</v>
      </c>
      <c r="N308" t="s">
        <v>352</v>
      </c>
      <c r="O308" t="s">
        <v>72</v>
      </c>
      <c r="P308" t="s">
        <v>72</v>
      </c>
      <c r="Q308" t="s">
        <v>72</v>
      </c>
      <c r="R308" t="s">
        <v>72</v>
      </c>
      <c r="S308" t="s">
        <v>72</v>
      </c>
      <c r="T308" t="s">
        <v>4162</v>
      </c>
      <c r="U308" t="s">
        <v>4163</v>
      </c>
      <c r="V308" t="s">
        <v>4164</v>
      </c>
      <c r="W308" t="s">
        <v>4165</v>
      </c>
      <c r="X308" t="s">
        <v>4166</v>
      </c>
      <c r="Y308" t="s">
        <v>4167</v>
      </c>
      <c r="Z308" t="s">
        <v>4168</v>
      </c>
      <c r="AA308" t="s">
        <v>72</v>
      </c>
      <c r="AB308" t="s">
        <v>4169</v>
      </c>
      <c r="AC308" t="s">
        <v>4170</v>
      </c>
      <c r="AD308" t="s">
        <v>4171</v>
      </c>
      <c r="AE308" t="s">
        <v>4172</v>
      </c>
      <c r="AF308" t="s">
        <v>72</v>
      </c>
      <c r="AG308">
        <v>45</v>
      </c>
      <c r="AH308">
        <v>1</v>
      </c>
      <c r="AI308">
        <v>1</v>
      </c>
      <c r="AJ308">
        <v>1</v>
      </c>
      <c r="AK308">
        <v>1</v>
      </c>
      <c r="AL308" t="s">
        <v>88</v>
      </c>
      <c r="AM308" t="s">
        <v>707</v>
      </c>
      <c r="AN308" t="s">
        <v>1987</v>
      </c>
      <c r="AO308" t="s">
        <v>4173</v>
      </c>
      <c r="AP308" t="s">
        <v>4174</v>
      </c>
      <c r="AQ308" t="s">
        <v>72</v>
      </c>
      <c r="AR308" t="s">
        <v>4175</v>
      </c>
      <c r="AS308" t="s">
        <v>4176</v>
      </c>
      <c r="AT308" t="s">
        <v>72</v>
      </c>
      <c r="AU308" t="s">
        <v>72</v>
      </c>
      <c r="AV308" t="s">
        <v>72</v>
      </c>
      <c r="AW308" t="s">
        <v>72</v>
      </c>
      <c r="AX308" t="s">
        <v>72</v>
      </c>
      <c r="AY308" t="s">
        <v>72</v>
      </c>
      <c r="AZ308" t="s">
        <v>72</v>
      </c>
      <c r="BA308" t="s">
        <v>72</v>
      </c>
      <c r="BB308" t="s">
        <v>72</v>
      </c>
      <c r="BC308" t="s">
        <v>72</v>
      </c>
      <c r="BD308" t="s">
        <v>72</v>
      </c>
      <c r="BE308" t="s">
        <v>4177</v>
      </c>
      <c r="BF308" t="str">
        <f>HYPERLINK("http://dx.doi.org/10.1007/s00146-022-01511-1","http://dx.doi.org/10.1007/s00146-022-01511-1")</f>
        <v>http://dx.doi.org/10.1007/s00146-022-01511-1</v>
      </c>
      <c r="BG308" t="s">
        <v>72</v>
      </c>
      <c r="BH308" t="s">
        <v>988</v>
      </c>
      <c r="BI308">
        <v>15</v>
      </c>
      <c r="BJ308" t="s">
        <v>2387</v>
      </c>
      <c r="BK308" t="s">
        <v>664</v>
      </c>
      <c r="BL308" t="s">
        <v>4178</v>
      </c>
      <c r="BM308" t="s">
        <v>72</v>
      </c>
      <c r="BN308" t="s">
        <v>280</v>
      </c>
      <c r="BO308" t="s">
        <v>72</v>
      </c>
      <c r="BP308" t="s">
        <v>72</v>
      </c>
      <c r="BQ308" t="s">
        <v>100</v>
      </c>
      <c r="BR308" t="s">
        <v>4179</v>
      </c>
      <c r="BS308" t="str">
        <f>HYPERLINK("https%3A%2F%2Fwww.webofscience.com%2Fwos%2Fwoscc%2Ffull-record%2FWOS:000814934100001","View Full Record in Web of Science")</f>
        <v>View Full Record in Web of Science</v>
      </c>
    </row>
    <row r="309" spans="1:71" hidden="1" x14ac:dyDescent="0.2">
      <c r="A309" t="s">
        <v>305</v>
      </c>
      <c r="B309" t="s">
        <v>4196</v>
      </c>
      <c r="C309" t="s">
        <v>72</v>
      </c>
      <c r="D309" t="s">
        <v>4197</v>
      </c>
      <c r="E309" t="s">
        <v>72</v>
      </c>
      <c r="F309" t="s">
        <v>4198</v>
      </c>
      <c r="G309" t="s">
        <v>72</v>
      </c>
      <c r="H309" t="s">
        <v>72</v>
      </c>
      <c r="I309" t="s">
        <v>4199</v>
      </c>
      <c r="J309" t="s">
        <v>4200</v>
      </c>
      <c r="K309" t="s">
        <v>4201</v>
      </c>
      <c r="L309" t="s">
        <v>72</v>
      </c>
      <c r="M309" t="s">
        <v>76</v>
      </c>
      <c r="N309" t="s">
        <v>312</v>
      </c>
      <c r="O309" t="s">
        <v>4202</v>
      </c>
      <c r="P309" t="s">
        <v>4203</v>
      </c>
      <c r="Q309" t="s">
        <v>4204</v>
      </c>
      <c r="R309" t="s">
        <v>72</v>
      </c>
      <c r="S309" t="s">
        <v>72</v>
      </c>
      <c r="T309" t="s">
        <v>4205</v>
      </c>
      <c r="U309" t="s">
        <v>4206</v>
      </c>
      <c r="V309" t="s">
        <v>4207</v>
      </c>
      <c r="W309" t="s">
        <v>4208</v>
      </c>
      <c r="X309" t="s">
        <v>4209</v>
      </c>
      <c r="Y309" t="s">
        <v>4210</v>
      </c>
      <c r="Z309" t="s">
        <v>4211</v>
      </c>
      <c r="AA309" t="s">
        <v>72</v>
      </c>
      <c r="AB309" t="s">
        <v>72</v>
      </c>
      <c r="AC309" t="s">
        <v>72</v>
      </c>
      <c r="AD309" t="s">
        <v>72</v>
      </c>
      <c r="AE309" t="s">
        <v>72</v>
      </c>
      <c r="AF309" t="s">
        <v>72</v>
      </c>
      <c r="AG309">
        <v>35</v>
      </c>
      <c r="AH309">
        <v>1</v>
      </c>
      <c r="AI309">
        <v>1</v>
      </c>
      <c r="AJ309">
        <v>2</v>
      </c>
      <c r="AK309">
        <v>2</v>
      </c>
      <c r="AL309" t="s">
        <v>4212</v>
      </c>
      <c r="AM309" t="s">
        <v>4213</v>
      </c>
      <c r="AN309" t="s">
        <v>4214</v>
      </c>
      <c r="AO309" t="s">
        <v>2900</v>
      </c>
      <c r="AP309" t="s">
        <v>2901</v>
      </c>
      <c r="AQ309" t="s">
        <v>4215</v>
      </c>
      <c r="AR309" t="s">
        <v>4216</v>
      </c>
      <c r="AS309" t="s">
        <v>72</v>
      </c>
      <c r="AT309" t="s">
        <v>72</v>
      </c>
      <c r="AU309">
        <v>2021</v>
      </c>
      <c r="AV309">
        <v>12856</v>
      </c>
      <c r="AW309" t="s">
        <v>72</v>
      </c>
      <c r="AX309" t="s">
        <v>72</v>
      </c>
      <c r="AY309" t="s">
        <v>72</v>
      </c>
      <c r="AZ309" t="s">
        <v>72</v>
      </c>
      <c r="BA309" t="s">
        <v>72</v>
      </c>
      <c r="BB309">
        <v>3</v>
      </c>
      <c r="BC309">
        <v>19</v>
      </c>
      <c r="BD309" t="s">
        <v>72</v>
      </c>
      <c r="BE309" t="s">
        <v>4217</v>
      </c>
      <c r="BF309" t="str">
        <f>HYPERLINK("http://dx.doi.org/10.1007/978-3-030-85071-5_1","http://dx.doi.org/10.1007/978-3-030-85071-5_1")</f>
        <v>http://dx.doi.org/10.1007/978-3-030-85071-5_1</v>
      </c>
      <c r="BG309" t="s">
        <v>72</v>
      </c>
      <c r="BH309" t="s">
        <v>72</v>
      </c>
      <c r="BI309">
        <v>17</v>
      </c>
      <c r="BJ309" t="s">
        <v>4218</v>
      </c>
      <c r="BK309" t="s">
        <v>664</v>
      </c>
      <c r="BL309" t="s">
        <v>4219</v>
      </c>
      <c r="BM309" t="s">
        <v>72</v>
      </c>
      <c r="BN309" t="s">
        <v>72</v>
      </c>
      <c r="BO309" t="s">
        <v>72</v>
      </c>
      <c r="BP309" t="s">
        <v>72</v>
      </c>
      <c r="BQ309" t="s">
        <v>100</v>
      </c>
      <c r="BR309" t="s">
        <v>4220</v>
      </c>
      <c r="BS309" t="str">
        <f>HYPERLINK("https%3A%2F%2Fwww.webofscience.com%2Fwos%2Fwoscc%2Ffull-record%2FWOS:000775767900001","View Full Record in Web of Science")</f>
        <v>View Full Record in Web of Science</v>
      </c>
    </row>
    <row r="310" spans="1:71" hidden="1" x14ac:dyDescent="0.2">
      <c r="A310" t="s">
        <v>305</v>
      </c>
      <c r="B310" t="s">
        <v>4468</v>
      </c>
      <c r="C310" t="s">
        <v>72</v>
      </c>
      <c r="D310" t="s">
        <v>4469</v>
      </c>
      <c r="E310" t="s">
        <v>72</v>
      </c>
      <c r="F310" t="s">
        <v>4470</v>
      </c>
      <c r="G310" t="s">
        <v>72</v>
      </c>
      <c r="H310" t="s">
        <v>72</v>
      </c>
      <c r="I310" t="s">
        <v>4471</v>
      </c>
      <c r="J310" t="s">
        <v>4472</v>
      </c>
      <c r="K310" t="s">
        <v>72</v>
      </c>
      <c r="L310" t="s">
        <v>72</v>
      </c>
      <c r="M310" t="s">
        <v>76</v>
      </c>
      <c r="N310" t="s">
        <v>312</v>
      </c>
      <c r="O310" t="s">
        <v>4473</v>
      </c>
      <c r="P310" t="s">
        <v>4474</v>
      </c>
      <c r="Q310" t="s">
        <v>4475</v>
      </c>
      <c r="R310" t="s">
        <v>4476</v>
      </c>
      <c r="S310" t="s">
        <v>72</v>
      </c>
      <c r="T310" t="s">
        <v>72</v>
      </c>
      <c r="U310" t="s">
        <v>72</v>
      </c>
      <c r="V310" t="s">
        <v>4477</v>
      </c>
      <c r="W310" t="s">
        <v>4478</v>
      </c>
      <c r="X310" t="s">
        <v>4479</v>
      </c>
      <c r="Y310" t="s">
        <v>4480</v>
      </c>
      <c r="Z310" t="s">
        <v>4481</v>
      </c>
      <c r="AA310" t="s">
        <v>72</v>
      </c>
      <c r="AB310" t="s">
        <v>72</v>
      </c>
      <c r="AC310" t="s">
        <v>72</v>
      </c>
      <c r="AD310" t="s">
        <v>72</v>
      </c>
      <c r="AE310" t="s">
        <v>72</v>
      </c>
      <c r="AF310" t="s">
        <v>72</v>
      </c>
      <c r="AG310">
        <v>22</v>
      </c>
      <c r="AH310">
        <v>6</v>
      </c>
      <c r="AI310">
        <v>6</v>
      </c>
      <c r="AJ310">
        <v>0</v>
      </c>
      <c r="AK310">
        <v>1</v>
      </c>
      <c r="AL310" t="s">
        <v>706</v>
      </c>
      <c r="AM310" t="s">
        <v>707</v>
      </c>
      <c r="AN310" t="s">
        <v>4482</v>
      </c>
      <c r="AO310" t="s">
        <v>72</v>
      </c>
      <c r="AP310" t="s">
        <v>72</v>
      </c>
      <c r="AQ310" t="s">
        <v>4483</v>
      </c>
      <c r="AR310" t="s">
        <v>72</v>
      </c>
      <c r="AS310" t="s">
        <v>72</v>
      </c>
      <c r="AT310" t="s">
        <v>72</v>
      </c>
      <c r="AU310">
        <v>2015</v>
      </c>
      <c r="AV310" t="s">
        <v>72</v>
      </c>
      <c r="AW310" t="s">
        <v>72</v>
      </c>
      <c r="AX310" t="s">
        <v>72</v>
      </c>
      <c r="AY310" t="s">
        <v>72</v>
      </c>
      <c r="AZ310" t="s">
        <v>72</v>
      </c>
      <c r="BA310" t="s">
        <v>72</v>
      </c>
      <c r="BB310">
        <v>942</v>
      </c>
      <c r="BC310">
        <v>949</v>
      </c>
      <c r="BD310" t="s">
        <v>72</v>
      </c>
      <c r="BE310" t="s">
        <v>4484</v>
      </c>
      <c r="BF310" t="str">
        <f>HYPERLINK("http://dx.doi.org/10.1145/2808797.2809312","http://dx.doi.org/10.1145/2808797.2809312")</f>
        <v>http://dx.doi.org/10.1145/2808797.2809312</v>
      </c>
      <c r="BG310" t="s">
        <v>72</v>
      </c>
      <c r="BH310" t="s">
        <v>72</v>
      </c>
      <c r="BI310">
        <v>8</v>
      </c>
      <c r="BJ310" t="s">
        <v>663</v>
      </c>
      <c r="BK310" t="s">
        <v>664</v>
      </c>
      <c r="BL310" t="s">
        <v>4485</v>
      </c>
      <c r="BM310" t="s">
        <v>72</v>
      </c>
      <c r="BN310" t="s">
        <v>72</v>
      </c>
      <c r="BO310" t="s">
        <v>72</v>
      </c>
      <c r="BP310" t="s">
        <v>72</v>
      </c>
      <c r="BQ310" t="s">
        <v>100</v>
      </c>
      <c r="BR310" t="s">
        <v>4486</v>
      </c>
      <c r="BS310" t="str">
        <f>HYPERLINK("https%3A%2F%2Fwww.webofscience.com%2Fwos%2Fwoscc%2Ffull-record%2FWOS:000371793500144","View Full Record in Web of Science")</f>
        <v>View Full Record in Web of Science</v>
      </c>
    </row>
    <row r="311" spans="1:71" hidden="1" x14ac:dyDescent="0.2">
      <c r="A311" t="s">
        <v>70</v>
      </c>
      <c r="B311" t="s">
        <v>4718</v>
      </c>
      <c r="C311" t="s">
        <v>72</v>
      </c>
      <c r="D311" t="s">
        <v>72</v>
      </c>
      <c r="E311" t="s">
        <v>72</v>
      </c>
      <c r="F311" t="s">
        <v>4719</v>
      </c>
      <c r="G311" t="s">
        <v>72</v>
      </c>
      <c r="H311" t="s">
        <v>72</v>
      </c>
      <c r="I311" t="s">
        <v>4720</v>
      </c>
      <c r="J311" t="s">
        <v>4721</v>
      </c>
      <c r="K311" t="s">
        <v>72</v>
      </c>
      <c r="L311" t="s">
        <v>72</v>
      </c>
      <c r="M311" t="s">
        <v>76</v>
      </c>
      <c r="N311" t="s">
        <v>77</v>
      </c>
      <c r="O311" t="s">
        <v>72</v>
      </c>
      <c r="P311" t="s">
        <v>72</v>
      </c>
      <c r="Q311" t="s">
        <v>72</v>
      </c>
      <c r="R311" t="s">
        <v>72</v>
      </c>
      <c r="S311" t="s">
        <v>72</v>
      </c>
      <c r="T311" t="s">
        <v>4722</v>
      </c>
      <c r="U311" t="s">
        <v>72</v>
      </c>
      <c r="V311" t="s">
        <v>4723</v>
      </c>
      <c r="W311" t="s">
        <v>4724</v>
      </c>
      <c r="X311" t="s">
        <v>4725</v>
      </c>
      <c r="Y311" t="s">
        <v>4726</v>
      </c>
      <c r="Z311" t="s">
        <v>4727</v>
      </c>
      <c r="AA311" t="s">
        <v>4728</v>
      </c>
      <c r="AB311" t="s">
        <v>72</v>
      </c>
      <c r="AC311" t="s">
        <v>4729</v>
      </c>
      <c r="AD311" t="s">
        <v>4730</v>
      </c>
      <c r="AE311" t="s">
        <v>4731</v>
      </c>
      <c r="AF311" t="s">
        <v>72</v>
      </c>
      <c r="AG311">
        <v>23</v>
      </c>
      <c r="AH311">
        <v>66</v>
      </c>
      <c r="AI311">
        <v>73</v>
      </c>
      <c r="AJ311">
        <v>0</v>
      </c>
      <c r="AK311">
        <v>7</v>
      </c>
      <c r="AL311" t="s">
        <v>4732</v>
      </c>
      <c r="AM311" t="s">
        <v>4733</v>
      </c>
      <c r="AN311" t="s">
        <v>4734</v>
      </c>
      <c r="AO311" t="s">
        <v>4735</v>
      </c>
      <c r="AP311" t="s">
        <v>4736</v>
      </c>
      <c r="AQ311" t="s">
        <v>72</v>
      </c>
      <c r="AR311" t="s">
        <v>4737</v>
      </c>
      <c r="AS311" t="s">
        <v>4738</v>
      </c>
      <c r="AT311" t="s">
        <v>247</v>
      </c>
      <c r="AU311">
        <v>2012</v>
      </c>
      <c r="AV311">
        <v>18</v>
      </c>
      <c r="AW311">
        <v>1</v>
      </c>
      <c r="AX311" t="s">
        <v>72</v>
      </c>
      <c r="AY311" t="s">
        <v>72</v>
      </c>
      <c r="AZ311" t="s">
        <v>72</v>
      </c>
      <c r="BA311" t="s">
        <v>72</v>
      </c>
      <c r="BB311">
        <v>93</v>
      </c>
      <c r="BC311">
        <v>105</v>
      </c>
      <c r="BD311" t="s">
        <v>72</v>
      </c>
      <c r="BE311" t="s">
        <v>4739</v>
      </c>
      <c r="BF311" t="str">
        <f>HYPERLINK("http://dx.doi.org/10.1109/TVCG.2010.225","http://dx.doi.org/10.1109/TVCG.2010.225")</f>
        <v>http://dx.doi.org/10.1109/TVCG.2010.225</v>
      </c>
      <c r="BG311" t="s">
        <v>72</v>
      </c>
      <c r="BH311" t="s">
        <v>72</v>
      </c>
      <c r="BI311">
        <v>13</v>
      </c>
      <c r="BJ311" t="s">
        <v>4740</v>
      </c>
      <c r="BK311" t="s">
        <v>664</v>
      </c>
      <c r="BL311" t="s">
        <v>4741</v>
      </c>
      <c r="BM311">
        <v>22076487</v>
      </c>
      <c r="BN311" t="s">
        <v>72</v>
      </c>
      <c r="BO311" t="s">
        <v>72</v>
      </c>
      <c r="BP311" t="s">
        <v>72</v>
      </c>
      <c r="BQ311" t="s">
        <v>100</v>
      </c>
      <c r="BR311" t="s">
        <v>4742</v>
      </c>
      <c r="BS311" t="str">
        <f>HYPERLINK("https%3A%2F%2Fwww.webofscience.com%2Fwos%2Fwoscc%2Ffull-record%2FWOS:000296775400012","View Full Record in Web of Science")</f>
        <v>View Full Record in Web of Science</v>
      </c>
    </row>
    <row r="312" spans="1:71" hidden="1" x14ac:dyDescent="0.2">
      <c r="A312" t="s">
        <v>70</v>
      </c>
      <c r="B312" t="s">
        <v>4968</v>
      </c>
      <c r="C312" t="s">
        <v>72</v>
      </c>
      <c r="D312" t="s">
        <v>72</v>
      </c>
      <c r="E312" t="s">
        <v>72</v>
      </c>
      <c r="F312" t="s">
        <v>4969</v>
      </c>
      <c r="G312" t="s">
        <v>72</v>
      </c>
      <c r="H312" t="s">
        <v>72</v>
      </c>
      <c r="I312" t="s">
        <v>4970</v>
      </c>
      <c r="J312" t="s">
        <v>4971</v>
      </c>
      <c r="K312" t="s">
        <v>72</v>
      </c>
      <c r="L312" t="s">
        <v>72</v>
      </c>
      <c r="M312" t="s">
        <v>76</v>
      </c>
      <c r="N312" t="s">
        <v>77</v>
      </c>
      <c r="O312" t="s">
        <v>72</v>
      </c>
      <c r="P312" t="s">
        <v>72</v>
      </c>
      <c r="Q312" t="s">
        <v>72</v>
      </c>
      <c r="R312" t="s">
        <v>72</v>
      </c>
      <c r="S312" t="s">
        <v>72</v>
      </c>
      <c r="T312" t="s">
        <v>4972</v>
      </c>
      <c r="U312" t="s">
        <v>4973</v>
      </c>
      <c r="V312" t="s">
        <v>4974</v>
      </c>
      <c r="W312" t="s">
        <v>4975</v>
      </c>
      <c r="X312" t="s">
        <v>72</v>
      </c>
      <c r="Y312" t="s">
        <v>4976</v>
      </c>
      <c r="Z312" t="s">
        <v>4977</v>
      </c>
      <c r="AA312" t="s">
        <v>4978</v>
      </c>
      <c r="AB312" t="s">
        <v>72</v>
      </c>
      <c r="AC312" t="s">
        <v>72</v>
      </c>
      <c r="AD312" t="s">
        <v>72</v>
      </c>
      <c r="AE312" t="s">
        <v>72</v>
      </c>
      <c r="AF312" t="s">
        <v>72</v>
      </c>
      <c r="AG312">
        <v>44</v>
      </c>
      <c r="AH312">
        <v>0</v>
      </c>
      <c r="AI312">
        <v>0</v>
      </c>
      <c r="AJ312">
        <v>1</v>
      </c>
      <c r="AK312">
        <v>1</v>
      </c>
      <c r="AL312" t="s">
        <v>2426</v>
      </c>
      <c r="AM312" t="s">
        <v>2427</v>
      </c>
      <c r="AN312" t="s">
        <v>2428</v>
      </c>
      <c r="AO312" t="s">
        <v>72</v>
      </c>
      <c r="AP312" t="s">
        <v>4979</v>
      </c>
      <c r="AQ312" t="s">
        <v>72</v>
      </c>
      <c r="AR312" t="s">
        <v>4971</v>
      </c>
      <c r="AS312" t="s">
        <v>4980</v>
      </c>
      <c r="AT312" t="s">
        <v>149</v>
      </c>
      <c r="AU312">
        <v>2022</v>
      </c>
      <c r="AV312">
        <v>13</v>
      </c>
      <c r="AW312">
        <v>4</v>
      </c>
      <c r="AX312" t="s">
        <v>72</v>
      </c>
      <c r="AY312" t="s">
        <v>72</v>
      </c>
      <c r="AZ312" t="s">
        <v>72</v>
      </c>
      <c r="BA312" t="s">
        <v>72</v>
      </c>
      <c r="BB312" t="s">
        <v>72</v>
      </c>
      <c r="BC312" t="s">
        <v>72</v>
      </c>
      <c r="BD312">
        <v>174</v>
      </c>
      <c r="BE312" t="s">
        <v>4981</v>
      </c>
      <c r="BF312" t="str">
        <f>HYPERLINK("http://dx.doi.org/10.3390/info13040174","http://dx.doi.org/10.3390/info13040174")</f>
        <v>http://dx.doi.org/10.3390/info13040174</v>
      </c>
      <c r="BG312" t="s">
        <v>72</v>
      </c>
      <c r="BH312" t="s">
        <v>72</v>
      </c>
      <c r="BI312">
        <v>14</v>
      </c>
      <c r="BJ312" t="s">
        <v>3907</v>
      </c>
      <c r="BK312" t="s">
        <v>664</v>
      </c>
      <c r="BL312" t="s">
        <v>4982</v>
      </c>
      <c r="BM312" t="s">
        <v>72</v>
      </c>
      <c r="BN312" t="s">
        <v>222</v>
      </c>
      <c r="BO312" t="s">
        <v>72</v>
      </c>
      <c r="BP312" t="s">
        <v>72</v>
      </c>
      <c r="BQ312" t="s">
        <v>100</v>
      </c>
      <c r="BR312" t="s">
        <v>4983</v>
      </c>
      <c r="BS312" t="str">
        <f>HYPERLINK("https%3A%2F%2Fwww.webofscience.com%2Fwos%2Fwoscc%2Ffull-record%2FWOS:000787935600001","View Full Record in Web of Science")</f>
        <v>View Full Record in Web of Science</v>
      </c>
    </row>
    <row r="313" spans="1:71" hidden="1" x14ac:dyDescent="0.2">
      <c r="A313" t="s">
        <v>305</v>
      </c>
      <c r="B313" t="s">
        <v>5043</v>
      </c>
      <c r="C313" t="s">
        <v>72</v>
      </c>
      <c r="D313" t="s">
        <v>5044</v>
      </c>
      <c r="E313" t="s">
        <v>72</v>
      </c>
      <c r="F313" t="s">
        <v>5045</v>
      </c>
      <c r="G313" t="s">
        <v>72</v>
      </c>
      <c r="H313" t="s">
        <v>72</v>
      </c>
      <c r="I313" t="s">
        <v>5046</v>
      </c>
      <c r="J313" t="s">
        <v>5047</v>
      </c>
      <c r="K313" t="s">
        <v>5048</v>
      </c>
      <c r="L313" t="s">
        <v>72</v>
      </c>
      <c r="M313" t="s">
        <v>76</v>
      </c>
      <c r="N313" t="s">
        <v>312</v>
      </c>
      <c r="O313" t="s">
        <v>5049</v>
      </c>
      <c r="P313" t="s">
        <v>5050</v>
      </c>
      <c r="Q313" t="s">
        <v>5051</v>
      </c>
      <c r="R313" t="s">
        <v>5052</v>
      </c>
      <c r="S313" t="s">
        <v>72</v>
      </c>
      <c r="T313" t="s">
        <v>72</v>
      </c>
      <c r="U313" t="s">
        <v>5053</v>
      </c>
      <c r="V313" t="s">
        <v>5054</v>
      </c>
      <c r="W313" t="s">
        <v>5055</v>
      </c>
      <c r="X313" t="s">
        <v>5056</v>
      </c>
      <c r="Y313" t="s">
        <v>5057</v>
      </c>
      <c r="Z313" t="s">
        <v>5058</v>
      </c>
      <c r="AA313" t="s">
        <v>5059</v>
      </c>
      <c r="AB313" t="s">
        <v>5060</v>
      </c>
      <c r="AC313" t="s">
        <v>72</v>
      </c>
      <c r="AD313" t="s">
        <v>72</v>
      </c>
      <c r="AE313" t="s">
        <v>72</v>
      </c>
      <c r="AF313" t="s">
        <v>72</v>
      </c>
      <c r="AG313">
        <v>38</v>
      </c>
      <c r="AH313">
        <v>6</v>
      </c>
      <c r="AI313">
        <v>6</v>
      </c>
      <c r="AJ313">
        <v>0</v>
      </c>
      <c r="AK313">
        <v>4</v>
      </c>
      <c r="AL313" t="s">
        <v>1102</v>
      </c>
      <c r="AM313" t="s">
        <v>707</v>
      </c>
      <c r="AN313" t="s">
        <v>1121</v>
      </c>
      <c r="AO313" t="s">
        <v>5061</v>
      </c>
      <c r="AP313" t="s">
        <v>72</v>
      </c>
      <c r="AQ313" t="s">
        <v>5062</v>
      </c>
      <c r="AR313" t="s">
        <v>5063</v>
      </c>
      <c r="AS313" t="s">
        <v>72</v>
      </c>
      <c r="AT313" t="s">
        <v>72</v>
      </c>
      <c r="AU313">
        <v>2014</v>
      </c>
      <c r="AV313" t="s">
        <v>72</v>
      </c>
      <c r="AW313" t="s">
        <v>72</v>
      </c>
      <c r="AX313" t="s">
        <v>72</v>
      </c>
      <c r="AY313" t="s">
        <v>72</v>
      </c>
      <c r="AZ313" t="s">
        <v>72</v>
      </c>
      <c r="BA313" t="s">
        <v>72</v>
      </c>
      <c r="BB313">
        <v>1635</v>
      </c>
      <c r="BC313">
        <v>1644</v>
      </c>
      <c r="BD313" t="s">
        <v>72</v>
      </c>
      <c r="BE313" t="s">
        <v>5064</v>
      </c>
      <c r="BF313" t="str">
        <f>HYPERLINK("http://dx.doi.org/10.1109/HICSS.2014.209","http://dx.doi.org/10.1109/HICSS.2014.209")</f>
        <v>http://dx.doi.org/10.1109/HICSS.2014.209</v>
      </c>
      <c r="BG313" t="s">
        <v>72</v>
      </c>
      <c r="BH313" t="s">
        <v>72</v>
      </c>
      <c r="BI313">
        <v>10</v>
      </c>
      <c r="BJ313" t="s">
        <v>5065</v>
      </c>
      <c r="BK313" t="s">
        <v>664</v>
      </c>
      <c r="BL313" t="s">
        <v>5066</v>
      </c>
      <c r="BM313" t="s">
        <v>72</v>
      </c>
      <c r="BN313" t="s">
        <v>72</v>
      </c>
      <c r="BO313" t="s">
        <v>72</v>
      </c>
      <c r="BP313" t="s">
        <v>72</v>
      </c>
      <c r="BQ313" t="s">
        <v>100</v>
      </c>
      <c r="BR313" t="s">
        <v>5067</v>
      </c>
      <c r="BS313" t="str">
        <f>HYPERLINK("https%3A%2F%2Fwww.webofscience.com%2Fwos%2Fwoscc%2Ffull-record%2FWOS:000343806601091","View Full Record in Web of Science")</f>
        <v>View Full Record in Web of Science</v>
      </c>
    </row>
    <row r="314" spans="1:71" hidden="1" x14ac:dyDescent="0.2">
      <c r="A314" t="s">
        <v>305</v>
      </c>
      <c r="B314" t="s">
        <v>5464</v>
      </c>
      <c r="C314" t="s">
        <v>72</v>
      </c>
      <c r="D314" t="s">
        <v>5465</v>
      </c>
      <c r="E314" t="s">
        <v>72</v>
      </c>
      <c r="F314" t="s">
        <v>5466</v>
      </c>
      <c r="G314" t="s">
        <v>72</v>
      </c>
      <c r="H314" t="s">
        <v>72</v>
      </c>
      <c r="I314" t="s">
        <v>5467</v>
      </c>
      <c r="J314" t="s">
        <v>5468</v>
      </c>
      <c r="K314" t="s">
        <v>5469</v>
      </c>
      <c r="L314" t="s">
        <v>72</v>
      </c>
      <c r="M314" t="s">
        <v>76</v>
      </c>
      <c r="N314" t="s">
        <v>312</v>
      </c>
      <c r="O314" t="s">
        <v>5470</v>
      </c>
      <c r="P314" t="s">
        <v>5471</v>
      </c>
      <c r="Q314" t="s">
        <v>5472</v>
      </c>
      <c r="R314" t="s">
        <v>5473</v>
      </c>
      <c r="S314" t="s">
        <v>72</v>
      </c>
      <c r="T314" t="s">
        <v>72</v>
      </c>
      <c r="U314" t="s">
        <v>802</v>
      </c>
      <c r="V314" t="s">
        <v>5474</v>
      </c>
      <c r="W314" t="s">
        <v>5475</v>
      </c>
      <c r="X314" t="s">
        <v>5476</v>
      </c>
      <c r="Y314" t="s">
        <v>5477</v>
      </c>
      <c r="Z314" t="s">
        <v>5478</v>
      </c>
      <c r="AA314" t="s">
        <v>5479</v>
      </c>
      <c r="AB314" t="s">
        <v>5480</v>
      </c>
      <c r="AC314" t="s">
        <v>72</v>
      </c>
      <c r="AD314" t="s">
        <v>72</v>
      </c>
      <c r="AE314" t="s">
        <v>72</v>
      </c>
      <c r="AF314" t="s">
        <v>72</v>
      </c>
      <c r="AG314">
        <v>39</v>
      </c>
      <c r="AH314">
        <v>15</v>
      </c>
      <c r="AI314">
        <v>15</v>
      </c>
      <c r="AJ314">
        <v>1</v>
      </c>
      <c r="AK314">
        <v>9</v>
      </c>
      <c r="AL314" t="s">
        <v>1102</v>
      </c>
      <c r="AM314" t="s">
        <v>707</v>
      </c>
      <c r="AN314" t="s">
        <v>1121</v>
      </c>
      <c r="AO314" t="s">
        <v>5481</v>
      </c>
      <c r="AP314" t="s">
        <v>72</v>
      </c>
      <c r="AQ314" t="s">
        <v>5482</v>
      </c>
      <c r="AR314" t="s">
        <v>5483</v>
      </c>
      <c r="AS314" t="s">
        <v>72</v>
      </c>
      <c r="AT314" t="s">
        <v>72</v>
      </c>
      <c r="AU314">
        <v>2015</v>
      </c>
      <c r="AV314" t="s">
        <v>72</v>
      </c>
      <c r="AW314" t="s">
        <v>72</v>
      </c>
      <c r="AX314" t="s">
        <v>72</v>
      </c>
      <c r="AY314" t="s">
        <v>72</v>
      </c>
      <c r="AZ314" t="s">
        <v>72</v>
      </c>
      <c r="BA314" t="s">
        <v>72</v>
      </c>
      <c r="BB314">
        <v>436</v>
      </c>
      <c r="BC314">
        <v>441</v>
      </c>
      <c r="BD314" t="s">
        <v>72</v>
      </c>
      <c r="BE314" t="s">
        <v>5484</v>
      </c>
      <c r="BF314" t="str">
        <f>HYPERLINK("http://dx.doi.org/10.1109/UCC.2015.78","http://dx.doi.org/10.1109/UCC.2015.78")</f>
        <v>http://dx.doi.org/10.1109/UCC.2015.78</v>
      </c>
      <c r="BG314" t="s">
        <v>72</v>
      </c>
      <c r="BH314" t="s">
        <v>72</v>
      </c>
      <c r="BI314">
        <v>6</v>
      </c>
      <c r="BJ314" t="s">
        <v>5485</v>
      </c>
      <c r="BK314" t="s">
        <v>664</v>
      </c>
      <c r="BL314" t="s">
        <v>5486</v>
      </c>
      <c r="BM314" t="s">
        <v>72</v>
      </c>
      <c r="BN314" t="s">
        <v>72</v>
      </c>
      <c r="BO314" t="s">
        <v>72</v>
      </c>
      <c r="BP314" t="s">
        <v>72</v>
      </c>
      <c r="BQ314" t="s">
        <v>100</v>
      </c>
      <c r="BR314" t="s">
        <v>5487</v>
      </c>
      <c r="BS314" t="str">
        <f>HYPERLINK("https%3A%2F%2Fwww.webofscience.com%2Fwos%2Fwoscc%2Ffull-record%2FWOS:000380446800065","View Full Record in Web of Science")</f>
        <v>View Full Record in Web of Science</v>
      </c>
    </row>
    <row r="315" spans="1:71" hidden="1" x14ac:dyDescent="0.2">
      <c r="A315" t="s">
        <v>305</v>
      </c>
      <c r="B315" t="s">
        <v>5812</v>
      </c>
      <c r="C315" t="s">
        <v>72</v>
      </c>
      <c r="D315" t="s">
        <v>5813</v>
      </c>
      <c r="E315" t="s">
        <v>72</v>
      </c>
      <c r="F315" t="s">
        <v>5814</v>
      </c>
      <c r="G315" t="s">
        <v>72</v>
      </c>
      <c r="H315" t="s">
        <v>72</v>
      </c>
      <c r="I315" t="s">
        <v>5815</v>
      </c>
      <c r="J315" t="s">
        <v>5816</v>
      </c>
      <c r="K315" t="s">
        <v>5817</v>
      </c>
      <c r="L315" t="s">
        <v>72</v>
      </c>
      <c r="M315" t="s">
        <v>76</v>
      </c>
      <c r="N315" t="s">
        <v>312</v>
      </c>
      <c r="O315" t="s">
        <v>5818</v>
      </c>
      <c r="P315" t="s">
        <v>5819</v>
      </c>
      <c r="Q315" t="s">
        <v>5820</v>
      </c>
      <c r="R315" t="s">
        <v>72</v>
      </c>
      <c r="S315" t="s">
        <v>5821</v>
      </c>
      <c r="T315" t="s">
        <v>72</v>
      </c>
      <c r="U315" t="s">
        <v>5822</v>
      </c>
      <c r="V315" t="s">
        <v>5823</v>
      </c>
      <c r="W315" t="s">
        <v>5824</v>
      </c>
      <c r="X315" t="s">
        <v>5825</v>
      </c>
      <c r="Y315" t="s">
        <v>5826</v>
      </c>
      <c r="Z315" t="s">
        <v>5827</v>
      </c>
      <c r="AA315" t="s">
        <v>72</v>
      </c>
      <c r="AB315" t="s">
        <v>72</v>
      </c>
      <c r="AC315" t="s">
        <v>72</v>
      </c>
      <c r="AD315" t="s">
        <v>72</v>
      </c>
      <c r="AE315" t="s">
        <v>72</v>
      </c>
      <c r="AF315" t="s">
        <v>72</v>
      </c>
      <c r="AG315">
        <v>19</v>
      </c>
      <c r="AH315">
        <v>2</v>
      </c>
      <c r="AI315">
        <v>2</v>
      </c>
      <c r="AJ315">
        <v>0</v>
      </c>
      <c r="AK315">
        <v>2</v>
      </c>
      <c r="AL315" t="s">
        <v>2898</v>
      </c>
      <c r="AM315" t="s">
        <v>549</v>
      </c>
      <c r="AN315" t="s">
        <v>2899</v>
      </c>
      <c r="AO315" t="s">
        <v>5828</v>
      </c>
      <c r="AP315" t="s">
        <v>5829</v>
      </c>
      <c r="AQ315" t="s">
        <v>5830</v>
      </c>
      <c r="AR315" t="s">
        <v>5831</v>
      </c>
      <c r="AS315" t="s">
        <v>72</v>
      </c>
      <c r="AT315" t="s">
        <v>72</v>
      </c>
      <c r="AU315">
        <v>2016</v>
      </c>
      <c r="AV315">
        <v>644</v>
      </c>
      <c r="AW315" t="s">
        <v>72</v>
      </c>
      <c r="AX315" t="s">
        <v>72</v>
      </c>
      <c r="AY315" t="s">
        <v>72</v>
      </c>
      <c r="AZ315" t="s">
        <v>72</v>
      </c>
      <c r="BA315" t="s">
        <v>72</v>
      </c>
      <c r="BB315">
        <v>257</v>
      </c>
      <c r="BC315">
        <v>265</v>
      </c>
      <c r="BD315" t="s">
        <v>72</v>
      </c>
      <c r="BE315" t="s">
        <v>5832</v>
      </c>
      <c r="BF315" t="str">
        <f>HYPERLINK("http://dx.doi.org/10.1007/978-3-319-30569-1_19","http://dx.doi.org/10.1007/978-3-319-30569-1_19")</f>
        <v>http://dx.doi.org/10.1007/978-3-319-30569-1_19</v>
      </c>
      <c r="BG315" t="s">
        <v>72</v>
      </c>
      <c r="BH315" t="s">
        <v>72</v>
      </c>
      <c r="BI315">
        <v>9</v>
      </c>
      <c r="BJ315" t="s">
        <v>5833</v>
      </c>
      <c r="BK315" t="s">
        <v>664</v>
      </c>
      <c r="BL315" t="s">
        <v>5834</v>
      </c>
      <c r="BM315" t="s">
        <v>72</v>
      </c>
      <c r="BN315" t="s">
        <v>72</v>
      </c>
      <c r="BO315" t="s">
        <v>72</v>
      </c>
      <c r="BP315" t="s">
        <v>72</v>
      </c>
      <c r="BQ315" t="s">
        <v>100</v>
      </c>
      <c r="BR315" t="s">
        <v>5835</v>
      </c>
      <c r="BS315" t="str">
        <f>HYPERLINK("https%3A%2F%2Fwww.webofscience.com%2Fwos%2Fwoscc%2Ffull-record%2FWOS:000378833300019","View Full Record in Web of Science")</f>
        <v>View Full Record in Web of Science</v>
      </c>
    </row>
    <row r="316" spans="1:71" hidden="1" x14ac:dyDescent="0.2">
      <c r="A316" t="s">
        <v>715</v>
      </c>
      <c r="B316" t="s">
        <v>5873</v>
      </c>
      <c r="C316" t="s">
        <v>72</v>
      </c>
      <c r="D316" t="s">
        <v>5874</v>
      </c>
      <c r="E316" t="s">
        <v>72</v>
      </c>
      <c r="F316" t="s">
        <v>5875</v>
      </c>
      <c r="G316" t="s">
        <v>72</v>
      </c>
      <c r="H316" t="s">
        <v>72</v>
      </c>
      <c r="I316" t="s">
        <v>5876</v>
      </c>
      <c r="J316" t="s">
        <v>5877</v>
      </c>
      <c r="K316" t="s">
        <v>5878</v>
      </c>
      <c r="L316" t="s">
        <v>72</v>
      </c>
      <c r="M316" t="s">
        <v>76</v>
      </c>
      <c r="N316" t="s">
        <v>567</v>
      </c>
      <c r="O316" t="s">
        <v>72</v>
      </c>
      <c r="P316" t="s">
        <v>72</v>
      </c>
      <c r="Q316" t="s">
        <v>72</v>
      </c>
      <c r="R316" t="s">
        <v>72</v>
      </c>
      <c r="S316" t="s">
        <v>72</v>
      </c>
      <c r="T316" t="s">
        <v>5879</v>
      </c>
      <c r="U316" t="s">
        <v>72</v>
      </c>
      <c r="V316" t="s">
        <v>5880</v>
      </c>
      <c r="W316" t="s">
        <v>5881</v>
      </c>
      <c r="X316" t="s">
        <v>5882</v>
      </c>
      <c r="Y316" t="s">
        <v>5883</v>
      </c>
      <c r="Z316" t="s">
        <v>5884</v>
      </c>
      <c r="AA316" t="s">
        <v>72</v>
      </c>
      <c r="AB316" t="s">
        <v>72</v>
      </c>
      <c r="AC316" t="s">
        <v>72</v>
      </c>
      <c r="AD316" t="s">
        <v>72</v>
      </c>
      <c r="AE316" t="s">
        <v>72</v>
      </c>
      <c r="AF316" t="s">
        <v>72</v>
      </c>
      <c r="AG316">
        <v>7</v>
      </c>
      <c r="AH316">
        <v>0</v>
      </c>
      <c r="AI316">
        <v>0</v>
      </c>
      <c r="AJ316">
        <v>1</v>
      </c>
      <c r="AK316">
        <v>5</v>
      </c>
      <c r="AL316" t="s">
        <v>2898</v>
      </c>
      <c r="AM316" t="s">
        <v>549</v>
      </c>
      <c r="AN316" t="s">
        <v>2899</v>
      </c>
      <c r="AO316" t="s">
        <v>5885</v>
      </c>
      <c r="AP316" t="s">
        <v>72</v>
      </c>
      <c r="AQ316" t="s">
        <v>5886</v>
      </c>
      <c r="AR316" t="s">
        <v>5887</v>
      </c>
      <c r="AS316" t="s">
        <v>72</v>
      </c>
      <c r="AT316" t="s">
        <v>72</v>
      </c>
      <c r="AU316">
        <v>2011</v>
      </c>
      <c r="AV316" t="s">
        <v>72</v>
      </c>
      <c r="AW316" t="s">
        <v>72</v>
      </c>
      <c r="AX316" t="s">
        <v>72</v>
      </c>
      <c r="AY316" t="s">
        <v>72</v>
      </c>
      <c r="AZ316" t="s">
        <v>72</v>
      </c>
      <c r="BA316" t="s">
        <v>72</v>
      </c>
      <c r="BB316">
        <v>155</v>
      </c>
      <c r="BC316">
        <v>170</v>
      </c>
      <c r="BD316" t="s">
        <v>72</v>
      </c>
      <c r="BE316" t="s">
        <v>5888</v>
      </c>
      <c r="BF316" t="str">
        <f>HYPERLINK("http://dx.doi.org/10.1007/978-3-642-20227-8_9","http://dx.doi.org/10.1007/978-3-642-20227-8_9")</f>
        <v>http://dx.doi.org/10.1007/978-3-642-20227-8_9</v>
      </c>
      <c r="BG316" t="s">
        <v>5889</v>
      </c>
      <c r="BH316" t="s">
        <v>72</v>
      </c>
      <c r="BI316">
        <v>16</v>
      </c>
      <c r="BJ316" t="s">
        <v>663</v>
      </c>
      <c r="BK316" t="s">
        <v>664</v>
      </c>
      <c r="BL316" t="s">
        <v>5890</v>
      </c>
      <c r="BM316" t="s">
        <v>72</v>
      </c>
      <c r="BN316" t="s">
        <v>72</v>
      </c>
      <c r="BO316" t="s">
        <v>72</v>
      </c>
      <c r="BP316" t="s">
        <v>72</v>
      </c>
      <c r="BQ316" t="s">
        <v>100</v>
      </c>
      <c r="BR316" t="s">
        <v>5891</v>
      </c>
      <c r="BS316" t="str">
        <f>HYPERLINK("https%3A%2F%2Fwww.webofscience.com%2Fwos%2Fwoscc%2Ffull-record%2FWOS:000293925300011","View Full Record in Web of Science")</f>
        <v>View Full Record in Web of Science</v>
      </c>
    </row>
    <row r="317" spans="1:71" hidden="1" x14ac:dyDescent="0.2">
      <c r="A317" t="s">
        <v>70</v>
      </c>
      <c r="B317" t="s">
        <v>6150</v>
      </c>
      <c r="C317" t="s">
        <v>72</v>
      </c>
      <c r="D317" t="s">
        <v>72</v>
      </c>
      <c r="E317" t="s">
        <v>72</v>
      </c>
      <c r="F317" t="s">
        <v>6151</v>
      </c>
      <c r="G317" t="s">
        <v>72</v>
      </c>
      <c r="H317" t="s">
        <v>72</v>
      </c>
      <c r="I317" t="s">
        <v>6152</v>
      </c>
      <c r="J317" t="s">
        <v>6153</v>
      </c>
      <c r="K317" t="s">
        <v>72</v>
      </c>
      <c r="L317" t="s">
        <v>72</v>
      </c>
      <c r="M317" t="s">
        <v>76</v>
      </c>
      <c r="N317" t="s">
        <v>77</v>
      </c>
      <c r="O317" t="s">
        <v>72</v>
      </c>
      <c r="P317" t="s">
        <v>72</v>
      </c>
      <c r="Q317" t="s">
        <v>72</v>
      </c>
      <c r="R317" t="s">
        <v>72</v>
      </c>
      <c r="S317" t="s">
        <v>72</v>
      </c>
      <c r="T317" t="s">
        <v>6154</v>
      </c>
      <c r="U317" t="s">
        <v>6155</v>
      </c>
      <c r="V317" t="s">
        <v>6156</v>
      </c>
      <c r="W317" t="s">
        <v>6157</v>
      </c>
      <c r="X317" t="s">
        <v>6158</v>
      </c>
      <c r="Y317" t="s">
        <v>6159</v>
      </c>
      <c r="Z317" t="s">
        <v>6160</v>
      </c>
      <c r="AA317" t="s">
        <v>6161</v>
      </c>
      <c r="AB317" t="s">
        <v>72</v>
      </c>
      <c r="AC317" t="s">
        <v>6162</v>
      </c>
      <c r="AD317" t="s">
        <v>6163</v>
      </c>
      <c r="AE317" t="s">
        <v>6164</v>
      </c>
      <c r="AF317" t="s">
        <v>72</v>
      </c>
      <c r="AG317">
        <v>141</v>
      </c>
      <c r="AH317">
        <v>293</v>
      </c>
      <c r="AI317">
        <v>300</v>
      </c>
      <c r="AJ317">
        <v>28</v>
      </c>
      <c r="AK317">
        <v>122</v>
      </c>
      <c r="AL317" t="s">
        <v>6165</v>
      </c>
      <c r="AM317" t="s">
        <v>6166</v>
      </c>
      <c r="AN317" t="s">
        <v>6167</v>
      </c>
      <c r="AO317" t="s">
        <v>6168</v>
      </c>
      <c r="AP317" t="s">
        <v>6169</v>
      </c>
      <c r="AQ317" t="s">
        <v>72</v>
      </c>
      <c r="AR317" t="s">
        <v>6170</v>
      </c>
      <c r="AS317" t="s">
        <v>6171</v>
      </c>
      <c r="AT317" t="s">
        <v>149</v>
      </c>
      <c r="AU317">
        <v>2018</v>
      </c>
      <c r="AV317">
        <v>22</v>
      </c>
      <c r="AW317">
        <v>2</v>
      </c>
      <c r="AX317" t="s">
        <v>72</v>
      </c>
      <c r="AY317" t="s">
        <v>72</v>
      </c>
      <c r="AZ317" t="s">
        <v>72</v>
      </c>
      <c r="BA317" t="s">
        <v>72</v>
      </c>
      <c r="BB317">
        <v>276</v>
      </c>
      <c r="BC317">
        <v>295</v>
      </c>
      <c r="BD317" t="s">
        <v>72</v>
      </c>
      <c r="BE317" t="s">
        <v>6172</v>
      </c>
      <c r="BF317" t="str">
        <f>HYPERLINK("http://dx.doi.org/10.1109/TEVC.2017.2712906","http://dx.doi.org/10.1109/TEVC.2017.2712906")</f>
        <v>http://dx.doi.org/10.1109/TEVC.2017.2712906</v>
      </c>
      <c r="BG317" t="s">
        <v>72</v>
      </c>
      <c r="BH317" t="s">
        <v>72</v>
      </c>
      <c r="BI317">
        <v>20</v>
      </c>
      <c r="BJ317" t="s">
        <v>5833</v>
      </c>
      <c r="BK317" t="s">
        <v>664</v>
      </c>
      <c r="BL317" t="s">
        <v>6173</v>
      </c>
      <c r="BM317" t="s">
        <v>72</v>
      </c>
      <c r="BN317" t="s">
        <v>6174</v>
      </c>
      <c r="BO317" t="s">
        <v>72</v>
      </c>
      <c r="BP317" t="s">
        <v>72</v>
      </c>
      <c r="BQ317" t="s">
        <v>100</v>
      </c>
      <c r="BR317" t="s">
        <v>6175</v>
      </c>
      <c r="BS317" t="str">
        <f>HYPERLINK("https%3A%2F%2Fwww.webofscience.com%2Fwos%2Fwoscc%2Ffull-record%2FWOS:000429039100007","View Full Record in Web of Science")</f>
        <v>View Full Record in Web of Science</v>
      </c>
    </row>
    <row r="318" spans="1:71" hidden="1" x14ac:dyDescent="0.2">
      <c r="A318" t="s">
        <v>305</v>
      </c>
      <c r="B318" t="s">
        <v>6293</v>
      </c>
      <c r="C318" t="s">
        <v>72</v>
      </c>
      <c r="D318" t="s">
        <v>6294</v>
      </c>
      <c r="E318" t="s">
        <v>72</v>
      </c>
      <c r="F318" t="s">
        <v>6295</v>
      </c>
      <c r="G318" t="s">
        <v>72</v>
      </c>
      <c r="H318" t="s">
        <v>72</v>
      </c>
      <c r="I318" t="s">
        <v>6296</v>
      </c>
      <c r="J318" t="s">
        <v>6297</v>
      </c>
      <c r="K318" t="s">
        <v>72</v>
      </c>
      <c r="L318" t="s">
        <v>72</v>
      </c>
      <c r="M318" t="s">
        <v>76</v>
      </c>
      <c r="N318" t="s">
        <v>312</v>
      </c>
      <c r="O318" t="s">
        <v>6298</v>
      </c>
      <c r="P318" t="s">
        <v>6299</v>
      </c>
      <c r="Q318" t="s">
        <v>6300</v>
      </c>
      <c r="R318" t="s">
        <v>72</v>
      </c>
      <c r="S318" t="s">
        <v>72</v>
      </c>
      <c r="T318" t="s">
        <v>6301</v>
      </c>
      <c r="U318" t="s">
        <v>72</v>
      </c>
      <c r="V318" t="s">
        <v>6302</v>
      </c>
      <c r="W318" t="s">
        <v>6303</v>
      </c>
      <c r="X318" t="s">
        <v>6304</v>
      </c>
      <c r="Y318" t="s">
        <v>6305</v>
      </c>
      <c r="Z318" t="s">
        <v>72</v>
      </c>
      <c r="AA318" t="s">
        <v>72</v>
      </c>
      <c r="AB318" t="s">
        <v>72</v>
      </c>
      <c r="AC318" t="s">
        <v>72</v>
      </c>
      <c r="AD318" t="s">
        <v>72</v>
      </c>
      <c r="AE318" t="s">
        <v>72</v>
      </c>
      <c r="AF318" t="s">
        <v>72</v>
      </c>
      <c r="AG318">
        <v>24</v>
      </c>
      <c r="AH318">
        <v>1</v>
      </c>
      <c r="AI318">
        <v>1</v>
      </c>
      <c r="AJ318">
        <v>0</v>
      </c>
      <c r="AK318">
        <v>4</v>
      </c>
      <c r="AL318" t="s">
        <v>6306</v>
      </c>
      <c r="AM318" t="s">
        <v>6307</v>
      </c>
      <c r="AN318" t="s">
        <v>6308</v>
      </c>
      <c r="AO318" t="s">
        <v>72</v>
      </c>
      <c r="AP318" t="s">
        <v>72</v>
      </c>
      <c r="AQ318" t="s">
        <v>6309</v>
      </c>
      <c r="AR318" t="s">
        <v>72</v>
      </c>
      <c r="AS318" t="s">
        <v>72</v>
      </c>
      <c r="AT318" t="s">
        <v>72</v>
      </c>
      <c r="AU318">
        <v>2016</v>
      </c>
      <c r="AV318" t="s">
        <v>72</v>
      </c>
      <c r="AW318" t="s">
        <v>72</v>
      </c>
      <c r="AX318" t="s">
        <v>72</v>
      </c>
      <c r="AY318" t="s">
        <v>72</v>
      </c>
      <c r="AZ318" t="s">
        <v>72</v>
      </c>
      <c r="BA318" t="s">
        <v>72</v>
      </c>
      <c r="BB318">
        <v>53</v>
      </c>
      <c r="BC318">
        <v>62</v>
      </c>
      <c r="BD318" t="s">
        <v>72</v>
      </c>
      <c r="BE318" t="s">
        <v>6310</v>
      </c>
      <c r="BF318" t="str">
        <f>HYPERLINK("http://dx.doi.org/10.5220/0005760000530062","http://dx.doi.org/10.5220/0005760000530062")</f>
        <v>http://dx.doi.org/10.5220/0005760000530062</v>
      </c>
      <c r="BG318" t="s">
        <v>72</v>
      </c>
      <c r="BH318" t="s">
        <v>72</v>
      </c>
      <c r="BI318">
        <v>10</v>
      </c>
      <c r="BJ318" t="s">
        <v>5485</v>
      </c>
      <c r="BK318" t="s">
        <v>664</v>
      </c>
      <c r="BL318" t="s">
        <v>6311</v>
      </c>
      <c r="BM318" t="s">
        <v>72</v>
      </c>
      <c r="BN318" t="s">
        <v>72</v>
      </c>
      <c r="BO318" t="s">
        <v>72</v>
      </c>
      <c r="BP318" t="s">
        <v>72</v>
      </c>
      <c r="BQ318" t="s">
        <v>100</v>
      </c>
      <c r="BR318" t="s">
        <v>6312</v>
      </c>
      <c r="BS318" t="str">
        <f>HYPERLINK("https%3A%2F%2Fwww.webofscience.com%2Fwos%2Fwoscc%2Ffull-record%2FWOS:000393155700005","View Full Record in Web of Science")</f>
        <v>View Full Record in Web of Science</v>
      </c>
    </row>
    <row r="319" spans="1:71" hidden="1" x14ac:dyDescent="0.2">
      <c r="A319" t="s">
        <v>305</v>
      </c>
      <c r="B319" t="s">
        <v>6494</v>
      </c>
      <c r="C319" t="s">
        <v>72</v>
      </c>
      <c r="D319" t="s">
        <v>72</v>
      </c>
      <c r="E319" t="s">
        <v>1102</v>
      </c>
      <c r="F319" t="s">
        <v>6495</v>
      </c>
      <c r="G319" t="s">
        <v>72</v>
      </c>
      <c r="H319" t="s">
        <v>72</v>
      </c>
      <c r="I319" t="s">
        <v>6496</v>
      </c>
      <c r="J319" t="s">
        <v>6497</v>
      </c>
      <c r="K319" t="s">
        <v>6498</v>
      </c>
      <c r="L319" t="s">
        <v>72</v>
      </c>
      <c r="M319" t="s">
        <v>76</v>
      </c>
      <c r="N319" t="s">
        <v>312</v>
      </c>
      <c r="O319" t="s">
        <v>6499</v>
      </c>
      <c r="P319" t="s">
        <v>6500</v>
      </c>
      <c r="Q319" t="s">
        <v>4204</v>
      </c>
      <c r="R319" t="s">
        <v>6501</v>
      </c>
      <c r="S319" t="s">
        <v>72</v>
      </c>
      <c r="T319" t="s">
        <v>6502</v>
      </c>
      <c r="U319" t="s">
        <v>72</v>
      </c>
      <c r="V319" t="s">
        <v>6503</v>
      </c>
      <c r="W319" t="s">
        <v>6504</v>
      </c>
      <c r="X319" t="s">
        <v>72</v>
      </c>
      <c r="Y319" t="s">
        <v>6505</v>
      </c>
      <c r="Z319" t="s">
        <v>72</v>
      </c>
      <c r="AA319" t="s">
        <v>6506</v>
      </c>
      <c r="AB319" t="s">
        <v>6507</v>
      </c>
      <c r="AC319" t="s">
        <v>1142</v>
      </c>
      <c r="AD319" t="s">
        <v>1142</v>
      </c>
      <c r="AE319" t="s">
        <v>6508</v>
      </c>
      <c r="AF319" t="s">
        <v>72</v>
      </c>
      <c r="AG319">
        <v>31</v>
      </c>
      <c r="AH319">
        <v>0</v>
      </c>
      <c r="AI319">
        <v>0</v>
      </c>
      <c r="AJ319">
        <v>3</v>
      </c>
      <c r="AK319">
        <v>3</v>
      </c>
      <c r="AL319" t="s">
        <v>1102</v>
      </c>
      <c r="AM319" t="s">
        <v>707</v>
      </c>
      <c r="AN319" t="s">
        <v>1121</v>
      </c>
      <c r="AO319" t="s">
        <v>6509</v>
      </c>
      <c r="AP319" t="s">
        <v>72</v>
      </c>
      <c r="AQ319" t="s">
        <v>6510</v>
      </c>
      <c r="AR319" t="s">
        <v>6511</v>
      </c>
      <c r="AS319" t="s">
        <v>72</v>
      </c>
      <c r="AT319" t="s">
        <v>72</v>
      </c>
      <c r="AU319">
        <v>2020</v>
      </c>
      <c r="AV319" t="s">
        <v>72</v>
      </c>
      <c r="AW319" t="s">
        <v>72</v>
      </c>
      <c r="AX319" t="s">
        <v>72</v>
      </c>
      <c r="AY319" t="s">
        <v>72</v>
      </c>
      <c r="AZ319" t="s">
        <v>72</v>
      </c>
      <c r="BA319" t="s">
        <v>72</v>
      </c>
      <c r="BB319">
        <v>328</v>
      </c>
      <c r="BC319">
        <v>335</v>
      </c>
      <c r="BD319" t="s">
        <v>72</v>
      </c>
      <c r="BE319" t="s">
        <v>72</v>
      </c>
      <c r="BF319" t="s">
        <v>72</v>
      </c>
      <c r="BG319" t="s">
        <v>72</v>
      </c>
      <c r="BH319" t="s">
        <v>72</v>
      </c>
      <c r="BI319">
        <v>8</v>
      </c>
      <c r="BJ319" t="s">
        <v>6512</v>
      </c>
      <c r="BK319" t="s">
        <v>664</v>
      </c>
      <c r="BL319" t="s">
        <v>6513</v>
      </c>
      <c r="BM319" t="s">
        <v>72</v>
      </c>
      <c r="BN319" t="s">
        <v>72</v>
      </c>
      <c r="BO319" t="s">
        <v>72</v>
      </c>
      <c r="BP319" t="s">
        <v>72</v>
      </c>
      <c r="BQ319" t="s">
        <v>100</v>
      </c>
      <c r="BR319" t="s">
        <v>6514</v>
      </c>
      <c r="BS319" t="str">
        <f>HYPERLINK("https%3A%2F%2Fwww.webofscience.com%2Fwos%2Fwoscc%2Ffull-record%2FWOS:000632592300043","View Full Record in Web of Science")</f>
        <v>View Full Record in Web of Science</v>
      </c>
    </row>
    <row r="320" spans="1:71" hidden="1" x14ac:dyDescent="0.2">
      <c r="A320" t="s">
        <v>305</v>
      </c>
      <c r="B320" t="s">
        <v>6587</v>
      </c>
      <c r="C320" t="s">
        <v>72</v>
      </c>
      <c r="D320" t="s">
        <v>6588</v>
      </c>
      <c r="E320" t="s">
        <v>72</v>
      </c>
      <c r="F320" t="s">
        <v>6589</v>
      </c>
      <c r="G320" t="s">
        <v>72</v>
      </c>
      <c r="H320" t="s">
        <v>72</v>
      </c>
      <c r="I320" t="s">
        <v>6590</v>
      </c>
      <c r="J320" t="s">
        <v>6591</v>
      </c>
      <c r="K320" t="s">
        <v>72</v>
      </c>
      <c r="L320" t="s">
        <v>72</v>
      </c>
      <c r="M320" t="s">
        <v>76</v>
      </c>
      <c r="N320" t="s">
        <v>312</v>
      </c>
      <c r="O320" t="s">
        <v>6592</v>
      </c>
      <c r="P320" t="s">
        <v>6593</v>
      </c>
      <c r="Q320" t="s">
        <v>6594</v>
      </c>
      <c r="R320" t="s">
        <v>72</v>
      </c>
      <c r="S320" t="s">
        <v>72</v>
      </c>
      <c r="T320" t="s">
        <v>6595</v>
      </c>
      <c r="U320" t="s">
        <v>6596</v>
      </c>
      <c r="V320" t="s">
        <v>6597</v>
      </c>
      <c r="W320" t="s">
        <v>6598</v>
      </c>
      <c r="X320" t="s">
        <v>6599</v>
      </c>
      <c r="Y320" t="s">
        <v>6600</v>
      </c>
      <c r="Z320" t="s">
        <v>6601</v>
      </c>
      <c r="AA320" t="s">
        <v>72</v>
      </c>
      <c r="AB320" t="s">
        <v>6602</v>
      </c>
      <c r="AC320" t="s">
        <v>72</v>
      </c>
      <c r="AD320" t="s">
        <v>72</v>
      </c>
      <c r="AE320" t="s">
        <v>72</v>
      </c>
      <c r="AF320" t="s">
        <v>72</v>
      </c>
      <c r="AG320">
        <v>51</v>
      </c>
      <c r="AH320">
        <v>5</v>
      </c>
      <c r="AI320">
        <v>5</v>
      </c>
      <c r="AJ320">
        <v>2</v>
      </c>
      <c r="AK320">
        <v>2</v>
      </c>
      <c r="AL320" t="s">
        <v>6603</v>
      </c>
      <c r="AM320" t="s">
        <v>6604</v>
      </c>
      <c r="AN320" t="s">
        <v>6605</v>
      </c>
      <c r="AO320" t="s">
        <v>72</v>
      </c>
      <c r="AP320" t="s">
        <v>72</v>
      </c>
      <c r="AQ320" t="s">
        <v>6606</v>
      </c>
      <c r="AR320" t="s">
        <v>72</v>
      </c>
      <c r="AS320" t="s">
        <v>72</v>
      </c>
      <c r="AT320" t="s">
        <v>72</v>
      </c>
      <c r="AU320">
        <v>2017</v>
      </c>
      <c r="AV320" t="s">
        <v>72</v>
      </c>
      <c r="AW320" t="s">
        <v>72</v>
      </c>
      <c r="AX320" t="s">
        <v>72</v>
      </c>
      <c r="AY320" t="s">
        <v>72</v>
      </c>
      <c r="AZ320" t="s">
        <v>72</v>
      </c>
      <c r="BA320" t="s">
        <v>72</v>
      </c>
      <c r="BB320">
        <v>950</v>
      </c>
      <c r="BC320">
        <v>959</v>
      </c>
      <c r="BD320" t="s">
        <v>72</v>
      </c>
      <c r="BE320" t="s">
        <v>72</v>
      </c>
      <c r="BF320" t="s">
        <v>72</v>
      </c>
      <c r="BG320" t="s">
        <v>72</v>
      </c>
      <c r="BH320" t="s">
        <v>72</v>
      </c>
      <c r="BI320">
        <v>10</v>
      </c>
      <c r="BJ320" t="s">
        <v>6607</v>
      </c>
      <c r="BK320" t="s">
        <v>664</v>
      </c>
      <c r="BL320" t="s">
        <v>6608</v>
      </c>
      <c r="BM320" t="s">
        <v>72</v>
      </c>
      <c r="BN320" t="s">
        <v>72</v>
      </c>
      <c r="BO320" t="s">
        <v>72</v>
      </c>
      <c r="BP320" t="s">
        <v>72</v>
      </c>
      <c r="BQ320" t="s">
        <v>100</v>
      </c>
      <c r="BR320" t="s">
        <v>6609</v>
      </c>
      <c r="BS320" t="str">
        <f>HYPERLINK("https%3A%2F%2Fwww.webofscience.com%2Fwos%2Fwoscc%2Ffull-record%2FWOS:000625875701033","View Full Record in Web of Science")</f>
        <v>View Full Record in Web of Science</v>
      </c>
    </row>
    <row r="321" spans="1:71" hidden="1" x14ac:dyDescent="0.2">
      <c r="A321" t="s">
        <v>70</v>
      </c>
      <c r="B321" t="s">
        <v>6750</v>
      </c>
      <c r="C321" t="s">
        <v>72</v>
      </c>
      <c r="D321" t="s">
        <v>72</v>
      </c>
      <c r="E321" t="s">
        <v>72</v>
      </c>
      <c r="F321" t="s">
        <v>6750</v>
      </c>
      <c r="G321" t="s">
        <v>72</v>
      </c>
      <c r="H321" t="s">
        <v>72</v>
      </c>
      <c r="I321" t="s">
        <v>6751</v>
      </c>
      <c r="J321" t="s">
        <v>6752</v>
      </c>
      <c r="K321" t="s">
        <v>72</v>
      </c>
      <c r="L321" t="s">
        <v>72</v>
      </c>
      <c r="M321" t="s">
        <v>76</v>
      </c>
      <c r="N321" t="s">
        <v>77</v>
      </c>
      <c r="O321" t="s">
        <v>72</v>
      </c>
      <c r="P321" t="s">
        <v>72</v>
      </c>
      <c r="Q321" t="s">
        <v>72</v>
      </c>
      <c r="R321" t="s">
        <v>72</v>
      </c>
      <c r="S321" t="s">
        <v>72</v>
      </c>
      <c r="T321" t="s">
        <v>72</v>
      </c>
      <c r="U321" t="s">
        <v>6753</v>
      </c>
      <c r="V321" t="s">
        <v>6754</v>
      </c>
      <c r="W321" t="s">
        <v>6755</v>
      </c>
      <c r="X321" t="s">
        <v>6756</v>
      </c>
      <c r="Y321" t="s">
        <v>6757</v>
      </c>
      <c r="Z321" t="s">
        <v>6758</v>
      </c>
      <c r="AA321" t="s">
        <v>72</v>
      </c>
      <c r="AB321" t="s">
        <v>72</v>
      </c>
      <c r="AC321" t="s">
        <v>72</v>
      </c>
      <c r="AD321" t="s">
        <v>72</v>
      </c>
      <c r="AE321" t="s">
        <v>72</v>
      </c>
      <c r="AF321" t="s">
        <v>72</v>
      </c>
      <c r="AG321">
        <v>93</v>
      </c>
      <c r="AH321">
        <v>0</v>
      </c>
      <c r="AI321">
        <v>0</v>
      </c>
      <c r="AJ321">
        <v>0</v>
      </c>
      <c r="AK321">
        <v>0</v>
      </c>
      <c r="AL321" t="s">
        <v>6759</v>
      </c>
      <c r="AM321" t="s">
        <v>6760</v>
      </c>
      <c r="AN321" t="s">
        <v>6761</v>
      </c>
      <c r="AO321" t="s">
        <v>6762</v>
      </c>
      <c r="AP321" t="s">
        <v>72</v>
      </c>
      <c r="AQ321" t="s">
        <v>72</v>
      </c>
      <c r="AR321" t="s">
        <v>6763</v>
      </c>
      <c r="AS321" t="s">
        <v>6764</v>
      </c>
      <c r="AT321" t="s">
        <v>2322</v>
      </c>
      <c r="AU321">
        <v>2004</v>
      </c>
      <c r="AV321">
        <v>25</v>
      </c>
      <c r="AW321">
        <v>1</v>
      </c>
      <c r="AX321" t="s">
        <v>72</v>
      </c>
      <c r="AY321" t="s">
        <v>72</v>
      </c>
      <c r="AZ321" t="s">
        <v>72</v>
      </c>
      <c r="BA321" t="s">
        <v>72</v>
      </c>
      <c r="BB321">
        <v>45</v>
      </c>
      <c r="BC321">
        <v>56</v>
      </c>
      <c r="BD321" t="s">
        <v>72</v>
      </c>
      <c r="BE321" t="s">
        <v>72</v>
      </c>
      <c r="BF321" t="s">
        <v>72</v>
      </c>
      <c r="BG321" t="s">
        <v>72</v>
      </c>
      <c r="BH321" t="s">
        <v>72</v>
      </c>
      <c r="BI321">
        <v>12</v>
      </c>
      <c r="BJ321" t="s">
        <v>2387</v>
      </c>
      <c r="BK321" t="s">
        <v>664</v>
      </c>
      <c r="BL321" t="s">
        <v>6765</v>
      </c>
      <c r="BM321" t="s">
        <v>72</v>
      </c>
      <c r="BN321" t="s">
        <v>72</v>
      </c>
      <c r="BO321" t="s">
        <v>72</v>
      </c>
      <c r="BP321" t="s">
        <v>72</v>
      </c>
      <c r="BQ321" t="s">
        <v>100</v>
      </c>
      <c r="BR321" t="s">
        <v>6766</v>
      </c>
      <c r="BS321" t="str">
        <f>HYPERLINK("https%3A%2F%2Fwww.webofscience.com%2Fwos%2Fwoscc%2Ffull-record%2FWOS:000220410600005","View Full Record in Web of Science")</f>
        <v>View Full Record in Web of Science</v>
      </c>
    </row>
    <row r="322" spans="1:71" hidden="1" x14ac:dyDescent="0.2">
      <c r="A322" t="s">
        <v>305</v>
      </c>
      <c r="B322" t="s">
        <v>6836</v>
      </c>
      <c r="C322" t="s">
        <v>72</v>
      </c>
      <c r="D322" t="s">
        <v>6837</v>
      </c>
      <c r="E322" t="s">
        <v>72</v>
      </c>
      <c r="F322" t="s">
        <v>6838</v>
      </c>
      <c r="G322" t="s">
        <v>72</v>
      </c>
      <c r="H322" t="s">
        <v>72</v>
      </c>
      <c r="I322" t="s">
        <v>6839</v>
      </c>
      <c r="J322" t="s">
        <v>6840</v>
      </c>
      <c r="K322" t="s">
        <v>72</v>
      </c>
      <c r="L322" t="s">
        <v>72</v>
      </c>
      <c r="M322" t="s">
        <v>76</v>
      </c>
      <c r="N322" t="s">
        <v>312</v>
      </c>
      <c r="O322" t="s">
        <v>6841</v>
      </c>
      <c r="P322" t="s">
        <v>6842</v>
      </c>
      <c r="Q322" t="s">
        <v>6843</v>
      </c>
      <c r="R322" t="s">
        <v>6844</v>
      </c>
      <c r="S322" t="s">
        <v>6845</v>
      </c>
      <c r="T322" t="s">
        <v>6846</v>
      </c>
      <c r="U322" t="s">
        <v>6847</v>
      </c>
      <c r="V322" t="s">
        <v>6848</v>
      </c>
      <c r="W322" t="s">
        <v>6849</v>
      </c>
      <c r="X322" t="s">
        <v>6850</v>
      </c>
      <c r="Y322" t="s">
        <v>6851</v>
      </c>
      <c r="Z322" t="s">
        <v>6852</v>
      </c>
      <c r="AA322" t="s">
        <v>72</v>
      </c>
      <c r="AB322" t="s">
        <v>72</v>
      </c>
      <c r="AC322" t="s">
        <v>6853</v>
      </c>
      <c r="AD322" t="s">
        <v>6854</v>
      </c>
      <c r="AE322" t="s">
        <v>6855</v>
      </c>
      <c r="AF322" t="s">
        <v>72</v>
      </c>
      <c r="AG322">
        <v>21</v>
      </c>
      <c r="AH322">
        <v>0</v>
      </c>
      <c r="AI322">
        <v>0</v>
      </c>
      <c r="AJ322">
        <v>0</v>
      </c>
      <c r="AK322">
        <v>1</v>
      </c>
      <c r="AL322" t="s">
        <v>706</v>
      </c>
      <c r="AM322" t="s">
        <v>707</v>
      </c>
      <c r="AN322" t="s">
        <v>708</v>
      </c>
      <c r="AO322" t="s">
        <v>72</v>
      </c>
      <c r="AP322" t="s">
        <v>72</v>
      </c>
      <c r="AQ322" t="s">
        <v>6856</v>
      </c>
      <c r="AR322" t="s">
        <v>72</v>
      </c>
      <c r="AS322" t="s">
        <v>72</v>
      </c>
      <c r="AT322" t="s">
        <v>72</v>
      </c>
      <c r="AU322">
        <v>2019</v>
      </c>
      <c r="AV322" t="s">
        <v>72</v>
      </c>
      <c r="AW322" t="s">
        <v>72</v>
      </c>
      <c r="AX322" t="s">
        <v>72</v>
      </c>
      <c r="AY322" t="s">
        <v>72</v>
      </c>
      <c r="AZ322" t="s">
        <v>72</v>
      </c>
      <c r="BA322" t="s">
        <v>72</v>
      </c>
      <c r="BB322">
        <v>116</v>
      </c>
      <c r="BC322">
        <v>120</v>
      </c>
      <c r="BD322" t="s">
        <v>72</v>
      </c>
      <c r="BE322" t="s">
        <v>6857</v>
      </c>
      <c r="BF322" t="str">
        <f>HYPERLINK("http://dx.doi.org/10.1145/3303772.3303835","http://dx.doi.org/10.1145/3303772.3303835")</f>
        <v>http://dx.doi.org/10.1145/3303772.3303835</v>
      </c>
      <c r="BG322" t="s">
        <v>72</v>
      </c>
      <c r="BH322" t="s">
        <v>72</v>
      </c>
      <c r="BI322">
        <v>5</v>
      </c>
      <c r="BJ322" t="s">
        <v>6607</v>
      </c>
      <c r="BK322" t="s">
        <v>664</v>
      </c>
      <c r="BL322" t="s">
        <v>6858</v>
      </c>
      <c r="BM322" t="s">
        <v>72</v>
      </c>
      <c r="BN322" t="s">
        <v>72</v>
      </c>
      <c r="BO322" t="s">
        <v>72</v>
      </c>
      <c r="BP322" t="s">
        <v>72</v>
      </c>
      <c r="BQ322" t="s">
        <v>100</v>
      </c>
      <c r="BR322" t="s">
        <v>6859</v>
      </c>
      <c r="BS322" t="str">
        <f>HYPERLINK("https%3A%2F%2Fwww.webofscience.com%2Fwos%2Fwoscc%2Ffull-record%2FWOS:000473277300016","View Full Record in Web of Science")</f>
        <v>View Full Record in Web of Science</v>
      </c>
    </row>
    <row r="323" spans="1:71" hidden="1" x14ac:dyDescent="0.2">
      <c r="A323" t="s">
        <v>305</v>
      </c>
      <c r="B323" t="s">
        <v>7075</v>
      </c>
      <c r="C323" t="s">
        <v>72</v>
      </c>
      <c r="D323" t="s">
        <v>7076</v>
      </c>
      <c r="E323" t="s">
        <v>72</v>
      </c>
      <c r="F323" t="s">
        <v>7077</v>
      </c>
      <c r="G323" t="s">
        <v>72</v>
      </c>
      <c r="H323" t="s">
        <v>72</v>
      </c>
      <c r="I323" t="s">
        <v>7078</v>
      </c>
      <c r="J323" t="s">
        <v>7079</v>
      </c>
      <c r="K323" t="s">
        <v>72</v>
      </c>
      <c r="L323" t="s">
        <v>72</v>
      </c>
      <c r="M323" t="s">
        <v>76</v>
      </c>
      <c r="N323" t="s">
        <v>312</v>
      </c>
      <c r="O323" t="s">
        <v>7080</v>
      </c>
      <c r="P323" t="s">
        <v>7081</v>
      </c>
      <c r="Q323" t="s">
        <v>7082</v>
      </c>
      <c r="R323" t="s">
        <v>7083</v>
      </c>
      <c r="S323" t="s">
        <v>72</v>
      </c>
      <c r="T323" t="s">
        <v>72</v>
      </c>
      <c r="U323" t="s">
        <v>7084</v>
      </c>
      <c r="V323" t="s">
        <v>7085</v>
      </c>
      <c r="W323" t="s">
        <v>7086</v>
      </c>
      <c r="X323" t="s">
        <v>5953</v>
      </c>
      <c r="Y323" t="s">
        <v>7087</v>
      </c>
      <c r="Z323" t="s">
        <v>7088</v>
      </c>
      <c r="AA323" t="s">
        <v>72</v>
      </c>
      <c r="AB323" t="s">
        <v>72</v>
      </c>
      <c r="AC323" t="s">
        <v>7089</v>
      </c>
      <c r="AD323" t="s">
        <v>7090</v>
      </c>
      <c r="AE323" t="s">
        <v>7091</v>
      </c>
      <c r="AF323" t="s">
        <v>72</v>
      </c>
      <c r="AG323">
        <v>30</v>
      </c>
      <c r="AH323">
        <v>9</v>
      </c>
      <c r="AI323">
        <v>9</v>
      </c>
      <c r="AJ323">
        <v>0</v>
      </c>
      <c r="AK323">
        <v>1</v>
      </c>
      <c r="AL323" t="s">
        <v>4830</v>
      </c>
      <c r="AM323" t="s">
        <v>4831</v>
      </c>
      <c r="AN323" t="s">
        <v>4832</v>
      </c>
      <c r="AO323" t="s">
        <v>72</v>
      </c>
      <c r="AP323" t="s">
        <v>72</v>
      </c>
      <c r="AQ323" t="s">
        <v>7092</v>
      </c>
      <c r="AR323" t="s">
        <v>72</v>
      </c>
      <c r="AS323" t="s">
        <v>72</v>
      </c>
      <c r="AT323" t="s">
        <v>72</v>
      </c>
      <c r="AU323">
        <v>2016</v>
      </c>
      <c r="AV323" t="s">
        <v>72</v>
      </c>
      <c r="AW323" t="s">
        <v>72</v>
      </c>
      <c r="AX323" t="s">
        <v>72</v>
      </c>
      <c r="AY323" t="s">
        <v>72</v>
      </c>
      <c r="AZ323" t="s">
        <v>72</v>
      </c>
      <c r="BA323" t="s">
        <v>72</v>
      </c>
      <c r="BB323">
        <v>1600</v>
      </c>
      <c r="BC323">
        <v>1609</v>
      </c>
      <c r="BD323" t="s">
        <v>72</v>
      </c>
      <c r="BE323" t="s">
        <v>72</v>
      </c>
      <c r="BF323" t="s">
        <v>72</v>
      </c>
      <c r="BG323" t="s">
        <v>72</v>
      </c>
      <c r="BH323" t="s">
        <v>72</v>
      </c>
      <c r="BI323">
        <v>10</v>
      </c>
      <c r="BJ323" t="s">
        <v>7093</v>
      </c>
      <c r="BK323" t="s">
        <v>664</v>
      </c>
      <c r="BL323" t="s">
        <v>7094</v>
      </c>
      <c r="BM323" t="s">
        <v>72</v>
      </c>
      <c r="BN323" t="s">
        <v>72</v>
      </c>
      <c r="BO323" t="s">
        <v>72</v>
      </c>
      <c r="BP323" t="s">
        <v>72</v>
      </c>
      <c r="BQ323" t="s">
        <v>100</v>
      </c>
      <c r="BR323" t="s">
        <v>7095</v>
      </c>
      <c r="BS323" t="str">
        <f>HYPERLINK("https%3A%2F%2Fwww.webofscience.com%2Fwos%2Fwoscc%2Ffull-record%2FWOS:000493806800151","View Full Record in Web of Science")</f>
        <v>View Full Record in Web of Science</v>
      </c>
    </row>
    <row r="324" spans="1:71" hidden="1" x14ac:dyDescent="0.2">
      <c r="A324" t="s">
        <v>305</v>
      </c>
      <c r="B324" t="s">
        <v>8268</v>
      </c>
      <c r="C324" t="s">
        <v>72</v>
      </c>
      <c r="D324" t="s">
        <v>72</v>
      </c>
      <c r="E324" t="s">
        <v>1102</v>
      </c>
      <c r="F324" t="s">
        <v>8269</v>
      </c>
      <c r="G324" t="s">
        <v>72</v>
      </c>
      <c r="H324" t="s">
        <v>72</v>
      </c>
      <c r="I324" t="s">
        <v>8270</v>
      </c>
      <c r="J324" t="s">
        <v>8271</v>
      </c>
      <c r="K324" t="s">
        <v>72</v>
      </c>
      <c r="L324" t="s">
        <v>72</v>
      </c>
      <c r="M324" t="s">
        <v>76</v>
      </c>
      <c r="N324" t="s">
        <v>312</v>
      </c>
      <c r="O324" t="s">
        <v>8272</v>
      </c>
      <c r="P324" t="s">
        <v>8273</v>
      </c>
      <c r="Q324" t="s">
        <v>8274</v>
      </c>
      <c r="R324" t="s">
        <v>8275</v>
      </c>
      <c r="S324" t="s">
        <v>72</v>
      </c>
      <c r="T324" t="s">
        <v>8276</v>
      </c>
      <c r="U324" t="s">
        <v>72</v>
      </c>
      <c r="V324" t="s">
        <v>8277</v>
      </c>
      <c r="W324" t="s">
        <v>8278</v>
      </c>
      <c r="X324" t="s">
        <v>8279</v>
      </c>
      <c r="Y324" t="s">
        <v>8280</v>
      </c>
      <c r="Z324" t="s">
        <v>8281</v>
      </c>
      <c r="AA324" t="s">
        <v>72</v>
      </c>
      <c r="AB324" t="s">
        <v>72</v>
      </c>
      <c r="AC324" t="s">
        <v>8282</v>
      </c>
      <c r="AD324" t="s">
        <v>8283</v>
      </c>
      <c r="AE324" t="s">
        <v>8284</v>
      </c>
      <c r="AF324" t="s">
        <v>72</v>
      </c>
      <c r="AG324">
        <v>14</v>
      </c>
      <c r="AH324">
        <v>0</v>
      </c>
      <c r="AI324">
        <v>0</v>
      </c>
      <c r="AJ324">
        <v>1</v>
      </c>
      <c r="AK324">
        <v>2</v>
      </c>
      <c r="AL324" t="s">
        <v>4732</v>
      </c>
      <c r="AM324" t="s">
        <v>4733</v>
      </c>
      <c r="AN324" t="s">
        <v>6489</v>
      </c>
      <c r="AO324" t="s">
        <v>72</v>
      </c>
      <c r="AP324" t="s">
        <v>72</v>
      </c>
      <c r="AQ324" t="s">
        <v>8285</v>
      </c>
      <c r="AR324" t="s">
        <v>72</v>
      </c>
      <c r="AS324" t="s">
        <v>72</v>
      </c>
      <c r="AT324" t="s">
        <v>72</v>
      </c>
      <c r="AU324">
        <v>2019</v>
      </c>
      <c r="AV324" t="s">
        <v>72</v>
      </c>
      <c r="AW324" t="s">
        <v>72</v>
      </c>
      <c r="AX324" t="s">
        <v>72</v>
      </c>
      <c r="AY324" t="s">
        <v>72</v>
      </c>
      <c r="AZ324" t="s">
        <v>72</v>
      </c>
      <c r="BA324" t="s">
        <v>72</v>
      </c>
      <c r="BB324">
        <v>296</v>
      </c>
      <c r="BC324">
        <v>299</v>
      </c>
      <c r="BD324" t="s">
        <v>72</v>
      </c>
      <c r="BE324" t="s">
        <v>8286</v>
      </c>
      <c r="BF324" t="str">
        <f>HYPERLINK("http://dx.doi.org/10.1109/QRS-C.2019.00063","http://dx.doi.org/10.1109/QRS-C.2019.00063")</f>
        <v>http://dx.doi.org/10.1109/QRS-C.2019.00063</v>
      </c>
      <c r="BG324" t="s">
        <v>72</v>
      </c>
      <c r="BH324" t="s">
        <v>72</v>
      </c>
      <c r="BI324">
        <v>4</v>
      </c>
      <c r="BJ324" t="s">
        <v>8287</v>
      </c>
      <c r="BK324" t="s">
        <v>664</v>
      </c>
      <c r="BL324" t="s">
        <v>8288</v>
      </c>
      <c r="BM324" t="s">
        <v>72</v>
      </c>
      <c r="BN324" t="s">
        <v>72</v>
      </c>
      <c r="BO324" t="s">
        <v>72</v>
      </c>
      <c r="BP324" t="s">
        <v>72</v>
      </c>
      <c r="BQ324" t="s">
        <v>100</v>
      </c>
      <c r="BR324" t="s">
        <v>8289</v>
      </c>
      <c r="BS324" t="str">
        <f>HYPERLINK("https%3A%2F%2Fwww.webofscience.com%2Fwos%2Fwoscc%2Ffull-record%2FWOS:000587590500049","View Full Record in Web of Science")</f>
        <v>View Full Record in Web of Science</v>
      </c>
    </row>
    <row r="325" spans="1:71" hidden="1" x14ac:dyDescent="0.2">
      <c r="A325" t="s">
        <v>305</v>
      </c>
      <c r="B325" t="s">
        <v>8365</v>
      </c>
      <c r="C325" t="s">
        <v>72</v>
      </c>
      <c r="D325" t="s">
        <v>8366</v>
      </c>
      <c r="E325" t="s">
        <v>72</v>
      </c>
      <c r="F325" t="s">
        <v>8367</v>
      </c>
      <c r="G325" t="s">
        <v>72</v>
      </c>
      <c r="H325" t="s">
        <v>72</v>
      </c>
      <c r="I325" t="s">
        <v>8368</v>
      </c>
      <c r="J325" t="s">
        <v>8369</v>
      </c>
      <c r="K325" t="s">
        <v>72</v>
      </c>
      <c r="L325" t="s">
        <v>72</v>
      </c>
      <c r="M325" t="s">
        <v>76</v>
      </c>
      <c r="N325" t="s">
        <v>312</v>
      </c>
      <c r="O325" t="s">
        <v>8370</v>
      </c>
      <c r="P325" t="s">
        <v>8371</v>
      </c>
      <c r="Q325" t="s">
        <v>8372</v>
      </c>
      <c r="R325" t="s">
        <v>8373</v>
      </c>
      <c r="S325" t="s">
        <v>8374</v>
      </c>
      <c r="T325" t="s">
        <v>8375</v>
      </c>
      <c r="U325" t="s">
        <v>72</v>
      </c>
      <c r="V325" t="s">
        <v>8376</v>
      </c>
      <c r="W325" t="s">
        <v>8377</v>
      </c>
      <c r="X325" t="s">
        <v>8378</v>
      </c>
      <c r="Y325" t="s">
        <v>8379</v>
      </c>
      <c r="Z325" t="s">
        <v>72</v>
      </c>
      <c r="AA325" t="s">
        <v>72</v>
      </c>
      <c r="AB325" t="s">
        <v>72</v>
      </c>
      <c r="AC325" t="s">
        <v>72</v>
      </c>
      <c r="AD325" t="s">
        <v>72</v>
      </c>
      <c r="AE325" t="s">
        <v>72</v>
      </c>
      <c r="AF325" t="s">
        <v>72</v>
      </c>
      <c r="AG325">
        <v>9</v>
      </c>
      <c r="AH325">
        <v>0</v>
      </c>
      <c r="AI325">
        <v>0</v>
      </c>
      <c r="AJ325">
        <v>0</v>
      </c>
      <c r="AK325">
        <v>0</v>
      </c>
      <c r="AL325" t="s">
        <v>8380</v>
      </c>
      <c r="AM325" t="s">
        <v>8381</v>
      </c>
      <c r="AN325" t="s">
        <v>8382</v>
      </c>
      <c r="AO325" t="s">
        <v>72</v>
      </c>
      <c r="AP325" t="s">
        <v>72</v>
      </c>
      <c r="AQ325" t="s">
        <v>8383</v>
      </c>
      <c r="AR325" t="s">
        <v>72</v>
      </c>
      <c r="AS325" t="s">
        <v>72</v>
      </c>
      <c r="AT325" t="s">
        <v>72</v>
      </c>
      <c r="AU325">
        <v>2006</v>
      </c>
      <c r="AV325" t="s">
        <v>72</v>
      </c>
      <c r="AW325" t="s">
        <v>72</v>
      </c>
      <c r="AX325" t="s">
        <v>72</v>
      </c>
      <c r="AY325" t="s">
        <v>72</v>
      </c>
      <c r="AZ325" t="s">
        <v>72</v>
      </c>
      <c r="BA325" t="s">
        <v>72</v>
      </c>
      <c r="BB325">
        <v>34</v>
      </c>
      <c r="BC325">
        <v>38</v>
      </c>
      <c r="BD325" t="s">
        <v>72</v>
      </c>
      <c r="BE325" t="s">
        <v>72</v>
      </c>
      <c r="BF325" t="s">
        <v>72</v>
      </c>
      <c r="BG325" t="s">
        <v>72</v>
      </c>
      <c r="BH325" t="s">
        <v>72</v>
      </c>
      <c r="BI325">
        <v>5</v>
      </c>
      <c r="BJ325" t="s">
        <v>2387</v>
      </c>
      <c r="BK325" t="s">
        <v>664</v>
      </c>
      <c r="BL325" t="s">
        <v>8384</v>
      </c>
      <c r="BM325" t="s">
        <v>72</v>
      </c>
      <c r="BN325" t="s">
        <v>72</v>
      </c>
      <c r="BO325" t="s">
        <v>72</v>
      </c>
      <c r="BP325" t="s">
        <v>72</v>
      </c>
      <c r="BQ325" t="s">
        <v>100</v>
      </c>
      <c r="BR325" t="s">
        <v>8385</v>
      </c>
      <c r="BS325" t="str">
        <f>HYPERLINK("https%3A%2F%2Fwww.webofscience.com%2Fwos%2Fwoscc%2Ffull-record%2FWOS:000245508500006","View Full Record in Web of Science")</f>
        <v>View Full Record in Web of Science</v>
      </c>
    </row>
    <row r="326" spans="1:71" hidden="1" x14ac:dyDescent="0.2">
      <c r="A326" t="s">
        <v>70</v>
      </c>
      <c r="B326" t="s">
        <v>8687</v>
      </c>
      <c r="C326" t="s">
        <v>72</v>
      </c>
      <c r="D326" t="s">
        <v>72</v>
      </c>
      <c r="E326" t="s">
        <v>72</v>
      </c>
      <c r="F326" t="s">
        <v>8688</v>
      </c>
      <c r="G326" t="s">
        <v>72</v>
      </c>
      <c r="H326" t="s">
        <v>72</v>
      </c>
      <c r="I326" t="s">
        <v>8689</v>
      </c>
      <c r="J326" t="s">
        <v>8690</v>
      </c>
      <c r="K326" t="s">
        <v>72</v>
      </c>
      <c r="L326" t="s">
        <v>72</v>
      </c>
      <c r="M326" t="s">
        <v>76</v>
      </c>
      <c r="N326" t="s">
        <v>77</v>
      </c>
      <c r="O326" t="s">
        <v>72</v>
      </c>
      <c r="P326" t="s">
        <v>72</v>
      </c>
      <c r="Q326" t="s">
        <v>72</v>
      </c>
      <c r="R326" t="s">
        <v>72</v>
      </c>
      <c r="S326" t="s">
        <v>72</v>
      </c>
      <c r="T326" t="s">
        <v>8691</v>
      </c>
      <c r="U326" t="s">
        <v>8692</v>
      </c>
      <c r="V326" t="s">
        <v>8693</v>
      </c>
      <c r="W326" t="s">
        <v>8694</v>
      </c>
      <c r="X326" t="s">
        <v>8695</v>
      </c>
      <c r="Y326" t="s">
        <v>8696</v>
      </c>
      <c r="Z326" t="s">
        <v>8697</v>
      </c>
      <c r="AA326" t="s">
        <v>72</v>
      </c>
      <c r="AB326" t="s">
        <v>72</v>
      </c>
      <c r="AC326" t="s">
        <v>8698</v>
      </c>
      <c r="AD326" t="s">
        <v>8699</v>
      </c>
      <c r="AE326" t="s">
        <v>8700</v>
      </c>
      <c r="AF326" t="s">
        <v>72</v>
      </c>
      <c r="AG326">
        <v>20</v>
      </c>
      <c r="AH326">
        <v>0</v>
      </c>
      <c r="AI326">
        <v>0</v>
      </c>
      <c r="AJ326">
        <v>0</v>
      </c>
      <c r="AK326">
        <v>9</v>
      </c>
      <c r="AL326" t="s">
        <v>8701</v>
      </c>
      <c r="AM326" t="s">
        <v>8702</v>
      </c>
      <c r="AN326" t="s">
        <v>8703</v>
      </c>
      <c r="AO326" t="s">
        <v>8704</v>
      </c>
      <c r="AP326" t="s">
        <v>8705</v>
      </c>
      <c r="AQ326" t="s">
        <v>72</v>
      </c>
      <c r="AR326" t="s">
        <v>8706</v>
      </c>
      <c r="AS326" t="s">
        <v>8707</v>
      </c>
      <c r="AT326" t="s">
        <v>929</v>
      </c>
      <c r="AU326">
        <v>2017</v>
      </c>
      <c r="AV326">
        <v>25</v>
      </c>
      <c r="AW326" t="s">
        <v>72</v>
      </c>
      <c r="AX326" t="s">
        <v>72</v>
      </c>
      <c r="AY326">
        <v>2</v>
      </c>
      <c r="AZ326" t="s">
        <v>72</v>
      </c>
      <c r="BA326" t="s">
        <v>72</v>
      </c>
      <c r="BB326">
        <v>129</v>
      </c>
      <c r="BC326">
        <v>149</v>
      </c>
      <c r="BD326" t="s">
        <v>72</v>
      </c>
      <c r="BE326" t="s">
        <v>8708</v>
      </c>
      <c r="BF326" t="str">
        <f>HYPERLINK("http://dx.doi.org/10.1142/S0218488517400153","http://dx.doi.org/10.1142/S0218488517400153")</f>
        <v>http://dx.doi.org/10.1142/S0218488517400153</v>
      </c>
      <c r="BG326" t="s">
        <v>72</v>
      </c>
      <c r="BH326" t="s">
        <v>72</v>
      </c>
      <c r="BI326">
        <v>21</v>
      </c>
      <c r="BJ326" t="s">
        <v>2387</v>
      </c>
      <c r="BK326" t="s">
        <v>664</v>
      </c>
      <c r="BL326" t="s">
        <v>8709</v>
      </c>
      <c r="BM326" t="s">
        <v>72</v>
      </c>
      <c r="BN326" t="s">
        <v>72</v>
      </c>
      <c r="BO326" t="s">
        <v>72</v>
      </c>
      <c r="BP326" t="s">
        <v>72</v>
      </c>
      <c r="BQ326" t="s">
        <v>100</v>
      </c>
      <c r="BR326" t="s">
        <v>8710</v>
      </c>
      <c r="BS326" t="str">
        <f>HYPERLINK("https%3A%2F%2Fwww.webofscience.com%2Fwos%2Fwoscc%2Ffull-record%2FWOS:000418463300009","View Full Record in Web of Science")</f>
        <v>View Full Record in Web of Science</v>
      </c>
    </row>
    <row r="327" spans="1:71" hidden="1" x14ac:dyDescent="0.2">
      <c r="A327" t="s">
        <v>305</v>
      </c>
      <c r="B327" t="s">
        <v>9261</v>
      </c>
      <c r="C327" t="s">
        <v>72</v>
      </c>
      <c r="D327" t="s">
        <v>9262</v>
      </c>
      <c r="E327" t="s">
        <v>72</v>
      </c>
      <c r="F327" t="s">
        <v>9263</v>
      </c>
      <c r="G327" t="s">
        <v>72</v>
      </c>
      <c r="H327" t="s">
        <v>72</v>
      </c>
      <c r="I327" t="s">
        <v>9264</v>
      </c>
      <c r="J327" t="s">
        <v>9265</v>
      </c>
      <c r="K327" t="s">
        <v>4201</v>
      </c>
      <c r="L327" t="s">
        <v>72</v>
      </c>
      <c r="M327" t="s">
        <v>76</v>
      </c>
      <c r="N327" t="s">
        <v>312</v>
      </c>
      <c r="O327" t="s">
        <v>9266</v>
      </c>
      <c r="P327" t="s">
        <v>9267</v>
      </c>
      <c r="Q327" t="s">
        <v>9268</v>
      </c>
      <c r="R327" t="s">
        <v>9269</v>
      </c>
      <c r="S327" t="s">
        <v>72</v>
      </c>
      <c r="T327" t="s">
        <v>9270</v>
      </c>
      <c r="U327" t="s">
        <v>72</v>
      </c>
      <c r="V327" t="s">
        <v>9271</v>
      </c>
      <c r="W327" t="s">
        <v>9272</v>
      </c>
      <c r="X327" t="s">
        <v>9273</v>
      </c>
      <c r="Y327" t="s">
        <v>9274</v>
      </c>
      <c r="Z327" t="s">
        <v>9275</v>
      </c>
      <c r="AA327" t="s">
        <v>72</v>
      </c>
      <c r="AB327" t="s">
        <v>9276</v>
      </c>
      <c r="AC327" t="s">
        <v>9277</v>
      </c>
      <c r="AD327" t="s">
        <v>9278</v>
      </c>
      <c r="AE327" t="s">
        <v>9279</v>
      </c>
      <c r="AF327" t="s">
        <v>72</v>
      </c>
      <c r="AG327">
        <v>23</v>
      </c>
      <c r="AH327">
        <v>2</v>
      </c>
      <c r="AI327">
        <v>2</v>
      </c>
      <c r="AJ327">
        <v>1</v>
      </c>
      <c r="AK327">
        <v>2</v>
      </c>
      <c r="AL327" t="s">
        <v>4212</v>
      </c>
      <c r="AM327" t="s">
        <v>4213</v>
      </c>
      <c r="AN327" t="s">
        <v>4214</v>
      </c>
      <c r="AO327" t="s">
        <v>2900</v>
      </c>
      <c r="AP327" t="s">
        <v>2901</v>
      </c>
      <c r="AQ327" t="s">
        <v>9280</v>
      </c>
      <c r="AR327" t="s">
        <v>4216</v>
      </c>
      <c r="AS327" t="s">
        <v>72</v>
      </c>
      <c r="AT327" t="s">
        <v>72</v>
      </c>
      <c r="AU327">
        <v>2017</v>
      </c>
      <c r="AV327">
        <v>10250</v>
      </c>
      <c r="AW327" t="s">
        <v>72</v>
      </c>
      <c r="AX327" t="s">
        <v>72</v>
      </c>
      <c r="AY327" t="s">
        <v>72</v>
      </c>
      <c r="AZ327" t="s">
        <v>72</v>
      </c>
      <c r="BA327" t="s">
        <v>72</v>
      </c>
      <c r="BB327">
        <v>236</v>
      </c>
      <c r="BC327">
        <v>245</v>
      </c>
      <c r="BD327" t="s">
        <v>72</v>
      </c>
      <c r="BE327" t="s">
        <v>9281</v>
      </c>
      <c r="BF327" t="str">
        <f>HYPERLINK("http://dx.doi.org/10.1007/978-3-319-58451-5_18","http://dx.doi.org/10.1007/978-3-319-58451-5_18")</f>
        <v>http://dx.doi.org/10.1007/978-3-319-58451-5_18</v>
      </c>
      <c r="BG327" t="s">
        <v>72</v>
      </c>
      <c r="BH327" t="s">
        <v>72</v>
      </c>
      <c r="BI327">
        <v>10</v>
      </c>
      <c r="BJ327" t="s">
        <v>5833</v>
      </c>
      <c r="BK327" t="s">
        <v>664</v>
      </c>
      <c r="BL327" t="s">
        <v>9282</v>
      </c>
      <c r="BM327" t="s">
        <v>72</v>
      </c>
      <c r="BN327" t="s">
        <v>72</v>
      </c>
      <c r="BO327" t="s">
        <v>72</v>
      </c>
      <c r="BP327" t="s">
        <v>72</v>
      </c>
      <c r="BQ327" t="s">
        <v>100</v>
      </c>
      <c r="BR327" t="s">
        <v>9283</v>
      </c>
      <c r="BS327" t="str">
        <f>HYPERLINK("https%3A%2F%2Fwww.webofscience.com%2Fwos%2Fwoscc%2Ffull-record%2FWOS:000519107900018","View Full Record in Web of Science")</f>
        <v>View Full Record in Web of Science</v>
      </c>
    </row>
    <row r="328" spans="1:71" hidden="1" x14ac:dyDescent="0.2">
      <c r="A328" t="s">
        <v>305</v>
      </c>
      <c r="B328" t="s">
        <v>9479</v>
      </c>
      <c r="C328" t="s">
        <v>72</v>
      </c>
      <c r="D328" t="s">
        <v>6837</v>
      </c>
      <c r="E328" t="s">
        <v>72</v>
      </c>
      <c r="F328" t="s">
        <v>9480</v>
      </c>
      <c r="G328" t="s">
        <v>72</v>
      </c>
      <c r="H328" t="s">
        <v>72</v>
      </c>
      <c r="I328" t="s">
        <v>9481</v>
      </c>
      <c r="J328" t="s">
        <v>6840</v>
      </c>
      <c r="K328" t="s">
        <v>72</v>
      </c>
      <c r="L328" t="s">
        <v>72</v>
      </c>
      <c r="M328" t="s">
        <v>76</v>
      </c>
      <c r="N328" t="s">
        <v>312</v>
      </c>
      <c r="O328" t="s">
        <v>6841</v>
      </c>
      <c r="P328" t="s">
        <v>6842</v>
      </c>
      <c r="Q328" t="s">
        <v>6843</v>
      </c>
      <c r="R328" t="s">
        <v>6844</v>
      </c>
      <c r="S328" t="s">
        <v>6845</v>
      </c>
      <c r="T328" t="s">
        <v>9482</v>
      </c>
      <c r="U328" t="s">
        <v>72</v>
      </c>
      <c r="V328" t="s">
        <v>9483</v>
      </c>
      <c r="W328" t="s">
        <v>9484</v>
      </c>
      <c r="X328" t="s">
        <v>9485</v>
      </c>
      <c r="Y328" t="s">
        <v>9486</v>
      </c>
      <c r="Z328" t="s">
        <v>9487</v>
      </c>
      <c r="AA328" t="s">
        <v>9488</v>
      </c>
      <c r="AB328" t="s">
        <v>9489</v>
      </c>
      <c r="AC328" t="s">
        <v>9490</v>
      </c>
      <c r="AD328" t="s">
        <v>9491</v>
      </c>
      <c r="AE328" t="s">
        <v>9492</v>
      </c>
      <c r="AF328" t="s">
        <v>72</v>
      </c>
      <c r="AG328">
        <v>26</v>
      </c>
      <c r="AH328">
        <v>23</v>
      </c>
      <c r="AI328">
        <v>23</v>
      </c>
      <c r="AJ328">
        <v>1</v>
      </c>
      <c r="AK328">
        <v>2</v>
      </c>
      <c r="AL328" t="s">
        <v>706</v>
      </c>
      <c r="AM328" t="s">
        <v>707</v>
      </c>
      <c r="AN328" t="s">
        <v>4482</v>
      </c>
      <c r="AO328" t="s">
        <v>72</v>
      </c>
      <c r="AP328" t="s">
        <v>72</v>
      </c>
      <c r="AQ328" t="s">
        <v>6856</v>
      </c>
      <c r="AR328" t="s">
        <v>72</v>
      </c>
      <c r="AS328" t="s">
        <v>72</v>
      </c>
      <c r="AT328" t="s">
        <v>72</v>
      </c>
      <c r="AU328">
        <v>2019</v>
      </c>
      <c r="AV328" t="s">
        <v>72</v>
      </c>
      <c r="AW328" t="s">
        <v>72</v>
      </c>
      <c r="AX328" t="s">
        <v>72</v>
      </c>
      <c r="AY328" t="s">
        <v>72</v>
      </c>
      <c r="AZ328" t="s">
        <v>72</v>
      </c>
      <c r="BA328" t="s">
        <v>72</v>
      </c>
      <c r="BB328">
        <v>170</v>
      </c>
      <c r="BC328">
        <v>179</v>
      </c>
      <c r="BD328" t="s">
        <v>72</v>
      </c>
      <c r="BE328" t="s">
        <v>9493</v>
      </c>
      <c r="BF328" t="str">
        <f>HYPERLINK("http://dx.doi.org/10.1145/3303772.3303779","http://dx.doi.org/10.1145/3303772.3303779")</f>
        <v>http://dx.doi.org/10.1145/3303772.3303779</v>
      </c>
      <c r="BG328" t="s">
        <v>72</v>
      </c>
      <c r="BH328" t="s">
        <v>72</v>
      </c>
      <c r="BI328">
        <v>10</v>
      </c>
      <c r="BJ328" t="s">
        <v>6607</v>
      </c>
      <c r="BK328" t="s">
        <v>664</v>
      </c>
      <c r="BL328" t="s">
        <v>6858</v>
      </c>
      <c r="BM328" t="s">
        <v>72</v>
      </c>
      <c r="BN328" t="s">
        <v>559</v>
      </c>
      <c r="BO328" t="s">
        <v>72</v>
      </c>
      <c r="BP328" t="s">
        <v>72</v>
      </c>
      <c r="BQ328" t="s">
        <v>100</v>
      </c>
      <c r="BR328" t="s">
        <v>9494</v>
      </c>
      <c r="BS328" t="str">
        <f>HYPERLINK("https%3A%2F%2Fwww.webofscience.com%2Fwos%2Fwoscc%2Ffull-record%2FWOS:000473277300023","View Full Record in Web of Science")</f>
        <v>View Full Record in Web of Science</v>
      </c>
    </row>
    <row r="329" spans="1:71" hidden="1" x14ac:dyDescent="0.2">
      <c r="A329" t="s">
        <v>305</v>
      </c>
      <c r="B329" t="s">
        <v>10987</v>
      </c>
      <c r="C329" t="s">
        <v>72</v>
      </c>
      <c r="D329" t="s">
        <v>10988</v>
      </c>
      <c r="E329" t="s">
        <v>72</v>
      </c>
      <c r="F329" t="s">
        <v>10989</v>
      </c>
      <c r="G329" t="s">
        <v>72</v>
      </c>
      <c r="H329" t="s">
        <v>72</v>
      </c>
      <c r="I329" t="s">
        <v>10990</v>
      </c>
      <c r="J329" t="s">
        <v>10991</v>
      </c>
      <c r="K329" t="s">
        <v>6382</v>
      </c>
      <c r="L329" t="s">
        <v>72</v>
      </c>
      <c r="M329" t="s">
        <v>76</v>
      </c>
      <c r="N329" t="s">
        <v>312</v>
      </c>
      <c r="O329" t="s">
        <v>10992</v>
      </c>
      <c r="P329" t="s">
        <v>10993</v>
      </c>
      <c r="Q329" t="s">
        <v>10994</v>
      </c>
      <c r="R329" t="s">
        <v>10995</v>
      </c>
      <c r="S329" t="s">
        <v>10996</v>
      </c>
      <c r="T329" t="s">
        <v>10997</v>
      </c>
      <c r="U329" t="s">
        <v>10998</v>
      </c>
      <c r="V329" t="s">
        <v>10999</v>
      </c>
      <c r="W329" t="s">
        <v>11000</v>
      </c>
      <c r="X329" t="s">
        <v>11001</v>
      </c>
      <c r="Y329" t="s">
        <v>11002</v>
      </c>
      <c r="Z329" t="s">
        <v>11003</v>
      </c>
      <c r="AA329" t="s">
        <v>11004</v>
      </c>
      <c r="AB329" t="s">
        <v>11005</v>
      </c>
      <c r="AC329" t="s">
        <v>11006</v>
      </c>
      <c r="AD329" t="s">
        <v>11007</v>
      </c>
      <c r="AE329" t="s">
        <v>11008</v>
      </c>
      <c r="AF329" t="s">
        <v>72</v>
      </c>
      <c r="AG329">
        <v>19</v>
      </c>
      <c r="AH329">
        <v>0</v>
      </c>
      <c r="AI329">
        <v>0</v>
      </c>
      <c r="AJ329">
        <v>1</v>
      </c>
      <c r="AK329">
        <v>5</v>
      </c>
      <c r="AL329" t="s">
        <v>2898</v>
      </c>
      <c r="AM329" t="s">
        <v>549</v>
      </c>
      <c r="AN329" t="s">
        <v>2899</v>
      </c>
      <c r="AO329" t="s">
        <v>6392</v>
      </c>
      <c r="AP329" t="s">
        <v>72</v>
      </c>
      <c r="AQ329" t="s">
        <v>11009</v>
      </c>
      <c r="AR329" t="s">
        <v>6394</v>
      </c>
      <c r="AS329" t="s">
        <v>72</v>
      </c>
      <c r="AT329" t="s">
        <v>72</v>
      </c>
      <c r="AU329">
        <v>2010</v>
      </c>
      <c r="AV329" t="s">
        <v>72</v>
      </c>
      <c r="AW329" t="s">
        <v>72</v>
      </c>
      <c r="AX329" t="s">
        <v>72</v>
      </c>
      <c r="AY329" t="s">
        <v>72</v>
      </c>
      <c r="AZ329" t="s">
        <v>72</v>
      </c>
      <c r="BA329" t="s">
        <v>72</v>
      </c>
      <c r="BB329">
        <v>723</v>
      </c>
      <c r="BC329" t="s">
        <v>173</v>
      </c>
      <c r="BD329" t="s">
        <v>72</v>
      </c>
      <c r="BE329" t="s">
        <v>11010</v>
      </c>
      <c r="BF329" t="str">
        <f>HYPERLINK("http://dx.doi.org/10.1007/978-3-642-01044-6_66","http://dx.doi.org/10.1007/978-3-642-01044-6_66")</f>
        <v>http://dx.doi.org/10.1007/978-3-642-01044-6_66</v>
      </c>
      <c r="BG329" t="s">
        <v>72</v>
      </c>
      <c r="BH329" t="s">
        <v>72</v>
      </c>
      <c r="BI329">
        <v>3</v>
      </c>
      <c r="BJ329" t="s">
        <v>5065</v>
      </c>
      <c r="BK329" t="s">
        <v>664</v>
      </c>
      <c r="BL329" t="s">
        <v>11011</v>
      </c>
      <c r="BM329" t="s">
        <v>72</v>
      </c>
      <c r="BN329" t="s">
        <v>72</v>
      </c>
      <c r="BO329" t="s">
        <v>72</v>
      </c>
      <c r="BP329" t="s">
        <v>72</v>
      </c>
      <c r="BQ329" t="s">
        <v>100</v>
      </c>
      <c r="BR329" t="s">
        <v>11012</v>
      </c>
      <c r="BS329" t="str">
        <f>HYPERLINK("https%3A%2F%2Fwww.webofscience.com%2Fwos%2Fwoscc%2Ffull-record%2FWOS:000282669800066","View Full Record in Web of Science")</f>
        <v>View Full Record in Web of Science</v>
      </c>
    </row>
    <row r="330" spans="1:71" hidden="1" x14ac:dyDescent="0.2">
      <c r="A330" t="s">
        <v>305</v>
      </c>
      <c r="B330" t="s">
        <v>12179</v>
      </c>
      <c r="C330" t="s">
        <v>72</v>
      </c>
      <c r="D330" t="s">
        <v>12180</v>
      </c>
      <c r="E330" t="s">
        <v>72</v>
      </c>
      <c r="F330" t="s">
        <v>12181</v>
      </c>
      <c r="G330" t="s">
        <v>72</v>
      </c>
      <c r="H330" t="s">
        <v>72</v>
      </c>
      <c r="I330" t="s">
        <v>12182</v>
      </c>
      <c r="J330" t="s">
        <v>12183</v>
      </c>
      <c r="K330" t="s">
        <v>12184</v>
      </c>
      <c r="L330" t="s">
        <v>72</v>
      </c>
      <c r="M330" t="s">
        <v>76</v>
      </c>
      <c r="N330" t="s">
        <v>312</v>
      </c>
      <c r="O330" t="s">
        <v>12185</v>
      </c>
      <c r="P330" t="s">
        <v>12186</v>
      </c>
      <c r="Q330" t="s">
        <v>12187</v>
      </c>
      <c r="R330" t="s">
        <v>12188</v>
      </c>
      <c r="S330" t="s">
        <v>12189</v>
      </c>
      <c r="T330" t="s">
        <v>12190</v>
      </c>
      <c r="U330" t="s">
        <v>12191</v>
      </c>
      <c r="V330" t="s">
        <v>12192</v>
      </c>
      <c r="W330" t="s">
        <v>12193</v>
      </c>
      <c r="X330" t="s">
        <v>12194</v>
      </c>
      <c r="Y330" t="s">
        <v>12195</v>
      </c>
      <c r="Z330" t="s">
        <v>12196</v>
      </c>
      <c r="AA330" t="s">
        <v>12197</v>
      </c>
      <c r="AB330" t="s">
        <v>12198</v>
      </c>
      <c r="AC330" t="s">
        <v>12199</v>
      </c>
      <c r="AD330" t="s">
        <v>12200</v>
      </c>
      <c r="AE330" t="s">
        <v>12201</v>
      </c>
      <c r="AF330" t="s">
        <v>72</v>
      </c>
      <c r="AG330">
        <v>57</v>
      </c>
      <c r="AH330">
        <v>1</v>
      </c>
      <c r="AI330">
        <v>1</v>
      </c>
      <c r="AJ330">
        <v>3</v>
      </c>
      <c r="AK330">
        <v>10</v>
      </c>
      <c r="AL330" t="s">
        <v>4212</v>
      </c>
      <c r="AM330" t="s">
        <v>4213</v>
      </c>
      <c r="AN330" t="s">
        <v>4214</v>
      </c>
      <c r="AO330" t="s">
        <v>12202</v>
      </c>
      <c r="AP330" t="s">
        <v>12203</v>
      </c>
      <c r="AQ330" t="s">
        <v>12204</v>
      </c>
      <c r="AR330" t="s">
        <v>12205</v>
      </c>
      <c r="AS330" t="s">
        <v>72</v>
      </c>
      <c r="AT330" t="s">
        <v>72</v>
      </c>
      <c r="AU330">
        <v>2020</v>
      </c>
      <c r="AV330">
        <v>1068</v>
      </c>
      <c r="AW330" t="s">
        <v>72</v>
      </c>
      <c r="AX330" t="s">
        <v>72</v>
      </c>
      <c r="AY330" t="s">
        <v>72</v>
      </c>
      <c r="AZ330" t="s">
        <v>72</v>
      </c>
      <c r="BA330" t="s">
        <v>72</v>
      </c>
      <c r="BB330">
        <v>89</v>
      </c>
      <c r="BC330">
        <v>101</v>
      </c>
      <c r="BD330" t="s">
        <v>72</v>
      </c>
      <c r="BE330" t="s">
        <v>12206</v>
      </c>
      <c r="BF330" t="str">
        <f>HYPERLINK("http://dx.doi.org/10.1007/978-3-030-31787-4_7","http://dx.doi.org/10.1007/978-3-030-31787-4_7")</f>
        <v>http://dx.doi.org/10.1007/978-3-030-31787-4_7</v>
      </c>
      <c r="BG330" t="s">
        <v>72</v>
      </c>
      <c r="BH330" t="s">
        <v>72</v>
      </c>
      <c r="BI330">
        <v>13</v>
      </c>
      <c r="BJ330" t="s">
        <v>12207</v>
      </c>
      <c r="BK330" t="s">
        <v>664</v>
      </c>
      <c r="BL330" t="s">
        <v>12208</v>
      </c>
      <c r="BM330" t="s">
        <v>72</v>
      </c>
      <c r="BN330" t="s">
        <v>72</v>
      </c>
      <c r="BO330" t="s">
        <v>72</v>
      </c>
      <c r="BP330" t="s">
        <v>72</v>
      </c>
      <c r="BQ330" t="s">
        <v>100</v>
      </c>
      <c r="BR330" t="s">
        <v>12209</v>
      </c>
      <c r="BS330" t="str">
        <f>HYPERLINK("https%3A%2F%2Fwww.webofscience.com%2Fwos%2Fwoscc%2Ffull-record%2FWOS:000648625900007","View Full Record in Web of Science")</f>
        <v>View Full Record in Web of Science</v>
      </c>
    </row>
    <row r="331" spans="1:71" hidden="1" x14ac:dyDescent="0.2">
      <c r="A331" t="s">
        <v>70</v>
      </c>
      <c r="B331" t="s">
        <v>12782</v>
      </c>
      <c r="C331" t="s">
        <v>72</v>
      </c>
      <c r="D331" t="s">
        <v>72</v>
      </c>
      <c r="E331" t="s">
        <v>72</v>
      </c>
      <c r="F331" t="s">
        <v>12783</v>
      </c>
      <c r="G331" t="s">
        <v>72</v>
      </c>
      <c r="H331" t="s">
        <v>72</v>
      </c>
      <c r="I331" t="s">
        <v>12784</v>
      </c>
      <c r="J331" t="s">
        <v>12785</v>
      </c>
      <c r="K331" t="s">
        <v>72</v>
      </c>
      <c r="L331" t="s">
        <v>72</v>
      </c>
      <c r="M331" t="s">
        <v>76</v>
      </c>
      <c r="N331" t="s">
        <v>77</v>
      </c>
      <c r="O331" t="s">
        <v>72</v>
      </c>
      <c r="P331" t="s">
        <v>72</v>
      </c>
      <c r="Q331" t="s">
        <v>72</v>
      </c>
      <c r="R331" t="s">
        <v>72</v>
      </c>
      <c r="S331" t="s">
        <v>72</v>
      </c>
      <c r="T331" t="s">
        <v>12786</v>
      </c>
      <c r="U331" t="s">
        <v>12787</v>
      </c>
      <c r="V331" t="s">
        <v>12788</v>
      </c>
      <c r="W331" t="s">
        <v>12789</v>
      </c>
      <c r="X331" t="s">
        <v>12790</v>
      </c>
      <c r="Y331" t="s">
        <v>12791</v>
      </c>
      <c r="Z331" t="s">
        <v>12792</v>
      </c>
      <c r="AA331" t="s">
        <v>12793</v>
      </c>
      <c r="AB331" t="s">
        <v>12794</v>
      </c>
      <c r="AC331" t="s">
        <v>12795</v>
      </c>
      <c r="AD331" t="s">
        <v>12796</v>
      </c>
      <c r="AE331" t="s">
        <v>72</v>
      </c>
      <c r="AF331" t="s">
        <v>72</v>
      </c>
      <c r="AG331">
        <v>50</v>
      </c>
      <c r="AH331">
        <v>34</v>
      </c>
      <c r="AI331">
        <v>34</v>
      </c>
      <c r="AJ331">
        <v>1</v>
      </c>
      <c r="AK331">
        <v>23</v>
      </c>
      <c r="AL331" t="s">
        <v>88</v>
      </c>
      <c r="AM331" t="s">
        <v>89</v>
      </c>
      <c r="AN331" t="s">
        <v>90</v>
      </c>
      <c r="AO331" t="s">
        <v>12797</v>
      </c>
      <c r="AP331" t="s">
        <v>12798</v>
      </c>
      <c r="AQ331" t="s">
        <v>72</v>
      </c>
      <c r="AR331" t="s">
        <v>12799</v>
      </c>
      <c r="AS331" t="s">
        <v>12800</v>
      </c>
      <c r="AT331" t="s">
        <v>555</v>
      </c>
      <c r="AU331">
        <v>2011</v>
      </c>
      <c r="AV331">
        <v>13</v>
      </c>
      <c r="AW331">
        <v>1</v>
      </c>
      <c r="AX331" t="s">
        <v>72</v>
      </c>
      <c r="AY331" t="s">
        <v>72</v>
      </c>
      <c r="AZ331" t="s">
        <v>72</v>
      </c>
      <c r="BA331" t="s">
        <v>72</v>
      </c>
      <c r="BB331">
        <v>61</v>
      </c>
      <c r="BC331">
        <v>73</v>
      </c>
      <c r="BD331" t="s">
        <v>72</v>
      </c>
      <c r="BE331" t="s">
        <v>12801</v>
      </c>
      <c r="BF331" t="str">
        <f>HYPERLINK("http://dx.doi.org/10.1007/s10796-010-9272-y","http://dx.doi.org/10.1007/s10796-010-9272-y")</f>
        <v>http://dx.doi.org/10.1007/s10796-010-9272-y</v>
      </c>
      <c r="BG331" t="s">
        <v>72</v>
      </c>
      <c r="BH331" t="s">
        <v>72</v>
      </c>
      <c r="BI331">
        <v>13</v>
      </c>
      <c r="BJ331" t="s">
        <v>5065</v>
      </c>
      <c r="BK331" t="s">
        <v>664</v>
      </c>
      <c r="BL331" t="s">
        <v>12802</v>
      </c>
      <c r="BM331" t="s">
        <v>72</v>
      </c>
      <c r="BN331" t="s">
        <v>72</v>
      </c>
      <c r="BO331" t="s">
        <v>72</v>
      </c>
      <c r="BP331" t="s">
        <v>72</v>
      </c>
      <c r="BQ331" t="s">
        <v>100</v>
      </c>
      <c r="BR331" t="s">
        <v>12803</v>
      </c>
      <c r="BS331" t="str">
        <f>HYPERLINK("https%3A%2F%2Fwww.webofscience.com%2Fwos%2Fwoscc%2Ffull-record%2FWOS:000288220000006","View Full Record in Web of Science")</f>
        <v>View Full Record in Web of Science</v>
      </c>
    </row>
    <row r="332" spans="1:71" hidden="1" x14ac:dyDescent="0.2">
      <c r="A332" t="s">
        <v>70</v>
      </c>
      <c r="B332" t="s">
        <v>12997</v>
      </c>
      <c r="C332" t="s">
        <v>72</v>
      </c>
      <c r="D332" t="s">
        <v>72</v>
      </c>
      <c r="E332" t="s">
        <v>72</v>
      </c>
      <c r="F332" t="s">
        <v>12998</v>
      </c>
      <c r="G332" t="s">
        <v>72</v>
      </c>
      <c r="H332" t="s">
        <v>72</v>
      </c>
      <c r="I332" t="s">
        <v>12999</v>
      </c>
      <c r="J332" t="s">
        <v>13000</v>
      </c>
      <c r="K332" t="s">
        <v>72</v>
      </c>
      <c r="L332" t="s">
        <v>72</v>
      </c>
      <c r="M332" t="s">
        <v>76</v>
      </c>
      <c r="N332" t="s">
        <v>77</v>
      </c>
      <c r="O332" t="s">
        <v>72</v>
      </c>
      <c r="P332" t="s">
        <v>72</v>
      </c>
      <c r="Q332" t="s">
        <v>72</v>
      </c>
      <c r="R332" t="s">
        <v>72</v>
      </c>
      <c r="S332" t="s">
        <v>72</v>
      </c>
      <c r="T332" t="s">
        <v>13001</v>
      </c>
      <c r="U332" t="s">
        <v>13002</v>
      </c>
      <c r="V332" t="s">
        <v>13003</v>
      </c>
      <c r="W332" t="s">
        <v>13004</v>
      </c>
      <c r="X332" t="s">
        <v>13005</v>
      </c>
      <c r="Y332" t="s">
        <v>13006</v>
      </c>
      <c r="Z332" t="s">
        <v>13007</v>
      </c>
      <c r="AA332" t="s">
        <v>72</v>
      </c>
      <c r="AB332" t="s">
        <v>13008</v>
      </c>
      <c r="AC332" t="s">
        <v>72</v>
      </c>
      <c r="AD332" t="s">
        <v>72</v>
      </c>
      <c r="AE332" t="s">
        <v>72</v>
      </c>
      <c r="AF332" t="s">
        <v>72</v>
      </c>
      <c r="AG332">
        <v>156</v>
      </c>
      <c r="AH332">
        <v>41</v>
      </c>
      <c r="AI332">
        <v>41</v>
      </c>
      <c r="AJ332">
        <v>0</v>
      </c>
      <c r="AK332">
        <v>15</v>
      </c>
      <c r="AL332" t="s">
        <v>88</v>
      </c>
      <c r="AM332" t="s">
        <v>707</v>
      </c>
      <c r="AN332" t="s">
        <v>1987</v>
      </c>
      <c r="AO332" t="s">
        <v>13009</v>
      </c>
      <c r="AP332" t="s">
        <v>13010</v>
      </c>
      <c r="AQ332" t="s">
        <v>72</v>
      </c>
      <c r="AR332" t="s">
        <v>13011</v>
      </c>
      <c r="AS332" t="s">
        <v>13012</v>
      </c>
      <c r="AT332" t="s">
        <v>197</v>
      </c>
      <c r="AU332">
        <v>2019</v>
      </c>
      <c r="AV332">
        <v>29</v>
      </c>
      <c r="AW332">
        <v>2</v>
      </c>
      <c r="AX332" t="s">
        <v>72</v>
      </c>
      <c r="AY332" t="s">
        <v>72</v>
      </c>
      <c r="AZ332" t="s">
        <v>72</v>
      </c>
      <c r="BA332" t="s">
        <v>72</v>
      </c>
      <c r="BB332">
        <v>217</v>
      </c>
      <c r="BC332">
        <v>257</v>
      </c>
      <c r="BD332" t="s">
        <v>72</v>
      </c>
      <c r="BE332" t="s">
        <v>13013</v>
      </c>
      <c r="BF332" t="str">
        <f>HYPERLINK("http://dx.doi.org/10.1007/s40593-019-00174-2","http://dx.doi.org/10.1007/s40593-019-00174-2")</f>
        <v>http://dx.doi.org/10.1007/s40593-019-00174-2</v>
      </c>
      <c r="BG332" t="s">
        <v>72</v>
      </c>
      <c r="BH332" t="s">
        <v>72</v>
      </c>
      <c r="BI332">
        <v>41</v>
      </c>
      <c r="BJ332" t="s">
        <v>3949</v>
      </c>
      <c r="BK332" t="s">
        <v>664</v>
      </c>
      <c r="BL332" t="s">
        <v>13014</v>
      </c>
      <c r="BM332" t="s">
        <v>72</v>
      </c>
      <c r="BN332" t="s">
        <v>6375</v>
      </c>
      <c r="BO332" t="s">
        <v>72</v>
      </c>
      <c r="BP332" t="s">
        <v>72</v>
      </c>
      <c r="BQ332" t="s">
        <v>100</v>
      </c>
      <c r="BR332" t="s">
        <v>13015</v>
      </c>
      <c r="BS332" t="str">
        <f>HYPERLINK("https%3A%2F%2Fwww.webofscience.com%2Fwos%2Fwoscc%2Ffull-record%2FWOS:000466970500003","View Full Record in Web of Science")</f>
        <v>View Full Record in Web of Science</v>
      </c>
    </row>
    <row r="333" spans="1:71" hidden="1" x14ac:dyDescent="0.2">
      <c r="A333" t="s">
        <v>70</v>
      </c>
      <c r="B333" t="s">
        <v>13118</v>
      </c>
      <c r="C333" t="s">
        <v>72</v>
      </c>
      <c r="D333" t="s">
        <v>72</v>
      </c>
      <c r="E333" t="s">
        <v>72</v>
      </c>
      <c r="F333" t="s">
        <v>13119</v>
      </c>
      <c r="G333" t="s">
        <v>72</v>
      </c>
      <c r="H333" t="s">
        <v>72</v>
      </c>
      <c r="I333" t="s">
        <v>13120</v>
      </c>
      <c r="J333" t="s">
        <v>13000</v>
      </c>
      <c r="K333" t="s">
        <v>72</v>
      </c>
      <c r="L333" t="s">
        <v>72</v>
      </c>
      <c r="M333" t="s">
        <v>76</v>
      </c>
      <c r="N333" t="s">
        <v>77</v>
      </c>
      <c r="O333" t="s">
        <v>72</v>
      </c>
      <c r="P333" t="s">
        <v>72</v>
      </c>
      <c r="Q333" t="s">
        <v>72</v>
      </c>
      <c r="R333" t="s">
        <v>72</v>
      </c>
      <c r="S333" t="s">
        <v>72</v>
      </c>
      <c r="T333" t="s">
        <v>13121</v>
      </c>
      <c r="U333" t="s">
        <v>13122</v>
      </c>
      <c r="V333" t="s">
        <v>13123</v>
      </c>
      <c r="W333" t="s">
        <v>13124</v>
      </c>
      <c r="X333" t="s">
        <v>13125</v>
      </c>
      <c r="Y333" t="s">
        <v>13126</v>
      </c>
      <c r="Z333" t="s">
        <v>13127</v>
      </c>
      <c r="AA333" t="s">
        <v>72</v>
      </c>
      <c r="AB333" t="s">
        <v>13128</v>
      </c>
      <c r="AC333" t="s">
        <v>13129</v>
      </c>
      <c r="AD333" t="s">
        <v>13130</v>
      </c>
      <c r="AE333" t="s">
        <v>13131</v>
      </c>
      <c r="AF333" t="s">
        <v>72</v>
      </c>
      <c r="AG333">
        <v>96</v>
      </c>
      <c r="AH333">
        <v>9</v>
      </c>
      <c r="AI333">
        <v>9</v>
      </c>
      <c r="AJ333">
        <v>0</v>
      </c>
      <c r="AK333">
        <v>3</v>
      </c>
      <c r="AL333" t="s">
        <v>88</v>
      </c>
      <c r="AM333" t="s">
        <v>707</v>
      </c>
      <c r="AN333" t="s">
        <v>1987</v>
      </c>
      <c r="AO333" t="s">
        <v>13009</v>
      </c>
      <c r="AP333" t="s">
        <v>13010</v>
      </c>
      <c r="AQ333" t="s">
        <v>72</v>
      </c>
      <c r="AR333" t="s">
        <v>13011</v>
      </c>
      <c r="AS333" t="s">
        <v>13012</v>
      </c>
      <c r="AT333" t="s">
        <v>555</v>
      </c>
      <c r="AU333">
        <v>2018</v>
      </c>
      <c r="AV333">
        <v>28</v>
      </c>
      <c r="AW333">
        <v>1</v>
      </c>
      <c r="AX333">
        <v>2</v>
      </c>
      <c r="AY333" t="s">
        <v>72</v>
      </c>
      <c r="AZ333" t="s">
        <v>478</v>
      </c>
      <c r="BA333" t="s">
        <v>72</v>
      </c>
      <c r="BB333">
        <v>29</v>
      </c>
      <c r="BC333">
        <v>55</v>
      </c>
      <c r="BD333" t="s">
        <v>72</v>
      </c>
      <c r="BE333" t="s">
        <v>13132</v>
      </c>
      <c r="BF333" t="str">
        <f>HYPERLINK("http://dx.doi.org/10.1007/s40593-016-0128-6","http://dx.doi.org/10.1007/s40593-016-0128-6")</f>
        <v>http://dx.doi.org/10.1007/s40593-016-0128-6</v>
      </c>
      <c r="BG333" t="s">
        <v>72</v>
      </c>
      <c r="BH333" t="s">
        <v>72</v>
      </c>
      <c r="BI333">
        <v>27</v>
      </c>
      <c r="BJ333" t="s">
        <v>3949</v>
      </c>
      <c r="BK333" t="s">
        <v>664</v>
      </c>
      <c r="BL333" t="s">
        <v>13133</v>
      </c>
      <c r="BM333" t="s">
        <v>72</v>
      </c>
      <c r="BN333" t="s">
        <v>72</v>
      </c>
      <c r="BO333" t="s">
        <v>72</v>
      </c>
      <c r="BP333" t="s">
        <v>72</v>
      </c>
      <c r="BQ333" t="s">
        <v>100</v>
      </c>
      <c r="BR333" t="s">
        <v>13134</v>
      </c>
      <c r="BS333" t="str">
        <f>HYPERLINK("https%3A%2F%2Fwww.webofscience.com%2Fwos%2Fwoscc%2Ffull-record%2FWOS:000426838100002","View Full Record in Web of Science")</f>
        <v>View Full Record in Web of Science</v>
      </c>
    </row>
    <row r="334" spans="1:71" hidden="1" x14ac:dyDescent="0.2">
      <c r="A334" t="s">
        <v>305</v>
      </c>
      <c r="B334" t="s">
        <v>13262</v>
      </c>
      <c r="C334" t="s">
        <v>72</v>
      </c>
      <c r="D334" t="s">
        <v>72</v>
      </c>
      <c r="E334" t="s">
        <v>1102</v>
      </c>
      <c r="F334" t="s">
        <v>13263</v>
      </c>
      <c r="G334" t="s">
        <v>72</v>
      </c>
      <c r="H334" t="s">
        <v>72</v>
      </c>
      <c r="I334" t="s">
        <v>13264</v>
      </c>
      <c r="J334" t="s">
        <v>13265</v>
      </c>
      <c r="K334" t="s">
        <v>13266</v>
      </c>
      <c r="L334" t="s">
        <v>72</v>
      </c>
      <c r="M334" t="s">
        <v>76</v>
      </c>
      <c r="N334" t="s">
        <v>312</v>
      </c>
      <c r="O334" t="s">
        <v>13267</v>
      </c>
      <c r="P334" t="s">
        <v>6500</v>
      </c>
      <c r="Q334" t="s">
        <v>4204</v>
      </c>
      <c r="R334" t="s">
        <v>1102</v>
      </c>
      <c r="S334" t="s">
        <v>72</v>
      </c>
      <c r="T334" t="s">
        <v>13268</v>
      </c>
      <c r="U334" t="s">
        <v>72</v>
      </c>
      <c r="V334" t="s">
        <v>13269</v>
      </c>
      <c r="W334" t="s">
        <v>13270</v>
      </c>
      <c r="X334" t="s">
        <v>13271</v>
      </c>
      <c r="Y334" t="s">
        <v>13272</v>
      </c>
      <c r="Z334" t="s">
        <v>13273</v>
      </c>
      <c r="AA334" t="s">
        <v>72</v>
      </c>
      <c r="AB334" t="s">
        <v>13274</v>
      </c>
      <c r="AC334" t="s">
        <v>13275</v>
      </c>
      <c r="AD334" t="s">
        <v>13276</v>
      </c>
      <c r="AE334" t="s">
        <v>13277</v>
      </c>
      <c r="AF334" t="s">
        <v>72</v>
      </c>
      <c r="AG334">
        <v>24</v>
      </c>
      <c r="AH334">
        <v>2</v>
      </c>
      <c r="AI334">
        <v>2</v>
      </c>
      <c r="AJ334">
        <v>0</v>
      </c>
      <c r="AK334">
        <v>0</v>
      </c>
      <c r="AL334" t="s">
        <v>1102</v>
      </c>
      <c r="AM334" t="s">
        <v>707</v>
      </c>
      <c r="AN334" t="s">
        <v>1121</v>
      </c>
      <c r="AO334" t="s">
        <v>13278</v>
      </c>
      <c r="AP334" t="s">
        <v>72</v>
      </c>
      <c r="AQ334" t="s">
        <v>13279</v>
      </c>
      <c r="AR334" t="s">
        <v>13280</v>
      </c>
      <c r="AS334" t="s">
        <v>72</v>
      </c>
      <c r="AT334" t="s">
        <v>72</v>
      </c>
      <c r="AU334">
        <v>2020</v>
      </c>
      <c r="AV334" t="s">
        <v>72</v>
      </c>
      <c r="AW334" t="s">
        <v>72</v>
      </c>
      <c r="AX334" t="s">
        <v>72</v>
      </c>
      <c r="AY334" t="s">
        <v>72</v>
      </c>
      <c r="AZ334" t="s">
        <v>72</v>
      </c>
      <c r="BA334" t="s">
        <v>72</v>
      </c>
      <c r="BB334" t="s">
        <v>72</v>
      </c>
      <c r="BC334" t="s">
        <v>72</v>
      </c>
      <c r="BD334" t="s">
        <v>72</v>
      </c>
      <c r="BE334" t="s">
        <v>72</v>
      </c>
      <c r="BF334" t="s">
        <v>72</v>
      </c>
      <c r="BG334" t="s">
        <v>72</v>
      </c>
      <c r="BH334" t="s">
        <v>72</v>
      </c>
      <c r="BI334">
        <v>7</v>
      </c>
      <c r="BJ334" t="s">
        <v>5065</v>
      </c>
      <c r="BK334" t="s">
        <v>664</v>
      </c>
      <c r="BL334" t="s">
        <v>13281</v>
      </c>
      <c r="BM334" t="s">
        <v>72</v>
      </c>
      <c r="BN334" t="s">
        <v>72</v>
      </c>
      <c r="BO334" t="s">
        <v>72</v>
      </c>
      <c r="BP334" t="s">
        <v>72</v>
      </c>
      <c r="BQ334" t="s">
        <v>100</v>
      </c>
      <c r="BR334" t="s">
        <v>13282</v>
      </c>
      <c r="BS334" t="str">
        <f>HYPERLINK("https%3A%2F%2Fwww.webofscience.com%2Fwos%2Fwoscc%2Ffull-record%2FWOS:000698977000084","View Full Record in Web of Science")</f>
        <v>View Full Record in Web of Science</v>
      </c>
    </row>
    <row r="335" spans="1:71" hidden="1" x14ac:dyDescent="0.2">
      <c r="A335" t="s">
        <v>305</v>
      </c>
      <c r="B335" t="s">
        <v>13283</v>
      </c>
      <c r="C335" t="s">
        <v>72</v>
      </c>
      <c r="D335" t="s">
        <v>13284</v>
      </c>
      <c r="E335" t="s">
        <v>72</v>
      </c>
      <c r="F335" t="s">
        <v>13285</v>
      </c>
      <c r="G335" t="s">
        <v>72</v>
      </c>
      <c r="H335" t="s">
        <v>72</v>
      </c>
      <c r="I335" t="s">
        <v>13286</v>
      </c>
      <c r="J335" t="s">
        <v>13287</v>
      </c>
      <c r="K335" t="s">
        <v>4201</v>
      </c>
      <c r="L335" t="s">
        <v>72</v>
      </c>
      <c r="M335" t="s">
        <v>76</v>
      </c>
      <c r="N335" t="s">
        <v>312</v>
      </c>
      <c r="O335" t="s">
        <v>13288</v>
      </c>
      <c r="P335" t="s">
        <v>13289</v>
      </c>
      <c r="Q335" t="s">
        <v>13290</v>
      </c>
      <c r="R335" t="s">
        <v>13291</v>
      </c>
      <c r="S335" t="s">
        <v>72</v>
      </c>
      <c r="T335" t="s">
        <v>13292</v>
      </c>
      <c r="U335" t="s">
        <v>13293</v>
      </c>
      <c r="V335" t="s">
        <v>13294</v>
      </c>
      <c r="W335" t="s">
        <v>13295</v>
      </c>
      <c r="X335" t="s">
        <v>13296</v>
      </c>
      <c r="Y335" t="s">
        <v>13297</v>
      </c>
      <c r="Z335" t="s">
        <v>13298</v>
      </c>
      <c r="AA335" t="s">
        <v>72</v>
      </c>
      <c r="AB335" t="s">
        <v>72</v>
      </c>
      <c r="AC335" t="s">
        <v>13299</v>
      </c>
      <c r="AD335" t="s">
        <v>13300</v>
      </c>
      <c r="AE335" t="s">
        <v>13301</v>
      </c>
      <c r="AF335" t="s">
        <v>72</v>
      </c>
      <c r="AG335">
        <v>14</v>
      </c>
      <c r="AH335">
        <v>2</v>
      </c>
      <c r="AI335">
        <v>2</v>
      </c>
      <c r="AJ335">
        <v>0</v>
      </c>
      <c r="AK335">
        <v>1</v>
      </c>
      <c r="AL335" t="s">
        <v>2898</v>
      </c>
      <c r="AM335" t="s">
        <v>549</v>
      </c>
      <c r="AN335" t="s">
        <v>2899</v>
      </c>
      <c r="AO335" t="s">
        <v>2900</v>
      </c>
      <c r="AP335" t="s">
        <v>2901</v>
      </c>
      <c r="AQ335" t="s">
        <v>13302</v>
      </c>
      <c r="AR335" t="s">
        <v>4216</v>
      </c>
      <c r="AS335" t="s">
        <v>72</v>
      </c>
      <c r="AT335" t="s">
        <v>72</v>
      </c>
      <c r="AU335">
        <v>2007</v>
      </c>
      <c r="AV335">
        <v>4443</v>
      </c>
      <c r="AW335" t="s">
        <v>72</v>
      </c>
      <c r="AX335" t="s">
        <v>72</v>
      </c>
      <c r="AY335" t="s">
        <v>72</v>
      </c>
      <c r="AZ335" t="s">
        <v>72</v>
      </c>
      <c r="BA335" t="s">
        <v>72</v>
      </c>
      <c r="BB335">
        <v>472</v>
      </c>
      <c r="BC335" t="s">
        <v>173</v>
      </c>
      <c r="BD335" t="s">
        <v>72</v>
      </c>
      <c r="BE335" t="s">
        <v>72</v>
      </c>
      <c r="BF335" t="s">
        <v>72</v>
      </c>
      <c r="BG335" t="s">
        <v>72</v>
      </c>
      <c r="BH335" t="s">
        <v>72</v>
      </c>
      <c r="BI335">
        <v>3</v>
      </c>
      <c r="BJ335" t="s">
        <v>13303</v>
      </c>
      <c r="BK335" t="s">
        <v>664</v>
      </c>
      <c r="BL335" t="s">
        <v>13304</v>
      </c>
      <c r="BM335" t="s">
        <v>72</v>
      </c>
      <c r="BN335" t="s">
        <v>72</v>
      </c>
      <c r="BO335" t="s">
        <v>72</v>
      </c>
      <c r="BP335" t="s">
        <v>72</v>
      </c>
      <c r="BQ335" t="s">
        <v>100</v>
      </c>
      <c r="BR335" t="s">
        <v>13305</v>
      </c>
      <c r="BS335" t="str">
        <f>HYPERLINK("https%3A%2F%2Fwww.webofscience.com%2Fwos%2Fwoscc%2Ffull-record%2FWOS:000246173300041","View Full Record in Web of Science")</f>
        <v>View Full Record in Web of Science</v>
      </c>
    </row>
    <row r="336" spans="1:71" hidden="1" x14ac:dyDescent="0.2">
      <c r="A336" t="s">
        <v>305</v>
      </c>
      <c r="B336" t="s">
        <v>13496</v>
      </c>
      <c r="C336" t="s">
        <v>72</v>
      </c>
      <c r="D336" t="s">
        <v>13497</v>
      </c>
      <c r="E336" t="s">
        <v>72</v>
      </c>
      <c r="F336" t="s">
        <v>13498</v>
      </c>
      <c r="G336" t="s">
        <v>72</v>
      </c>
      <c r="H336" t="s">
        <v>72</v>
      </c>
      <c r="I336" t="s">
        <v>13499</v>
      </c>
      <c r="J336" t="s">
        <v>13500</v>
      </c>
      <c r="K336" t="s">
        <v>4201</v>
      </c>
      <c r="L336" t="s">
        <v>72</v>
      </c>
      <c r="M336" t="s">
        <v>76</v>
      </c>
      <c r="N336" t="s">
        <v>312</v>
      </c>
      <c r="O336" t="s">
        <v>13501</v>
      </c>
      <c r="P336" t="s">
        <v>13502</v>
      </c>
      <c r="Q336" t="s">
        <v>6867</v>
      </c>
      <c r="R336" t="s">
        <v>13503</v>
      </c>
      <c r="S336" t="s">
        <v>72</v>
      </c>
      <c r="T336" t="s">
        <v>13504</v>
      </c>
      <c r="U336" t="s">
        <v>72</v>
      </c>
      <c r="V336" t="s">
        <v>13505</v>
      </c>
      <c r="W336" t="s">
        <v>13506</v>
      </c>
      <c r="X336" t="s">
        <v>13507</v>
      </c>
      <c r="Y336" t="s">
        <v>13508</v>
      </c>
      <c r="Z336" t="s">
        <v>13509</v>
      </c>
      <c r="AA336" t="s">
        <v>13510</v>
      </c>
      <c r="AB336" t="s">
        <v>13511</v>
      </c>
      <c r="AC336" t="s">
        <v>72</v>
      </c>
      <c r="AD336" t="s">
        <v>72</v>
      </c>
      <c r="AE336" t="s">
        <v>72</v>
      </c>
      <c r="AF336" t="s">
        <v>72</v>
      </c>
      <c r="AG336">
        <v>0</v>
      </c>
      <c r="AH336">
        <v>0</v>
      </c>
      <c r="AI336">
        <v>0</v>
      </c>
      <c r="AJ336">
        <v>1</v>
      </c>
      <c r="AK336">
        <v>4</v>
      </c>
      <c r="AL336" t="s">
        <v>4212</v>
      </c>
      <c r="AM336" t="s">
        <v>4213</v>
      </c>
      <c r="AN336" t="s">
        <v>4214</v>
      </c>
      <c r="AO336" t="s">
        <v>2900</v>
      </c>
      <c r="AP336" t="s">
        <v>2901</v>
      </c>
      <c r="AQ336" t="s">
        <v>13512</v>
      </c>
      <c r="AR336" t="s">
        <v>4216</v>
      </c>
      <c r="AS336" t="s">
        <v>72</v>
      </c>
      <c r="AT336" t="s">
        <v>72</v>
      </c>
      <c r="AU336">
        <v>2018</v>
      </c>
      <c r="AV336">
        <v>10858</v>
      </c>
      <c r="AW336" t="s">
        <v>72</v>
      </c>
      <c r="AX336" t="s">
        <v>72</v>
      </c>
      <c r="AY336" t="s">
        <v>72</v>
      </c>
      <c r="AZ336" t="s">
        <v>72</v>
      </c>
      <c r="BA336" t="s">
        <v>72</v>
      </c>
      <c r="BB336">
        <v>510</v>
      </c>
      <c r="BC336">
        <v>510</v>
      </c>
      <c r="BD336" t="s">
        <v>72</v>
      </c>
      <c r="BE336" t="s">
        <v>72</v>
      </c>
      <c r="BF336" t="s">
        <v>72</v>
      </c>
      <c r="BG336" t="s">
        <v>72</v>
      </c>
      <c r="BH336" t="s">
        <v>72</v>
      </c>
      <c r="BI336">
        <v>1</v>
      </c>
      <c r="BJ336" t="s">
        <v>13513</v>
      </c>
      <c r="BK336" t="s">
        <v>664</v>
      </c>
      <c r="BL336" t="s">
        <v>13514</v>
      </c>
      <c r="BM336" t="s">
        <v>72</v>
      </c>
      <c r="BN336" t="s">
        <v>72</v>
      </c>
      <c r="BO336" t="s">
        <v>72</v>
      </c>
      <c r="BP336" t="s">
        <v>72</v>
      </c>
      <c r="BQ336" t="s">
        <v>100</v>
      </c>
      <c r="BR336" t="s">
        <v>13515</v>
      </c>
      <c r="BS336" t="str">
        <f>HYPERLINK("https%3A%2F%2Fwww.webofscience.com%2Fwos%2Fwoscc%2Ffull-record%2FWOS:000449671300077","View Full Record in Web of Science")</f>
        <v>View Full Record in Web of Science</v>
      </c>
    </row>
    <row r="337" spans="1:71" hidden="1" x14ac:dyDescent="0.2">
      <c r="A337" t="s">
        <v>305</v>
      </c>
      <c r="B337" t="s">
        <v>13813</v>
      </c>
      <c r="C337" t="s">
        <v>72</v>
      </c>
      <c r="D337" t="s">
        <v>72</v>
      </c>
      <c r="E337" t="s">
        <v>1102</v>
      </c>
      <c r="F337" t="s">
        <v>13814</v>
      </c>
      <c r="G337" t="s">
        <v>72</v>
      </c>
      <c r="H337" t="s">
        <v>72</v>
      </c>
      <c r="I337" t="s">
        <v>13815</v>
      </c>
      <c r="J337" t="s">
        <v>13816</v>
      </c>
      <c r="K337" t="s">
        <v>72</v>
      </c>
      <c r="L337" t="s">
        <v>72</v>
      </c>
      <c r="M337" t="s">
        <v>76</v>
      </c>
      <c r="N337" t="s">
        <v>312</v>
      </c>
      <c r="O337" t="s">
        <v>13817</v>
      </c>
      <c r="P337" t="s">
        <v>13818</v>
      </c>
      <c r="Q337" t="s">
        <v>13819</v>
      </c>
      <c r="R337" t="s">
        <v>72</v>
      </c>
      <c r="S337" t="s">
        <v>72</v>
      </c>
      <c r="T337" t="s">
        <v>72</v>
      </c>
      <c r="U337" t="s">
        <v>10528</v>
      </c>
      <c r="V337" t="s">
        <v>13820</v>
      </c>
      <c r="W337" t="s">
        <v>13821</v>
      </c>
      <c r="X337" t="s">
        <v>13822</v>
      </c>
      <c r="Y337" t="s">
        <v>13823</v>
      </c>
      <c r="Z337" t="s">
        <v>72</v>
      </c>
      <c r="AA337" t="s">
        <v>72</v>
      </c>
      <c r="AB337" t="s">
        <v>72</v>
      </c>
      <c r="AC337" t="s">
        <v>72</v>
      </c>
      <c r="AD337" t="s">
        <v>72</v>
      </c>
      <c r="AE337" t="s">
        <v>72</v>
      </c>
      <c r="AF337" t="s">
        <v>72</v>
      </c>
      <c r="AG337">
        <v>23</v>
      </c>
      <c r="AH337">
        <v>0</v>
      </c>
      <c r="AI337">
        <v>0</v>
      </c>
      <c r="AJ337">
        <v>0</v>
      </c>
      <c r="AK337">
        <v>1</v>
      </c>
      <c r="AL337" t="s">
        <v>1102</v>
      </c>
      <c r="AM337" t="s">
        <v>707</v>
      </c>
      <c r="AN337" t="s">
        <v>1121</v>
      </c>
      <c r="AO337" t="s">
        <v>72</v>
      </c>
      <c r="AP337" t="s">
        <v>72</v>
      </c>
      <c r="AQ337" t="s">
        <v>13824</v>
      </c>
      <c r="AR337" t="s">
        <v>72</v>
      </c>
      <c r="AS337" t="s">
        <v>72</v>
      </c>
      <c r="AT337" t="s">
        <v>72</v>
      </c>
      <c r="AU337">
        <v>2019</v>
      </c>
      <c r="AV337" t="s">
        <v>72</v>
      </c>
      <c r="AW337" t="s">
        <v>72</v>
      </c>
      <c r="AX337" t="s">
        <v>72</v>
      </c>
      <c r="AY337" t="s">
        <v>72</v>
      </c>
      <c r="AZ337" t="s">
        <v>72</v>
      </c>
      <c r="BA337" t="s">
        <v>72</v>
      </c>
      <c r="BB337">
        <v>182</v>
      </c>
      <c r="BC337">
        <v>185</v>
      </c>
      <c r="BD337" t="s">
        <v>72</v>
      </c>
      <c r="BE337" t="s">
        <v>72</v>
      </c>
      <c r="BF337" t="s">
        <v>72</v>
      </c>
      <c r="BG337" t="s">
        <v>72</v>
      </c>
      <c r="BH337" t="s">
        <v>72</v>
      </c>
      <c r="BI337">
        <v>4</v>
      </c>
      <c r="BJ337" t="s">
        <v>13825</v>
      </c>
      <c r="BK337" t="s">
        <v>664</v>
      </c>
      <c r="BL337" t="s">
        <v>13826</v>
      </c>
      <c r="BM337" t="s">
        <v>72</v>
      </c>
      <c r="BN337" t="s">
        <v>72</v>
      </c>
      <c r="BO337" t="s">
        <v>72</v>
      </c>
      <c r="BP337" t="s">
        <v>72</v>
      </c>
      <c r="BQ337" t="s">
        <v>100</v>
      </c>
      <c r="BR337" t="s">
        <v>13827</v>
      </c>
      <c r="BS337" t="str">
        <f>HYPERLINK("https%3A%2F%2Fwww.webofscience.com%2Fwos%2Fwoscc%2Ffull-record%2FWOS:000794297900038","View Full Record in Web of Science")</f>
        <v>View Full Record in Web of Science</v>
      </c>
    </row>
    <row r="338" spans="1:71" hidden="1" x14ac:dyDescent="0.2">
      <c r="A338" t="s">
        <v>70</v>
      </c>
      <c r="B338" t="s">
        <v>13900</v>
      </c>
      <c r="C338" t="s">
        <v>72</v>
      </c>
      <c r="D338" t="s">
        <v>72</v>
      </c>
      <c r="E338" t="s">
        <v>72</v>
      </c>
      <c r="F338" t="s">
        <v>13901</v>
      </c>
      <c r="G338" t="s">
        <v>72</v>
      </c>
      <c r="H338" t="s">
        <v>72</v>
      </c>
      <c r="I338" t="s">
        <v>13902</v>
      </c>
      <c r="J338" t="s">
        <v>13903</v>
      </c>
      <c r="K338" t="s">
        <v>72</v>
      </c>
      <c r="L338" t="s">
        <v>72</v>
      </c>
      <c r="M338" t="s">
        <v>76</v>
      </c>
      <c r="N338" t="s">
        <v>1503</v>
      </c>
      <c r="O338" t="s">
        <v>72</v>
      </c>
      <c r="P338" t="s">
        <v>72</v>
      </c>
      <c r="Q338" t="s">
        <v>72</v>
      </c>
      <c r="R338" t="s">
        <v>72</v>
      </c>
      <c r="S338" t="s">
        <v>72</v>
      </c>
      <c r="T338" t="s">
        <v>13904</v>
      </c>
      <c r="U338" t="s">
        <v>13905</v>
      </c>
      <c r="V338" t="s">
        <v>13906</v>
      </c>
      <c r="W338" t="s">
        <v>13907</v>
      </c>
      <c r="X338" t="s">
        <v>13908</v>
      </c>
      <c r="Y338" t="s">
        <v>13909</v>
      </c>
      <c r="Z338" t="s">
        <v>72</v>
      </c>
      <c r="AA338" t="s">
        <v>72</v>
      </c>
      <c r="AB338" t="s">
        <v>72</v>
      </c>
      <c r="AC338" t="s">
        <v>13910</v>
      </c>
      <c r="AD338" t="s">
        <v>13911</v>
      </c>
      <c r="AE338" t="s">
        <v>13912</v>
      </c>
      <c r="AF338" t="s">
        <v>72</v>
      </c>
      <c r="AG338">
        <v>21</v>
      </c>
      <c r="AH338">
        <v>0</v>
      </c>
      <c r="AI338">
        <v>0</v>
      </c>
      <c r="AJ338">
        <v>3</v>
      </c>
      <c r="AK338">
        <v>4</v>
      </c>
      <c r="AL338" t="s">
        <v>13913</v>
      </c>
      <c r="AM338" t="s">
        <v>13914</v>
      </c>
      <c r="AN338" t="s">
        <v>13915</v>
      </c>
      <c r="AO338" t="s">
        <v>13916</v>
      </c>
      <c r="AP338" t="s">
        <v>13917</v>
      </c>
      <c r="AQ338" t="s">
        <v>72</v>
      </c>
      <c r="AR338" t="s">
        <v>13918</v>
      </c>
      <c r="AS338" t="s">
        <v>13919</v>
      </c>
      <c r="AT338" t="s">
        <v>247</v>
      </c>
      <c r="AU338">
        <v>2022</v>
      </c>
      <c r="AV338">
        <v>13</v>
      </c>
      <c r="AW338">
        <v>1</v>
      </c>
      <c r="AX338" t="s">
        <v>72</v>
      </c>
      <c r="AY338" t="s">
        <v>72</v>
      </c>
      <c r="AZ338" t="s">
        <v>72</v>
      </c>
      <c r="BA338" t="s">
        <v>72</v>
      </c>
      <c r="BB338">
        <v>385</v>
      </c>
      <c r="BC338">
        <v>394</v>
      </c>
      <c r="BD338" t="s">
        <v>72</v>
      </c>
      <c r="BE338" t="s">
        <v>72</v>
      </c>
      <c r="BF338" t="s">
        <v>72</v>
      </c>
      <c r="BG338" t="s">
        <v>72</v>
      </c>
      <c r="BH338" t="s">
        <v>72</v>
      </c>
      <c r="BI338">
        <v>10</v>
      </c>
      <c r="BJ338" t="s">
        <v>6607</v>
      </c>
      <c r="BK338" t="s">
        <v>664</v>
      </c>
      <c r="BL338" t="s">
        <v>13920</v>
      </c>
      <c r="BM338" t="s">
        <v>72</v>
      </c>
      <c r="BN338" t="s">
        <v>72</v>
      </c>
      <c r="BO338" t="s">
        <v>72</v>
      </c>
      <c r="BP338" t="s">
        <v>72</v>
      </c>
      <c r="BQ338" t="s">
        <v>100</v>
      </c>
      <c r="BR338" t="s">
        <v>13921</v>
      </c>
      <c r="BS338" t="str">
        <f>HYPERLINK("https%3A%2F%2Fwww.webofscience.com%2Fwos%2Fwoscc%2Ffull-record%2FWOS:000754704400001","View Full Record in Web of Science")</f>
        <v>View Full Record in Web of Science</v>
      </c>
    </row>
    <row r="339" spans="1:71" hidden="1" x14ac:dyDescent="0.2">
      <c r="A339" t="s">
        <v>305</v>
      </c>
      <c r="B339" t="s">
        <v>14130</v>
      </c>
      <c r="C339" t="s">
        <v>72</v>
      </c>
      <c r="D339" t="s">
        <v>14131</v>
      </c>
      <c r="E339" t="s">
        <v>72</v>
      </c>
      <c r="F339" t="s">
        <v>14132</v>
      </c>
      <c r="G339" t="s">
        <v>72</v>
      </c>
      <c r="H339" t="s">
        <v>72</v>
      </c>
      <c r="I339" t="s">
        <v>14133</v>
      </c>
      <c r="J339" t="s">
        <v>14134</v>
      </c>
      <c r="K339" t="s">
        <v>14135</v>
      </c>
      <c r="L339" t="s">
        <v>72</v>
      </c>
      <c r="M339" t="s">
        <v>76</v>
      </c>
      <c r="N339" t="s">
        <v>312</v>
      </c>
      <c r="O339" t="s">
        <v>14136</v>
      </c>
      <c r="P339" t="s">
        <v>14137</v>
      </c>
      <c r="Q339" t="s">
        <v>10789</v>
      </c>
      <c r="R339" t="s">
        <v>14138</v>
      </c>
      <c r="S339" t="s">
        <v>72</v>
      </c>
      <c r="T339" t="s">
        <v>14139</v>
      </c>
      <c r="U339" t="s">
        <v>14140</v>
      </c>
      <c r="V339" t="s">
        <v>14141</v>
      </c>
      <c r="W339" t="s">
        <v>14142</v>
      </c>
      <c r="X339" t="s">
        <v>14143</v>
      </c>
      <c r="Y339" t="s">
        <v>14144</v>
      </c>
      <c r="Z339" t="s">
        <v>14145</v>
      </c>
      <c r="AA339" t="s">
        <v>14146</v>
      </c>
      <c r="AB339" t="s">
        <v>14147</v>
      </c>
      <c r="AC339" t="s">
        <v>72</v>
      </c>
      <c r="AD339" t="s">
        <v>72</v>
      </c>
      <c r="AE339" t="s">
        <v>72</v>
      </c>
      <c r="AF339" t="s">
        <v>72</v>
      </c>
      <c r="AG339">
        <v>24</v>
      </c>
      <c r="AH339">
        <v>2</v>
      </c>
      <c r="AI339">
        <v>2</v>
      </c>
      <c r="AJ339">
        <v>0</v>
      </c>
      <c r="AK339">
        <v>3</v>
      </c>
      <c r="AL339" t="s">
        <v>1102</v>
      </c>
      <c r="AM339" t="s">
        <v>707</v>
      </c>
      <c r="AN339" t="s">
        <v>1121</v>
      </c>
      <c r="AO339" t="s">
        <v>14148</v>
      </c>
      <c r="AP339" t="s">
        <v>72</v>
      </c>
      <c r="AQ339" t="s">
        <v>14149</v>
      </c>
      <c r="AR339" t="s">
        <v>14150</v>
      </c>
      <c r="AS339" t="s">
        <v>72</v>
      </c>
      <c r="AT339" t="s">
        <v>72</v>
      </c>
      <c r="AU339">
        <v>2017</v>
      </c>
      <c r="AV339" t="s">
        <v>72</v>
      </c>
      <c r="AW339" t="s">
        <v>72</v>
      </c>
      <c r="AX339" t="s">
        <v>72</v>
      </c>
      <c r="AY339" t="s">
        <v>72</v>
      </c>
      <c r="AZ339" t="s">
        <v>72</v>
      </c>
      <c r="BA339" t="s">
        <v>72</v>
      </c>
      <c r="BB339">
        <v>866</v>
      </c>
      <c r="BC339">
        <v>871</v>
      </c>
      <c r="BD339" t="s">
        <v>72</v>
      </c>
      <c r="BE339" t="s">
        <v>14151</v>
      </c>
      <c r="BF339" t="str">
        <f>HYPERLINK("http://dx.doi.org/10.1109/ICDMW.2017.118","http://dx.doi.org/10.1109/ICDMW.2017.118")</f>
        <v>http://dx.doi.org/10.1109/ICDMW.2017.118</v>
      </c>
      <c r="BG339" t="s">
        <v>72</v>
      </c>
      <c r="BH339" t="s">
        <v>72</v>
      </c>
      <c r="BI339">
        <v>6</v>
      </c>
      <c r="BJ339" t="s">
        <v>5065</v>
      </c>
      <c r="BK339" t="s">
        <v>664</v>
      </c>
      <c r="BL339" t="s">
        <v>14152</v>
      </c>
      <c r="BM339" t="s">
        <v>72</v>
      </c>
      <c r="BN339" t="s">
        <v>72</v>
      </c>
      <c r="BO339" t="s">
        <v>72</v>
      </c>
      <c r="BP339" t="s">
        <v>72</v>
      </c>
      <c r="BQ339" t="s">
        <v>100</v>
      </c>
      <c r="BR339" t="s">
        <v>14153</v>
      </c>
      <c r="BS339" t="str">
        <f>HYPERLINK("https%3A%2F%2Fwww.webofscience.com%2Fwos%2Fwoscc%2Ffull-record%2FWOS:000425845700115","View Full Record in Web of Science")</f>
        <v>View Full Record in Web of Science</v>
      </c>
    </row>
    <row r="340" spans="1:71" hidden="1" x14ac:dyDescent="0.2">
      <c r="A340" t="s">
        <v>70</v>
      </c>
      <c r="B340" t="s">
        <v>14224</v>
      </c>
      <c r="C340" t="s">
        <v>72</v>
      </c>
      <c r="D340" t="s">
        <v>72</v>
      </c>
      <c r="E340" t="s">
        <v>72</v>
      </c>
      <c r="F340" t="s">
        <v>14225</v>
      </c>
      <c r="G340" t="s">
        <v>72</v>
      </c>
      <c r="H340" t="s">
        <v>72</v>
      </c>
      <c r="I340" t="s">
        <v>14226</v>
      </c>
      <c r="J340" t="s">
        <v>14227</v>
      </c>
      <c r="K340" t="s">
        <v>72</v>
      </c>
      <c r="L340" t="s">
        <v>72</v>
      </c>
      <c r="M340" t="s">
        <v>76</v>
      </c>
      <c r="N340" t="s">
        <v>77</v>
      </c>
      <c r="O340" t="s">
        <v>72</v>
      </c>
      <c r="P340" t="s">
        <v>72</v>
      </c>
      <c r="Q340" t="s">
        <v>72</v>
      </c>
      <c r="R340" t="s">
        <v>72</v>
      </c>
      <c r="S340" t="s">
        <v>72</v>
      </c>
      <c r="T340" t="s">
        <v>14228</v>
      </c>
      <c r="U340" t="s">
        <v>72</v>
      </c>
      <c r="V340" t="s">
        <v>14229</v>
      </c>
      <c r="W340" t="s">
        <v>14230</v>
      </c>
      <c r="X340" t="s">
        <v>14231</v>
      </c>
      <c r="Y340" t="s">
        <v>14232</v>
      </c>
      <c r="Z340" t="s">
        <v>14233</v>
      </c>
      <c r="AA340" t="s">
        <v>72</v>
      </c>
      <c r="AB340" t="s">
        <v>14234</v>
      </c>
      <c r="AC340" t="s">
        <v>14235</v>
      </c>
      <c r="AD340" t="s">
        <v>14236</v>
      </c>
      <c r="AE340" t="s">
        <v>14237</v>
      </c>
      <c r="AF340" t="s">
        <v>72</v>
      </c>
      <c r="AG340">
        <v>36</v>
      </c>
      <c r="AH340">
        <v>17</v>
      </c>
      <c r="AI340">
        <v>17</v>
      </c>
      <c r="AJ340">
        <v>0</v>
      </c>
      <c r="AK340">
        <v>29</v>
      </c>
      <c r="AL340" t="s">
        <v>706</v>
      </c>
      <c r="AM340" t="s">
        <v>707</v>
      </c>
      <c r="AN340" t="s">
        <v>14238</v>
      </c>
      <c r="AO340" t="s">
        <v>14239</v>
      </c>
      <c r="AP340" t="s">
        <v>14240</v>
      </c>
      <c r="AQ340" t="s">
        <v>72</v>
      </c>
      <c r="AR340" t="s">
        <v>14241</v>
      </c>
      <c r="AS340" t="s">
        <v>14242</v>
      </c>
      <c r="AT340" t="s">
        <v>197</v>
      </c>
      <c r="AU340">
        <v>2016</v>
      </c>
      <c r="AV340">
        <v>34</v>
      </c>
      <c r="AW340">
        <v>3</v>
      </c>
      <c r="AX340" t="s">
        <v>72</v>
      </c>
      <c r="AY340" t="s">
        <v>72</v>
      </c>
      <c r="AZ340" t="s">
        <v>478</v>
      </c>
      <c r="BA340" t="s">
        <v>72</v>
      </c>
      <c r="BB340" t="s">
        <v>72</v>
      </c>
      <c r="BC340" t="s">
        <v>72</v>
      </c>
      <c r="BD340">
        <v>16</v>
      </c>
      <c r="BE340" t="s">
        <v>14243</v>
      </c>
      <c r="BF340" t="str">
        <f>HYPERLINK("http://dx.doi.org/10.1145/2842604","http://dx.doi.org/10.1145/2842604")</f>
        <v>http://dx.doi.org/10.1145/2842604</v>
      </c>
      <c r="BG340" t="s">
        <v>72</v>
      </c>
      <c r="BH340" t="s">
        <v>72</v>
      </c>
      <c r="BI340">
        <v>26</v>
      </c>
      <c r="BJ340" t="s">
        <v>3907</v>
      </c>
      <c r="BK340" t="s">
        <v>664</v>
      </c>
      <c r="BL340" t="s">
        <v>14244</v>
      </c>
      <c r="BM340" t="s">
        <v>72</v>
      </c>
      <c r="BN340" t="s">
        <v>559</v>
      </c>
      <c r="BO340" t="s">
        <v>72</v>
      </c>
      <c r="BP340" t="s">
        <v>72</v>
      </c>
      <c r="BQ340" t="s">
        <v>100</v>
      </c>
      <c r="BR340" t="s">
        <v>14245</v>
      </c>
      <c r="BS340" t="str">
        <f>HYPERLINK("https%3A%2F%2Fwww.webofscience.com%2Fwos%2Fwoscc%2Ffull-record%2FWOS:000375568800003","View Full Record in Web of Science")</f>
        <v>View Full Record in Web of Science</v>
      </c>
    </row>
    <row r="341" spans="1:71" hidden="1" x14ac:dyDescent="0.2">
      <c r="A341" t="s">
        <v>70</v>
      </c>
      <c r="B341" t="s">
        <v>16009</v>
      </c>
      <c r="C341" t="s">
        <v>72</v>
      </c>
      <c r="D341" t="s">
        <v>72</v>
      </c>
      <c r="E341" t="s">
        <v>72</v>
      </c>
      <c r="F341" t="s">
        <v>16010</v>
      </c>
      <c r="G341" t="s">
        <v>72</v>
      </c>
      <c r="H341" t="s">
        <v>72</v>
      </c>
      <c r="I341" t="s">
        <v>16011</v>
      </c>
      <c r="J341" t="s">
        <v>16012</v>
      </c>
      <c r="K341" t="s">
        <v>72</v>
      </c>
      <c r="L341" t="s">
        <v>72</v>
      </c>
      <c r="M341" t="s">
        <v>76</v>
      </c>
      <c r="N341" t="s">
        <v>77</v>
      </c>
      <c r="O341" t="s">
        <v>72</v>
      </c>
      <c r="P341" t="s">
        <v>72</v>
      </c>
      <c r="Q341" t="s">
        <v>72</v>
      </c>
      <c r="R341" t="s">
        <v>72</v>
      </c>
      <c r="S341" t="s">
        <v>72</v>
      </c>
      <c r="T341" t="s">
        <v>16013</v>
      </c>
      <c r="U341" t="s">
        <v>72</v>
      </c>
      <c r="V341" t="s">
        <v>16014</v>
      </c>
      <c r="W341" t="s">
        <v>16015</v>
      </c>
      <c r="X341" t="s">
        <v>16016</v>
      </c>
      <c r="Y341" t="s">
        <v>16017</v>
      </c>
      <c r="Z341" t="s">
        <v>72</v>
      </c>
      <c r="AA341" t="s">
        <v>16018</v>
      </c>
      <c r="AB341" t="s">
        <v>16019</v>
      </c>
      <c r="AC341" t="s">
        <v>72</v>
      </c>
      <c r="AD341" t="s">
        <v>72</v>
      </c>
      <c r="AE341" t="s">
        <v>72</v>
      </c>
      <c r="AF341" t="s">
        <v>72</v>
      </c>
      <c r="AG341">
        <v>14</v>
      </c>
      <c r="AH341">
        <v>1</v>
      </c>
      <c r="AI341">
        <v>1</v>
      </c>
      <c r="AJ341">
        <v>0</v>
      </c>
      <c r="AK341">
        <v>0</v>
      </c>
      <c r="AL341" t="s">
        <v>16020</v>
      </c>
      <c r="AM341" t="s">
        <v>16021</v>
      </c>
      <c r="AN341" t="s">
        <v>16022</v>
      </c>
      <c r="AO341" t="s">
        <v>16023</v>
      </c>
      <c r="AP341" t="s">
        <v>16024</v>
      </c>
      <c r="AQ341" t="s">
        <v>72</v>
      </c>
      <c r="AR341" t="s">
        <v>16025</v>
      </c>
      <c r="AS341" t="s">
        <v>16026</v>
      </c>
      <c r="AT341" t="s">
        <v>72</v>
      </c>
      <c r="AU341">
        <v>2018</v>
      </c>
      <c r="AV341" t="s">
        <v>72</v>
      </c>
      <c r="AW341">
        <v>3</v>
      </c>
      <c r="AX341" t="s">
        <v>72</v>
      </c>
      <c r="AY341" t="s">
        <v>72</v>
      </c>
      <c r="AZ341" t="s">
        <v>72</v>
      </c>
      <c r="BA341" t="s">
        <v>72</v>
      </c>
      <c r="BB341">
        <v>128</v>
      </c>
      <c r="BC341">
        <v>134</v>
      </c>
      <c r="BD341" t="s">
        <v>72</v>
      </c>
      <c r="BE341" t="s">
        <v>16027</v>
      </c>
      <c r="BF341" t="str">
        <f>HYPERLINK("http://dx.doi.org/10.15588/1607-3274-2018-3-14","http://dx.doi.org/10.15588/1607-3274-2018-3-14")</f>
        <v>http://dx.doi.org/10.15588/1607-3274-2018-3-14</v>
      </c>
      <c r="BG341" t="s">
        <v>72</v>
      </c>
      <c r="BH341" t="s">
        <v>72</v>
      </c>
      <c r="BI341">
        <v>7</v>
      </c>
      <c r="BJ341" t="s">
        <v>16028</v>
      </c>
      <c r="BK341" t="s">
        <v>664</v>
      </c>
      <c r="BL341" t="s">
        <v>16029</v>
      </c>
      <c r="BM341" t="s">
        <v>72</v>
      </c>
      <c r="BN341" t="s">
        <v>222</v>
      </c>
      <c r="BO341" t="s">
        <v>72</v>
      </c>
      <c r="BP341" t="s">
        <v>72</v>
      </c>
      <c r="BQ341" t="s">
        <v>100</v>
      </c>
      <c r="BR341" t="s">
        <v>16030</v>
      </c>
      <c r="BS341" t="str">
        <f>HYPERLINK("https%3A%2F%2Fwww.webofscience.com%2Fwos%2Fwoscc%2Ffull-record%2FWOS:000452513500014","View Full Record in Web of Science")</f>
        <v>View Full Record in Web of Science</v>
      </c>
    </row>
    <row r="342" spans="1:71" hidden="1" x14ac:dyDescent="0.2">
      <c r="A342" t="s">
        <v>305</v>
      </c>
      <c r="B342" t="s">
        <v>13828</v>
      </c>
      <c r="C342" t="s">
        <v>72</v>
      </c>
      <c r="D342" t="s">
        <v>16250</v>
      </c>
      <c r="E342" t="s">
        <v>72</v>
      </c>
      <c r="F342" t="s">
        <v>13830</v>
      </c>
      <c r="G342" t="s">
        <v>72</v>
      </c>
      <c r="H342" t="s">
        <v>72</v>
      </c>
      <c r="I342" t="s">
        <v>16251</v>
      </c>
      <c r="J342" t="s">
        <v>3845</v>
      </c>
      <c r="K342" t="s">
        <v>3846</v>
      </c>
      <c r="L342" t="s">
        <v>72</v>
      </c>
      <c r="M342" t="s">
        <v>76</v>
      </c>
      <c r="N342" t="s">
        <v>312</v>
      </c>
      <c r="O342" t="s">
        <v>16252</v>
      </c>
      <c r="P342" t="s">
        <v>16253</v>
      </c>
      <c r="Q342" t="s">
        <v>16254</v>
      </c>
      <c r="R342" t="s">
        <v>16255</v>
      </c>
      <c r="S342" t="s">
        <v>16256</v>
      </c>
      <c r="T342" t="s">
        <v>16257</v>
      </c>
      <c r="U342" t="s">
        <v>72</v>
      </c>
      <c r="V342" t="s">
        <v>16258</v>
      </c>
      <c r="W342" t="s">
        <v>16259</v>
      </c>
      <c r="X342" t="s">
        <v>13840</v>
      </c>
      <c r="Y342" t="s">
        <v>13841</v>
      </c>
      <c r="Z342" t="s">
        <v>13842</v>
      </c>
      <c r="AA342" t="s">
        <v>5136</v>
      </c>
      <c r="AB342" t="s">
        <v>5137</v>
      </c>
      <c r="AC342" t="s">
        <v>16260</v>
      </c>
      <c r="AD342" t="s">
        <v>16260</v>
      </c>
      <c r="AE342" t="s">
        <v>16261</v>
      </c>
      <c r="AF342" t="s">
        <v>72</v>
      </c>
      <c r="AG342">
        <v>10</v>
      </c>
      <c r="AH342">
        <v>3</v>
      </c>
      <c r="AI342">
        <v>4</v>
      </c>
      <c r="AJ342">
        <v>0</v>
      </c>
      <c r="AK342">
        <v>3</v>
      </c>
      <c r="AL342" t="s">
        <v>3859</v>
      </c>
      <c r="AM342" t="s">
        <v>168</v>
      </c>
      <c r="AN342" t="s">
        <v>3860</v>
      </c>
      <c r="AO342" t="s">
        <v>3861</v>
      </c>
      <c r="AP342" t="s">
        <v>3862</v>
      </c>
      <c r="AQ342" t="s">
        <v>16262</v>
      </c>
      <c r="AR342" t="s">
        <v>3864</v>
      </c>
      <c r="AS342" t="s">
        <v>72</v>
      </c>
      <c r="AT342" t="s">
        <v>72</v>
      </c>
      <c r="AU342">
        <v>2016</v>
      </c>
      <c r="AV342">
        <v>294</v>
      </c>
      <c r="AW342" t="s">
        <v>72</v>
      </c>
      <c r="AX342" t="s">
        <v>72</v>
      </c>
      <c r="AY342" t="s">
        <v>72</v>
      </c>
      <c r="AZ342" t="s">
        <v>72</v>
      </c>
      <c r="BA342" t="s">
        <v>72</v>
      </c>
      <c r="BB342">
        <v>119</v>
      </c>
      <c r="BC342">
        <v>124</v>
      </c>
      <c r="BD342" t="s">
        <v>72</v>
      </c>
      <c r="BE342" t="s">
        <v>16263</v>
      </c>
      <c r="BF342" t="str">
        <f>HYPERLINK("http://dx.doi.org/10.3233/978-1-61499-726-9-119","http://dx.doi.org/10.3233/978-1-61499-726-9-119")</f>
        <v>http://dx.doi.org/10.3233/978-1-61499-726-9-119</v>
      </c>
      <c r="BG342" t="s">
        <v>72</v>
      </c>
      <c r="BH342" t="s">
        <v>72</v>
      </c>
      <c r="BI342">
        <v>6</v>
      </c>
      <c r="BJ342" t="s">
        <v>2387</v>
      </c>
      <c r="BK342" t="s">
        <v>664</v>
      </c>
      <c r="BL342" t="s">
        <v>16264</v>
      </c>
      <c r="BM342" t="s">
        <v>72</v>
      </c>
      <c r="BN342" t="s">
        <v>72</v>
      </c>
      <c r="BO342" t="s">
        <v>72</v>
      </c>
      <c r="BP342" t="s">
        <v>72</v>
      </c>
      <c r="BQ342" t="s">
        <v>100</v>
      </c>
      <c r="BR342" t="s">
        <v>16265</v>
      </c>
      <c r="BS342" t="str">
        <f>HYPERLINK("https%3A%2F%2Fwww.webofscience.com%2Fwos%2Fwoscc%2Ffull-record%2FWOS:000401230900013","View Full Record in Web of Science")</f>
        <v>View Full Record in Web of Science</v>
      </c>
    </row>
    <row r="343" spans="1:71" hidden="1" x14ac:dyDescent="0.2">
      <c r="A343" t="s">
        <v>305</v>
      </c>
      <c r="B343" t="s">
        <v>16283</v>
      </c>
      <c r="C343" t="s">
        <v>72</v>
      </c>
      <c r="D343" t="s">
        <v>16284</v>
      </c>
      <c r="E343" t="s">
        <v>72</v>
      </c>
      <c r="F343" t="s">
        <v>16285</v>
      </c>
      <c r="G343" t="s">
        <v>72</v>
      </c>
      <c r="H343" t="s">
        <v>72</v>
      </c>
      <c r="I343" t="s">
        <v>16286</v>
      </c>
      <c r="J343" t="s">
        <v>16287</v>
      </c>
      <c r="K343" t="s">
        <v>16288</v>
      </c>
      <c r="L343" t="s">
        <v>72</v>
      </c>
      <c r="M343" t="s">
        <v>76</v>
      </c>
      <c r="N343" t="s">
        <v>312</v>
      </c>
      <c r="O343" t="s">
        <v>16289</v>
      </c>
      <c r="P343" t="s">
        <v>16290</v>
      </c>
      <c r="Q343" t="s">
        <v>16291</v>
      </c>
      <c r="R343" t="s">
        <v>16292</v>
      </c>
      <c r="S343" t="s">
        <v>72</v>
      </c>
      <c r="T343" t="s">
        <v>16293</v>
      </c>
      <c r="U343" t="s">
        <v>72</v>
      </c>
      <c r="V343" t="s">
        <v>16294</v>
      </c>
      <c r="W343" t="s">
        <v>16295</v>
      </c>
      <c r="X343" t="s">
        <v>16296</v>
      </c>
      <c r="Y343" t="s">
        <v>16297</v>
      </c>
      <c r="Z343" t="s">
        <v>16298</v>
      </c>
      <c r="AA343" t="s">
        <v>72</v>
      </c>
      <c r="AB343" t="s">
        <v>16299</v>
      </c>
      <c r="AC343" t="s">
        <v>72</v>
      </c>
      <c r="AD343" t="s">
        <v>72</v>
      </c>
      <c r="AE343" t="s">
        <v>72</v>
      </c>
      <c r="AF343" t="s">
        <v>72</v>
      </c>
      <c r="AG343">
        <v>37</v>
      </c>
      <c r="AH343">
        <v>0</v>
      </c>
      <c r="AI343">
        <v>0</v>
      </c>
      <c r="AJ343">
        <v>0</v>
      </c>
      <c r="AK343">
        <v>0</v>
      </c>
      <c r="AL343" t="s">
        <v>16300</v>
      </c>
      <c r="AM343" t="s">
        <v>16301</v>
      </c>
      <c r="AN343" t="s">
        <v>16302</v>
      </c>
      <c r="AO343" t="s">
        <v>16303</v>
      </c>
      <c r="AP343" t="s">
        <v>72</v>
      </c>
      <c r="AQ343" t="s">
        <v>72</v>
      </c>
      <c r="AR343" t="s">
        <v>16304</v>
      </c>
      <c r="AS343" t="s">
        <v>72</v>
      </c>
      <c r="AT343" t="s">
        <v>72</v>
      </c>
      <c r="AU343">
        <v>2020</v>
      </c>
      <c r="AV343">
        <v>2604</v>
      </c>
      <c r="AW343" t="s">
        <v>72</v>
      </c>
      <c r="AX343" t="s">
        <v>72</v>
      </c>
      <c r="AY343" t="s">
        <v>72</v>
      </c>
      <c r="AZ343" t="s">
        <v>72</v>
      </c>
      <c r="BA343" t="s">
        <v>72</v>
      </c>
      <c r="BB343" t="s">
        <v>72</v>
      </c>
      <c r="BC343" t="s">
        <v>72</v>
      </c>
      <c r="BD343" t="s">
        <v>72</v>
      </c>
      <c r="BE343" t="s">
        <v>72</v>
      </c>
      <c r="BF343" t="s">
        <v>72</v>
      </c>
      <c r="BG343" t="s">
        <v>72</v>
      </c>
      <c r="BH343" t="s">
        <v>72</v>
      </c>
      <c r="BI343">
        <v>22</v>
      </c>
      <c r="BJ343" t="s">
        <v>663</v>
      </c>
      <c r="BK343" t="s">
        <v>664</v>
      </c>
      <c r="BL343" t="s">
        <v>16305</v>
      </c>
      <c r="BM343" t="s">
        <v>72</v>
      </c>
      <c r="BN343" t="s">
        <v>72</v>
      </c>
      <c r="BO343" t="s">
        <v>72</v>
      </c>
      <c r="BP343" t="s">
        <v>72</v>
      </c>
      <c r="BQ343" t="s">
        <v>100</v>
      </c>
      <c r="BR343" t="s">
        <v>16306</v>
      </c>
      <c r="BS343" t="str">
        <f>HYPERLINK("https%3A%2F%2Fwww.webofscience.com%2Fwos%2Fwoscc%2Ffull-record%2FWOS:000651107900028","View Full Record in Web of Science")</f>
        <v>View Full Record in Web of Science</v>
      </c>
    </row>
    <row r="344" spans="1:71" hidden="1" x14ac:dyDescent="0.2">
      <c r="A344" t="s">
        <v>305</v>
      </c>
      <c r="B344" t="s">
        <v>4813</v>
      </c>
      <c r="C344" t="s">
        <v>72</v>
      </c>
      <c r="D344" t="s">
        <v>72</v>
      </c>
      <c r="E344" t="s">
        <v>4814</v>
      </c>
      <c r="F344" t="s">
        <v>4815</v>
      </c>
      <c r="G344" t="s">
        <v>72</v>
      </c>
      <c r="H344" t="s">
        <v>72</v>
      </c>
      <c r="I344" t="s">
        <v>4816</v>
      </c>
      <c r="J344" t="s">
        <v>4817</v>
      </c>
      <c r="K344" t="s">
        <v>72</v>
      </c>
      <c r="L344" t="s">
        <v>72</v>
      </c>
      <c r="M344" t="s">
        <v>76</v>
      </c>
      <c r="N344" t="s">
        <v>312</v>
      </c>
      <c r="O344" t="s">
        <v>4818</v>
      </c>
      <c r="P344" t="s">
        <v>4819</v>
      </c>
      <c r="Q344" t="s">
        <v>4820</v>
      </c>
      <c r="R344" t="s">
        <v>4821</v>
      </c>
      <c r="S344" t="s">
        <v>72</v>
      </c>
      <c r="T344" t="s">
        <v>72</v>
      </c>
      <c r="U344" t="s">
        <v>4822</v>
      </c>
      <c r="V344" t="s">
        <v>4823</v>
      </c>
      <c r="W344" t="s">
        <v>4824</v>
      </c>
      <c r="X344" t="s">
        <v>4825</v>
      </c>
      <c r="Y344" t="s">
        <v>4826</v>
      </c>
      <c r="Z344" t="s">
        <v>4827</v>
      </c>
      <c r="AA344" t="s">
        <v>4828</v>
      </c>
      <c r="AB344" t="s">
        <v>4829</v>
      </c>
      <c r="AC344" t="s">
        <v>72</v>
      </c>
      <c r="AD344" t="s">
        <v>72</v>
      </c>
      <c r="AE344" t="s">
        <v>72</v>
      </c>
      <c r="AF344" t="s">
        <v>72</v>
      </c>
      <c r="AG344">
        <v>34</v>
      </c>
      <c r="AH344">
        <v>4</v>
      </c>
      <c r="AI344">
        <v>4</v>
      </c>
      <c r="AJ344">
        <v>0</v>
      </c>
      <c r="AK344">
        <v>0</v>
      </c>
      <c r="AL344" t="s">
        <v>4830</v>
      </c>
      <c r="AM344" t="s">
        <v>4831</v>
      </c>
      <c r="AN344" t="s">
        <v>4832</v>
      </c>
      <c r="AO344" t="s">
        <v>72</v>
      </c>
      <c r="AP344" t="s">
        <v>72</v>
      </c>
      <c r="AQ344" t="s">
        <v>4833</v>
      </c>
      <c r="AR344" t="s">
        <v>72</v>
      </c>
      <c r="AS344" t="s">
        <v>72</v>
      </c>
      <c r="AT344" t="s">
        <v>72</v>
      </c>
      <c r="AU344">
        <v>2019</v>
      </c>
      <c r="AV344" t="s">
        <v>72</v>
      </c>
      <c r="AW344" t="s">
        <v>72</v>
      </c>
      <c r="AX344" t="s">
        <v>72</v>
      </c>
      <c r="AY344" t="s">
        <v>72</v>
      </c>
      <c r="AZ344" t="s">
        <v>72</v>
      </c>
      <c r="BA344" t="s">
        <v>72</v>
      </c>
      <c r="BB344">
        <v>36</v>
      </c>
      <c r="BC344">
        <v>45</v>
      </c>
      <c r="BD344" t="s">
        <v>72</v>
      </c>
      <c r="BE344" t="s">
        <v>72</v>
      </c>
      <c r="BF344" t="s">
        <v>72</v>
      </c>
      <c r="BG344" t="s">
        <v>72</v>
      </c>
      <c r="BH344" t="s">
        <v>72</v>
      </c>
      <c r="BI344">
        <v>10</v>
      </c>
      <c r="BJ344" t="s">
        <v>4834</v>
      </c>
      <c r="BK344" t="s">
        <v>4835</v>
      </c>
      <c r="BL344" t="s">
        <v>4836</v>
      </c>
      <c r="BM344" t="s">
        <v>72</v>
      </c>
      <c r="BN344" t="s">
        <v>72</v>
      </c>
      <c r="BO344" t="s">
        <v>72</v>
      </c>
      <c r="BP344" t="s">
        <v>72</v>
      </c>
      <c r="BQ344" t="s">
        <v>100</v>
      </c>
      <c r="BR344" t="s">
        <v>4837</v>
      </c>
      <c r="BS344" t="str">
        <f>HYPERLINK("https%3A%2F%2Fwww.webofscience.com%2Fwos%2Fwoscc%2Ffull-record%2FWOS:000538480400005","View Full Record in Web of Science")</f>
        <v>View Full Record in Web of Science</v>
      </c>
    </row>
    <row r="345" spans="1:71" hidden="1" x14ac:dyDescent="0.2">
      <c r="A345" t="s">
        <v>305</v>
      </c>
      <c r="B345" t="s">
        <v>5592</v>
      </c>
      <c r="C345" t="s">
        <v>72</v>
      </c>
      <c r="D345" t="s">
        <v>72</v>
      </c>
      <c r="E345" t="s">
        <v>5593</v>
      </c>
      <c r="F345" t="s">
        <v>5594</v>
      </c>
      <c r="G345" t="s">
        <v>72</v>
      </c>
      <c r="H345" t="s">
        <v>72</v>
      </c>
      <c r="I345" t="s">
        <v>5595</v>
      </c>
      <c r="J345" t="s">
        <v>5596</v>
      </c>
      <c r="K345" t="s">
        <v>72</v>
      </c>
      <c r="L345" t="s">
        <v>72</v>
      </c>
      <c r="M345" t="s">
        <v>76</v>
      </c>
      <c r="N345" t="s">
        <v>312</v>
      </c>
      <c r="O345" t="s">
        <v>5597</v>
      </c>
      <c r="P345" t="s">
        <v>5598</v>
      </c>
      <c r="Q345" t="s">
        <v>5599</v>
      </c>
      <c r="R345" t="s">
        <v>5600</v>
      </c>
      <c r="S345" t="s">
        <v>5601</v>
      </c>
      <c r="T345" t="s">
        <v>5602</v>
      </c>
      <c r="U345" t="s">
        <v>5603</v>
      </c>
      <c r="V345" t="s">
        <v>5604</v>
      </c>
      <c r="W345" t="s">
        <v>5605</v>
      </c>
      <c r="X345" t="s">
        <v>5606</v>
      </c>
      <c r="Y345" t="s">
        <v>5607</v>
      </c>
      <c r="Z345" t="s">
        <v>5608</v>
      </c>
      <c r="AA345" t="s">
        <v>72</v>
      </c>
      <c r="AB345" t="s">
        <v>72</v>
      </c>
      <c r="AC345" t="s">
        <v>72</v>
      </c>
      <c r="AD345" t="s">
        <v>72</v>
      </c>
      <c r="AE345" t="s">
        <v>72</v>
      </c>
      <c r="AF345" t="s">
        <v>72</v>
      </c>
      <c r="AG345">
        <v>17</v>
      </c>
      <c r="AH345">
        <v>7</v>
      </c>
      <c r="AI345">
        <v>7</v>
      </c>
      <c r="AJ345">
        <v>1</v>
      </c>
      <c r="AK345">
        <v>1</v>
      </c>
      <c r="AL345" t="s">
        <v>706</v>
      </c>
      <c r="AM345" t="s">
        <v>707</v>
      </c>
      <c r="AN345" t="s">
        <v>4482</v>
      </c>
      <c r="AO345" t="s">
        <v>72</v>
      </c>
      <c r="AP345" t="s">
        <v>72</v>
      </c>
      <c r="AQ345" t="s">
        <v>5609</v>
      </c>
      <c r="AR345" t="s">
        <v>72</v>
      </c>
      <c r="AS345" t="s">
        <v>72</v>
      </c>
      <c r="AT345" t="s">
        <v>72</v>
      </c>
      <c r="AU345">
        <v>2018</v>
      </c>
      <c r="AV345" t="s">
        <v>72</v>
      </c>
      <c r="AW345" t="s">
        <v>72</v>
      </c>
      <c r="AX345" t="s">
        <v>72</v>
      </c>
      <c r="AY345" t="s">
        <v>72</v>
      </c>
      <c r="AZ345" t="s">
        <v>72</v>
      </c>
      <c r="BA345" t="s">
        <v>72</v>
      </c>
      <c r="BB345">
        <v>365</v>
      </c>
      <c r="BC345">
        <v>369</v>
      </c>
      <c r="BD345" t="s">
        <v>72</v>
      </c>
      <c r="BE345" t="s">
        <v>5610</v>
      </c>
      <c r="BF345" t="str">
        <f>HYPERLINK("http://dx.doi.org/10.1145/3217804.3217946","http://dx.doi.org/10.1145/3217804.3217946")</f>
        <v>http://dx.doi.org/10.1145/3217804.3217946</v>
      </c>
      <c r="BG345" t="s">
        <v>72</v>
      </c>
      <c r="BH345" t="s">
        <v>72</v>
      </c>
      <c r="BI345">
        <v>5</v>
      </c>
      <c r="BJ345" t="s">
        <v>5611</v>
      </c>
      <c r="BK345" t="s">
        <v>5612</v>
      </c>
      <c r="BL345" t="s">
        <v>5613</v>
      </c>
      <c r="BM345" t="s">
        <v>72</v>
      </c>
      <c r="BN345" t="s">
        <v>72</v>
      </c>
      <c r="BO345" t="s">
        <v>72</v>
      </c>
      <c r="BP345" t="s">
        <v>72</v>
      </c>
      <c r="BQ345" t="s">
        <v>100</v>
      </c>
      <c r="BR345" t="s">
        <v>5614</v>
      </c>
      <c r="BS345" t="str">
        <f>HYPERLINK("https%3A%2F%2Fwww.webofscience.com%2Fwos%2Fwoscc%2Ffull-record%2FWOS:000780411100053","View Full Record in Web of Science")</f>
        <v>View Full Record in Web of Science</v>
      </c>
    </row>
    <row r="346" spans="1:71" hidden="1" x14ac:dyDescent="0.2">
      <c r="A346" t="s">
        <v>305</v>
      </c>
      <c r="B346" t="s">
        <v>11027</v>
      </c>
      <c r="C346" t="s">
        <v>72</v>
      </c>
      <c r="D346" t="s">
        <v>11028</v>
      </c>
      <c r="E346" t="s">
        <v>72</v>
      </c>
      <c r="F346" t="s">
        <v>11029</v>
      </c>
      <c r="G346" t="s">
        <v>72</v>
      </c>
      <c r="H346" t="s">
        <v>72</v>
      </c>
      <c r="I346" t="s">
        <v>11030</v>
      </c>
      <c r="J346" t="s">
        <v>11031</v>
      </c>
      <c r="K346" t="s">
        <v>4201</v>
      </c>
      <c r="L346" t="s">
        <v>72</v>
      </c>
      <c r="M346" t="s">
        <v>76</v>
      </c>
      <c r="N346" t="s">
        <v>312</v>
      </c>
      <c r="O346" t="s">
        <v>11032</v>
      </c>
      <c r="P346" t="s">
        <v>11033</v>
      </c>
      <c r="Q346" t="s">
        <v>11034</v>
      </c>
      <c r="R346" t="s">
        <v>72</v>
      </c>
      <c r="S346" t="s">
        <v>11035</v>
      </c>
      <c r="T346" t="s">
        <v>11036</v>
      </c>
      <c r="U346" t="s">
        <v>72</v>
      </c>
      <c r="V346" t="s">
        <v>11037</v>
      </c>
      <c r="W346" t="s">
        <v>11038</v>
      </c>
      <c r="X346" t="s">
        <v>11039</v>
      </c>
      <c r="Y346" t="s">
        <v>11040</v>
      </c>
      <c r="Z346" t="s">
        <v>11041</v>
      </c>
      <c r="AA346" t="s">
        <v>11042</v>
      </c>
      <c r="AB346" t="s">
        <v>11043</v>
      </c>
      <c r="AC346" t="s">
        <v>72</v>
      </c>
      <c r="AD346" t="s">
        <v>72</v>
      </c>
      <c r="AE346" t="s">
        <v>72</v>
      </c>
      <c r="AF346" t="s">
        <v>72</v>
      </c>
      <c r="AG346">
        <v>43</v>
      </c>
      <c r="AH346">
        <v>27</v>
      </c>
      <c r="AI346">
        <v>27</v>
      </c>
      <c r="AJ346">
        <v>0</v>
      </c>
      <c r="AK346">
        <v>5</v>
      </c>
      <c r="AL346" t="s">
        <v>4212</v>
      </c>
      <c r="AM346" t="s">
        <v>4213</v>
      </c>
      <c r="AN346" t="s">
        <v>4214</v>
      </c>
      <c r="AO346" t="s">
        <v>2900</v>
      </c>
      <c r="AP346" t="s">
        <v>2901</v>
      </c>
      <c r="AQ346" t="s">
        <v>11044</v>
      </c>
      <c r="AR346" t="s">
        <v>4216</v>
      </c>
      <c r="AS346" t="s">
        <v>72</v>
      </c>
      <c r="AT346" t="s">
        <v>72</v>
      </c>
      <c r="AU346">
        <v>2018</v>
      </c>
      <c r="AV346">
        <v>11082</v>
      </c>
      <c r="AW346" t="s">
        <v>72</v>
      </c>
      <c r="AX346" t="s">
        <v>72</v>
      </c>
      <c r="AY346" t="s">
        <v>72</v>
      </c>
      <c r="AZ346" t="s">
        <v>72</v>
      </c>
      <c r="BA346" t="s">
        <v>72</v>
      </c>
      <c r="BB346">
        <v>245</v>
      </c>
      <c r="BC346">
        <v>261</v>
      </c>
      <c r="BD346" t="s">
        <v>72</v>
      </c>
      <c r="BE346" t="s">
        <v>11045</v>
      </c>
      <c r="BF346" t="str">
        <f>HYPERLINK("http://dx.doi.org/10.1007/978-3-319-98572-5_19","http://dx.doi.org/10.1007/978-3-319-98572-5_19")</f>
        <v>http://dx.doi.org/10.1007/978-3-319-98572-5_19</v>
      </c>
      <c r="BG346" t="s">
        <v>72</v>
      </c>
      <c r="BH346" t="s">
        <v>72</v>
      </c>
      <c r="BI346">
        <v>17</v>
      </c>
      <c r="BJ346" t="s">
        <v>11046</v>
      </c>
      <c r="BK346" t="s">
        <v>11047</v>
      </c>
      <c r="BL346" t="s">
        <v>11048</v>
      </c>
      <c r="BM346" t="s">
        <v>72</v>
      </c>
      <c r="BN346" t="s">
        <v>559</v>
      </c>
      <c r="BO346" t="s">
        <v>72</v>
      </c>
      <c r="BP346" t="s">
        <v>72</v>
      </c>
      <c r="BQ346" t="s">
        <v>100</v>
      </c>
      <c r="BR346" t="s">
        <v>11049</v>
      </c>
      <c r="BS346" t="str">
        <f>HYPERLINK("https%3A%2F%2Fwww.webofscience.com%2Fwos%2Fwoscc%2Ffull-record%2FWOS:000552686200019","View Full Record in Web of Science")</f>
        <v>View Full Record in Web of Science</v>
      </c>
    </row>
    <row r="347" spans="1:71" hidden="1" x14ac:dyDescent="0.2">
      <c r="A347" t="s">
        <v>70</v>
      </c>
      <c r="B347" t="s">
        <v>12246</v>
      </c>
      <c r="C347" t="s">
        <v>72</v>
      </c>
      <c r="D347" t="s">
        <v>72</v>
      </c>
      <c r="E347" t="s">
        <v>72</v>
      </c>
      <c r="F347" t="s">
        <v>12246</v>
      </c>
      <c r="G347" t="s">
        <v>72</v>
      </c>
      <c r="H347" t="s">
        <v>72</v>
      </c>
      <c r="I347" t="s">
        <v>12247</v>
      </c>
      <c r="J347" t="s">
        <v>12248</v>
      </c>
      <c r="K347" t="s">
        <v>72</v>
      </c>
      <c r="L347" t="s">
        <v>72</v>
      </c>
      <c r="M347" t="s">
        <v>76</v>
      </c>
      <c r="N347" t="s">
        <v>77</v>
      </c>
      <c r="O347" t="s">
        <v>72</v>
      </c>
      <c r="P347" t="s">
        <v>72</v>
      </c>
      <c r="Q347" t="s">
        <v>72</v>
      </c>
      <c r="R347" t="s">
        <v>72</v>
      </c>
      <c r="S347" t="s">
        <v>72</v>
      </c>
      <c r="T347" t="s">
        <v>12249</v>
      </c>
      <c r="U347" t="s">
        <v>72</v>
      </c>
      <c r="V347" t="s">
        <v>12250</v>
      </c>
      <c r="W347" t="s">
        <v>12251</v>
      </c>
      <c r="X347" t="s">
        <v>12252</v>
      </c>
      <c r="Y347" t="s">
        <v>12253</v>
      </c>
      <c r="Z347" t="s">
        <v>72</v>
      </c>
      <c r="AA347" t="s">
        <v>12254</v>
      </c>
      <c r="AB347" t="s">
        <v>12255</v>
      </c>
      <c r="AC347" t="s">
        <v>72</v>
      </c>
      <c r="AD347" t="s">
        <v>72</v>
      </c>
      <c r="AE347" t="s">
        <v>72</v>
      </c>
      <c r="AF347" t="s">
        <v>72</v>
      </c>
      <c r="AG347">
        <v>24</v>
      </c>
      <c r="AH347">
        <v>3</v>
      </c>
      <c r="AI347">
        <v>3</v>
      </c>
      <c r="AJ347">
        <v>0</v>
      </c>
      <c r="AK347">
        <v>8</v>
      </c>
      <c r="AL347" t="s">
        <v>450</v>
      </c>
      <c r="AM347" t="s">
        <v>451</v>
      </c>
      <c r="AN347" t="s">
        <v>452</v>
      </c>
      <c r="AO347" t="s">
        <v>12256</v>
      </c>
      <c r="AP347" t="s">
        <v>72</v>
      </c>
      <c r="AQ347" t="s">
        <v>72</v>
      </c>
      <c r="AR347" t="s">
        <v>12257</v>
      </c>
      <c r="AS347" t="s">
        <v>12258</v>
      </c>
      <c r="AT347" t="s">
        <v>639</v>
      </c>
      <c r="AU347">
        <v>2002</v>
      </c>
      <c r="AV347">
        <v>39</v>
      </c>
      <c r="AW347">
        <v>1</v>
      </c>
      <c r="AX347" t="s">
        <v>72</v>
      </c>
      <c r="AY347" t="s">
        <v>72</v>
      </c>
      <c r="AZ347" t="s">
        <v>72</v>
      </c>
      <c r="BA347" t="s">
        <v>72</v>
      </c>
      <c r="BB347">
        <v>37</v>
      </c>
      <c r="BC347">
        <v>50</v>
      </c>
      <c r="BD347" t="s">
        <v>12259</v>
      </c>
      <c r="BE347" t="s">
        <v>12260</v>
      </c>
      <c r="BF347" t="str">
        <f>HYPERLINK("http://dx.doi.org/10.1016/S0360-1315(02)00021-0","http://dx.doi.org/10.1016/S0360-1315(02)00021-0")</f>
        <v>http://dx.doi.org/10.1016/S0360-1315(02)00021-0</v>
      </c>
      <c r="BG347" t="s">
        <v>72</v>
      </c>
      <c r="BH347" t="s">
        <v>72</v>
      </c>
      <c r="BI347">
        <v>14</v>
      </c>
      <c r="BJ347" t="s">
        <v>12261</v>
      </c>
      <c r="BK347" t="s">
        <v>11047</v>
      </c>
      <c r="BL347" t="s">
        <v>12262</v>
      </c>
      <c r="BM347" t="s">
        <v>72</v>
      </c>
      <c r="BN347" t="s">
        <v>72</v>
      </c>
      <c r="BO347" t="s">
        <v>72</v>
      </c>
      <c r="BP347" t="s">
        <v>72</v>
      </c>
      <c r="BQ347" t="s">
        <v>100</v>
      </c>
      <c r="BR347" t="s">
        <v>12263</v>
      </c>
      <c r="BS347" t="str">
        <f>HYPERLINK("https%3A%2F%2Fwww.webofscience.com%2Fwos%2Fwoscc%2Ffull-record%2FWOS:000177550100003","View Full Record in Web of Science")</f>
        <v>View Full Record in Web of Science</v>
      </c>
    </row>
    <row r="348" spans="1:71" hidden="1" x14ac:dyDescent="0.2">
      <c r="A348" t="s">
        <v>305</v>
      </c>
      <c r="B348" t="s">
        <v>13328</v>
      </c>
      <c r="C348" t="s">
        <v>72</v>
      </c>
      <c r="D348" t="s">
        <v>72</v>
      </c>
      <c r="E348" t="s">
        <v>690</v>
      </c>
      <c r="F348" t="s">
        <v>13329</v>
      </c>
      <c r="G348" t="s">
        <v>72</v>
      </c>
      <c r="H348" t="s">
        <v>72</v>
      </c>
      <c r="I348" t="s">
        <v>13330</v>
      </c>
      <c r="J348" t="s">
        <v>13331</v>
      </c>
      <c r="K348" t="s">
        <v>72</v>
      </c>
      <c r="L348" t="s">
        <v>72</v>
      </c>
      <c r="M348" t="s">
        <v>76</v>
      </c>
      <c r="N348" t="s">
        <v>312</v>
      </c>
      <c r="O348" t="s">
        <v>13332</v>
      </c>
      <c r="P348" t="s">
        <v>13333</v>
      </c>
      <c r="Q348" t="s">
        <v>13334</v>
      </c>
      <c r="R348" t="s">
        <v>13335</v>
      </c>
      <c r="S348" t="s">
        <v>13336</v>
      </c>
      <c r="T348" t="s">
        <v>13337</v>
      </c>
      <c r="U348" t="s">
        <v>7481</v>
      </c>
      <c r="V348" t="s">
        <v>13338</v>
      </c>
      <c r="W348" t="s">
        <v>13339</v>
      </c>
      <c r="X348" t="s">
        <v>13340</v>
      </c>
      <c r="Y348" t="s">
        <v>13341</v>
      </c>
      <c r="Z348" t="s">
        <v>13342</v>
      </c>
      <c r="AA348" t="s">
        <v>13343</v>
      </c>
      <c r="AB348" t="s">
        <v>13344</v>
      </c>
      <c r="AC348" t="s">
        <v>72</v>
      </c>
      <c r="AD348" t="s">
        <v>72</v>
      </c>
      <c r="AE348" t="s">
        <v>72</v>
      </c>
      <c r="AF348" t="s">
        <v>72</v>
      </c>
      <c r="AG348">
        <v>61</v>
      </c>
      <c r="AH348">
        <v>60</v>
      </c>
      <c r="AI348">
        <v>60</v>
      </c>
      <c r="AJ348">
        <v>3</v>
      </c>
      <c r="AK348">
        <v>9</v>
      </c>
      <c r="AL348" t="s">
        <v>706</v>
      </c>
      <c r="AM348" t="s">
        <v>707</v>
      </c>
      <c r="AN348" t="s">
        <v>4482</v>
      </c>
      <c r="AO348" t="s">
        <v>72</v>
      </c>
      <c r="AP348" t="s">
        <v>72</v>
      </c>
      <c r="AQ348" t="s">
        <v>13345</v>
      </c>
      <c r="AR348" t="s">
        <v>72</v>
      </c>
      <c r="AS348" t="s">
        <v>72</v>
      </c>
      <c r="AT348" t="s">
        <v>72</v>
      </c>
      <c r="AU348">
        <v>2016</v>
      </c>
      <c r="AV348" t="s">
        <v>72</v>
      </c>
      <c r="AW348" t="s">
        <v>72</v>
      </c>
      <c r="AX348" t="s">
        <v>72</v>
      </c>
      <c r="AY348" t="s">
        <v>72</v>
      </c>
      <c r="AZ348" t="s">
        <v>72</v>
      </c>
      <c r="BA348" t="s">
        <v>72</v>
      </c>
      <c r="BB348">
        <v>15</v>
      </c>
      <c r="BC348">
        <v>24</v>
      </c>
      <c r="BD348" t="s">
        <v>72</v>
      </c>
      <c r="BE348" t="s">
        <v>13346</v>
      </c>
      <c r="BF348" t="str">
        <f>HYPERLINK("http://dx.doi.org/10.1145/2883851.2883950","http://dx.doi.org/10.1145/2883851.2883950")</f>
        <v>http://dx.doi.org/10.1145/2883851.2883950</v>
      </c>
      <c r="BG348" t="s">
        <v>72</v>
      </c>
      <c r="BH348" t="s">
        <v>72</v>
      </c>
      <c r="BI348">
        <v>10</v>
      </c>
      <c r="BJ348" t="s">
        <v>12261</v>
      </c>
      <c r="BK348" t="s">
        <v>11047</v>
      </c>
      <c r="BL348" t="s">
        <v>13347</v>
      </c>
      <c r="BM348" t="s">
        <v>72</v>
      </c>
      <c r="BN348" t="s">
        <v>72</v>
      </c>
      <c r="BO348" t="s">
        <v>72</v>
      </c>
      <c r="BP348" t="s">
        <v>72</v>
      </c>
      <c r="BQ348" t="s">
        <v>100</v>
      </c>
      <c r="BR348" t="s">
        <v>13348</v>
      </c>
      <c r="BS348" t="str">
        <f>HYPERLINK("https%3A%2F%2Fwww.webofscience.com%2Fwos%2Fwoscc%2Ffull-record%2FWOS:000390844700003","View Full Record in Web of Science")</f>
        <v>View Full Record in Web of Science</v>
      </c>
    </row>
    <row r="349" spans="1:71" hidden="1" x14ac:dyDescent="0.2">
      <c r="A349" t="s">
        <v>305</v>
      </c>
      <c r="B349" t="s">
        <v>689</v>
      </c>
      <c r="C349" t="s">
        <v>72</v>
      </c>
      <c r="D349" t="s">
        <v>72</v>
      </c>
      <c r="E349" t="s">
        <v>690</v>
      </c>
      <c r="F349" t="s">
        <v>691</v>
      </c>
      <c r="G349" t="s">
        <v>72</v>
      </c>
      <c r="H349" t="s">
        <v>72</v>
      </c>
      <c r="I349" t="s">
        <v>692</v>
      </c>
      <c r="J349" t="s">
        <v>693</v>
      </c>
      <c r="K349" t="s">
        <v>72</v>
      </c>
      <c r="L349" t="s">
        <v>72</v>
      </c>
      <c r="M349" t="s">
        <v>76</v>
      </c>
      <c r="N349" t="s">
        <v>312</v>
      </c>
      <c r="O349" t="s">
        <v>694</v>
      </c>
      <c r="P349" t="s">
        <v>695</v>
      </c>
      <c r="Q349" t="s">
        <v>696</v>
      </c>
      <c r="R349" t="s">
        <v>697</v>
      </c>
      <c r="S349" t="s">
        <v>72</v>
      </c>
      <c r="T349" t="s">
        <v>698</v>
      </c>
      <c r="U349" t="s">
        <v>699</v>
      </c>
      <c r="V349" t="s">
        <v>700</v>
      </c>
      <c r="W349" t="s">
        <v>701</v>
      </c>
      <c r="X349" t="s">
        <v>702</v>
      </c>
      <c r="Y349" t="s">
        <v>703</v>
      </c>
      <c r="Z349" t="s">
        <v>704</v>
      </c>
      <c r="AA349" t="s">
        <v>72</v>
      </c>
      <c r="AB349" t="s">
        <v>705</v>
      </c>
      <c r="AC349" t="s">
        <v>72</v>
      </c>
      <c r="AD349" t="s">
        <v>72</v>
      </c>
      <c r="AE349" t="s">
        <v>72</v>
      </c>
      <c r="AF349" t="s">
        <v>72</v>
      </c>
      <c r="AG349">
        <v>27</v>
      </c>
      <c r="AH349">
        <v>4</v>
      </c>
      <c r="AI349">
        <v>4</v>
      </c>
      <c r="AJ349">
        <v>0</v>
      </c>
      <c r="AK349">
        <v>5</v>
      </c>
      <c r="AL349" t="s">
        <v>706</v>
      </c>
      <c r="AM349" t="s">
        <v>707</v>
      </c>
      <c r="AN349" t="s">
        <v>708</v>
      </c>
      <c r="AO349" t="s">
        <v>72</v>
      </c>
      <c r="AP349" t="s">
        <v>72</v>
      </c>
      <c r="AQ349" t="s">
        <v>709</v>
      </c>
      <c r="AR349" t="s">
        <v>72</v>
      </c>
      <c r="AS349" t="s">
        <v>72</v>
      </c>
      <c r="AT349" t="s">
        <v>72</v>
      </c>
      <c r="AU349">
        <v>2016</v>
      </c>
      <c r="AV349" t="s">
        <v>72</v>
      </c>
      <c r="AW349" t="s">
        <v>72</v>
      </c>
      <c r="AX349" t="s">
        <v>72</v>
      </c>
      <c r="AY349" t="s">
        <v>72</v>
      </c>
      <c r="AZ349" t="s">
        <v>72</v>
      </c>
      <c r="BA349" t="s">
        <v>72</v>
      </c>
      <c r="BB349">
        <v>309</v>
      </c>
      <c r="BC349">
        <v>314</v>
      </c>
      <c r="BD349" t="s">
        <v>72</v>
      </c>
      <c r="BE349" t="s">
        <v>710</v>
      </c>
      <c r="BF349" t="str">
        <f>HYPERLINK("http://dx.doi.org/10.1145/2914586.2914634","http://dx.doi.org/10.1145/2914586.2914634")</f>
        <v>http://dx.doi.org/10.1145/2914586.2914634</v>
      </c>
      <c r="BG349" t="s">
        <v>72</v>
      </c>
      <c r="BH349" t="s">
        <v>72</v>
      </c>
      <c r="BI349">
        <v>6</v>
      </c>
      <c r="BJ349" t="s">
        <v>711</v>
      </c>
      <c r="BK349" t="s">
        <v>712</v>
      </c>
      <c r="BL349" t="s">
        <v>713</v>
      </c>
      <c r="BM349" t="s">
        <v>72</v>
      </c>
      <c r="BN349" t="s">
        <v>72</v>
      </c>
      <c r="BO349" t="s">
        <v>72</v>
      </c>
      <c r="BP349" t="s">
        <v>72</v>
      </c>
      <c r="BQ349" t="s">
        <v>100</v>
      </c>
      <c r="BR349" t="s">
        <v>714</v>
      </c>
      <c r="BS349" t="str">
        <f>HYPERLINK("https%3A%2F%2Fwww.webofscience.com%2Fwos%2Fwoscc%2Ffull-record%2FWOS:000383738200041","View Full Record in Web of Science")</f>
        <v>View Full Record in Web of Science</v>
      </c>
    </row>
    <row r="350" spans="1:71" hidden="1" x14ac:dyDescent="0.2">
      <c r="A350" t="s">
        <v>305</v>
      </c>
      <c r="B350" t="s">
        <v>4394</v>
      </c>
      <c r="C350" t="s">
        <v>72</v>
      </c>
      <c r="D350" t="s">
        <v>72</v>
      </c>
      <c r="E350" t="s">
        <v>1102</v>
      </c>
      <c r="F350" t="s">
        <v>4395</v>
      </c>
      <c r="G350" t="s">
        <v>72</v>
      </c>
      <c r="H350" t="s">
        <v>72</v>
      </c>
      <c r="I350" t="s">
        <v>4396</v>
      </c>
      <c r="J350" t="s">
        <v>4397</v>
      </c>
      <c r="K350" t="s">
        <v>4398</v>
      </c>
      <c r="L350" t="s">
        <v>72</v>
      </c>
      <c r="M350" t="s">
        <v>76</v>
      </c>
      <c r="N350" t="s">
        <v>312</v>
      </c>
      <c r="O350" t="s">
        <v>4399</v>
      </c>
      <c r="P350" t="s">
        <v>4400</v>
      </c>
      <c r="Q350" t="s">
        <v>4401</v>
      </c>
      <c r="R350" t="s">
        <v>4402</v>
      </c>
      <c r="S350" t="s">
        <v>72</v>
      </c>
      <c r="T350" t="s">
        <v>4403</v>
      </c>
      <c r="U350" t="s">
        <v>72</v>
      </c>
      <c r="V350" t="s">
        <v>4404</v>
      </c>
      <c r="W350" t="s">
        <v>4405</v>
      </c>
      <c r="X350" t="s">
        <v>4406</v>
      </c>
      <c r="Y350" t="s">
        <v>4407</v>
      </c>
      <c r="Z350" t="s">
        <v>72</v>
      </c>
      <c r="AA350" t="s">
        <v>72</v>
      </c>
      <c r="AB350" t="s">
        <v>72</v>
      </c>
      <c r="AC350" t="s">
        <v>72</v>
      </c>
      <c r="AD350" t="s">
        <v>72</v>
      </c>
      <c r="AE350" t="s">
        <v>72</v>
      </c>
      <c r="AF350" t="s">
        <v>72</v>
      </c>
      <c r="AG350">
        <v>12</v>
      </c>
      <c r="AH350">
        <v>0</v>
      </c>
      <c r="AI350">
        <v>0</v>
      </c>
      <c r="AJ350">
        <v>0</v>
      </c>
      <c r="AK350">
        <v>0</v>
      </c>
      <c r="AL350" t="s">
        <v>1102</v>
      </c>
      <c r="AM350" t="s">
        <v>707</v>
      </c>
      <c r="AN350" t="s">
        <v>1121</v>
      </c>
      <c r="AO350" t="s">
        <v>4408</v>
      </c>
      <c r="AP350" t="s">
        <v>72</v>
      </c>
      <c r="AQ350" t="s">
        <v>4409</v>
      </c>
      <c r="AR350" t="s">
        <v>4410</v>
      </c>
      <c r="AS350" t="s">
        <v>72</v>
      </c>
      <c r="AT350" t="s">
        <v>72</v>
      </c>
      <c r="AU350">
        <v>2014</v>
      </c>
      <c r="AV350" t="s">
        <v>72</v>
      </c>
      <c r="AW350" t="s">
        <v>72</v>
      </c>
      <c r="AX350" t="s">
        <v>72</v>
      </c>
      <c r="AY350" t="s">
        <v>72</v>
      </c>
      <c r="AZ350" t="s">
        <v>72</v>
      </c>
      <c r="BA350" t="s">
        <v>72</v>
      </c>
      <c r="BB350" t="s">
        <v>72</v>
      </c>
      <c r="BC350" t="s">
        <v>72</v>
      </c>
      <c r="BD350" t="s">
        <v>72</v>
      </c>
      <c r="BE350" t="s">
        <v>72</v>
      </c>
      <c r="BF350" t="s">
        <v>72</v>
      </c>
      <c r="BG350" t="s">
        <v>72</v>
      </c>
      <c r="BH350" t="s">
        <v>72</v>
      </c>
      <c r="BI350">
        <v>7</v>
      </c>
      <c r="BJ350" t="s">
        <v>4411</v>
      </c>
      <c r="BK350" t="s">
        <v>712</v>
      </c>
      <c r="BL350" t="s">
        <v>4412</v>
      </c>
      <c r="BM350" t="s">
        <v>72</v>
      </c>
      <c r="BN350" t="s">
        <v>72</v>
      </c>
      <c r="BO350" t="s">
        <v>72</v>
      </c>
      <c r="BP350" t="s">
        <v>72</v>
      </c>
      <c r="BQ350" t="s">
        <v>100</v>
      </c>
      <c r="BR350" t="s">
        <v>4413</v>
      </c>
      <c r="BS350" t="str">
        <f>HYPERLINK("https%3A%2F%2Fwww.webofscience.com%2Fwos%2Fwoscc%2Ffull-record%2FWOS:000361017900175","View Full Record in Web of Science")</f>
        <v>View Full Record in Web of Science</v>
      </c>
    </row>
    <row r="351" spans="1:71" hidden="1" x14ac:dyDescent="0.2">
      <c r="A351" t="s">
        <v>305</v>
      </c>
      <c r="B351" t="s">
        <v>4995</v>
      </c>
      <c r="C351" t="s">
        <v>72</v>
      </c>
      <c r="D351" t="s">
        <v>72</v>
      </c>
      <c r="E351" t="s">
        <v>1102</v>
      </c>
      <c r="F351" t="s">
        <v>4996</v>
      </c>
      <c r="G351" t="s">
        <v>72</v>
      </c>
      <c r="H351" t="s">
        <v>72</v>
      </c>
      <c r="I351" t="s">
        <v>4997</v>
      </c>
      <c r="J351" t="s">
        <v>4998</v>
      </c>
      <c r="K351" t="s">
        <v>4999</v>
      </c>
      <c r="L351" t="s">
        <v>72</v>
      </c>
      <c r="M351" t="s">
        <v>76</v>
      </c>
      <c r="N351" t="s">
        <v>312</v>
      </c>
      <c r="O351" t="s">
        <v>5000</v>
      </c>
      <c r="P351" t="s">
        <v>5001</v>
      </c>
      <c r="Q351" t="s">
        <v>5002</v>
      </c>
      <c r="R351" t="s">
        <v>5003</v>
      </c>
      <c r="S351" t="s">
        <v>72</v>
      </c>
      <c r="T351" t="s">
        <v>5004</v>
      </c>
      <c r="U351" t="s">
        <v>5005</v>
      </c>
      <c r="V351" t="s">
        <v>5006</v>
      </c>
      <c r="W351" t="s">
        <v>5007</v>
      </c>
      <c r="X351" t="s">
        <v>5008</v>
      </c>
      <c r="Y351" t="s">
        <v>5009</v>
      </c>
      <c r="Z351" t="s">
        <v>5010</v>
      </c>
      <c r="AA351" t="s">
        <v>5011</v>
      </c>
      <c r="AB351" t="s">
        <v>5012</v>
      </c>
      <c r="AC351" t="s">
        <v>5013</v>
      </c>
      <c r="AD351" t="s">
        <v>5014</v>
      </c>
      <c r="AE351" t="s">
        <v>5015</v>
      </c>
      <c r="AF351" t="s">
        <v>72</v>
      </c>
      <c r="AG351">
        <v>19</v>
      </c>
      <c r="AH351">
        <v>4</v>
      </c>
      <c r="AI351">
        <v>4</v>
      </c>
      <c r="AJ351">
        <v>2</v>
      </c>
      <c r="AK351">
        <v>3</v>
      </c>
      <c r="AL351" t="s">
        <v>1102</v>
      </c>
      <c r="AM351" t="s">
        <v>707</v>
      </c>
      <c r="AN351" t="s">
        <v>1121</v>
      </c>
      <c r="AO351" t="s">
        <v>5016</v>
      </c>
      <c r="AP351" t="s">
        <v>72</v>
      </c>
      <c r="AQ351" t="s">
        <v>5017</v>
      </c>
      <c r="AR351" t="s">
        <v>5018</v>
      </c>
      <c r="AS351" t="s">
        <v>72</v>
      </c>
      <c r="AT351" t="s">
        <v>72</v>
      </c>
      <c r="AU351">
        <v>2014</v>
      </c>
      <c r="AV351" t="s">
        <v>72</v>
      </c>
      <c r="AW351" t="s">
        <v>72</v>
      </c>
      <c r="AX351" t="s">
        <v>72</v>
      </c>
      <c r="AY351" t="s">
        <v>72</v>
      </c>
      <c r="AZ351" t="s">
        <v>72</v>
      </c>
      <c r="BA351" t="s">
        <v>72</v>
      </c>
      <c r="BB351">
        <v>264</v>
      </c>
      <c r="BC351" t="s">
        <v>173</v>
      </c>
      <c r="BD351" t="s">
        <v>72</v>
      </c>
      <c r="BE351" t="s">
        <v>5019</v>
      </c>
      <c r="BF351" t="str">
        <f>HYPERLINK("http://dx.doi.org/10.1109/ICALT.2014.82","http://dx.doi.org/10.1109/ICALT.2014.82")</f>
        <v>http://dx.doi.org/10.1109/ICALT.2014.82</v>
      </c>
      <c r="BG351" t="s">
        <v>72</v>
      </c>
      <c r="BH351" t="s">
        <v>72</v>
      </c>
      <c r="BI351">
        <v>2</v>
      </c>
      <c r="BJ351" t="s">
        <v>5020</v>
      </c>
      <c r="BK351" t="s">
        <v>712</v>
      </c>
      <c r="BL351" t="s">
        <v>5021</v>
      </c>
      <c r="BM351" t="s">
        <v>72</v>
      </c>
      <c r="BN351" t="s">
        <v>72</v>
      </c>
      <c r="BO351" t="s">
        <v>72</v>
      </c>
      <c r="BP351" t="s">
        <v>72</v>
      </c>
      <c r="BQ351" t="s">
        <v>100</v>
      </c>
      <c r="BR351" t="s">
        <v>5022</v>
      </c>
      <c r="BS351" t="str">
        <f>HYPERLINK("https%3A%2F%2Fwww.webofscience.com%2Fwos%2Fwoscc%2Ffull-record%2FWOS:000347713100078","View Full Record in Web of Science")</f>
        <v>View Full Record in Web of Science</v>
      </c>
    </row>
    <row r="352" spans="1:71" hidden="1" x14ac:dyDescent="0.2">
      <c r="A352" t="s">
        <v>305</v>
      </c>
      <c r="B352" t="s">
        <v>5528</v>
      </c>
      <c r="C352" t="s">
        <v>72</v>
      </c>
      <c r="D352" t="s">
        <v>72</v>
      </c>
      <c r="E352" t="s">
        <v>1102</v>
      </c>
      <c r="F352" t="s">
        <v>5529</v>
      </c>
      <c r="G352" t="s">
        <v>72</v>
      </c>
      <c r="H352" t="s">
        <v>72</v>
      </c>
      <c r="I352" t="s">
        <v>5530</v>
      </c>
      <c r="J352" t="s">
        <v>5531</v>
      </c>
      <c r="K352" t="s">
        <v>72</v>
      </c>
      <c r="L352" t="s">
        <v>72</v>
      </c>
      <c r="M352" t="s">
        <v>76</v>
      </c>
      <c r="N352" t="s">
        <v>312</v>
      </c>
      <c r="O352" t="s">
        <v>5532</v>
      </c>
      <c r="P352" t="s">
        <v>5533</v>
      </c>
      <c r="Q352" t="s">
        <v>5093</v>
      </c>
      <c r="R352" t="s">
        <v>5534</v>
      </c>
      <c r="S352" t="s">
        <v>72</v>
      </c>
      <c r="T352" t="s">
        <v>5535</v>
      </c>
      <c r="U352" t="s">
        <v>5536</v>
      </c>
      <c r="V352" t="s">
        <v>5537</v>
      </c>
      <c r="W352" t="s">
        <v>5538</v>
      </c>
      <c r="X352" t="s">
        <v>5539</v>
      </c>
      <c r="Y352" t="s">
        <v>5540</v>
      </c>
      <c r="Z352" t="s">
        <v>5541</v>
      </c>
      <c r="AA352" t="s">
        <v>72</v>
      </c>
      <c r="AB352" t="s">
        <v>72</v>
      </c>
      <c r="AC352" t="s">
        <v>72</v>
      </c>
      <c r="AD352" t="s">
        <v>72</v>
      </c>
      <c r="AE352" t="s">
        <v>72</v>
      </c>
      <c r="AF352" t="s">
        <v>72</v>
      </c>
      <c r="AG352">
        <v>34</v>
      </c>
      <c r="AH352">
        <v>6</v>
      </c>
      <c r="AI352">
        <v>6</v>
      </c>
      <c r="AJ352">
        <v>0</v>
      </c>
      <c r="AK352">
        <v>3</v>
      </c>
      <c r="AL352" t="s">
        <v>1102</v>
      </c>
      <c r="AM352" t="s">
        <v>707</v>
      </c>
      <c r="AN352" t="s">
        <v>1121</v>
      </c>
      <c r="AO352" t="s">
        <v>72</v>
      </c>
      <c r="AP352" t="s">
        <v>72</v>
      </c>
      <c r="AQ352" t="s">
        <v>5542</v>
      </c>
      <c r="AR352" t="s">
        <v>72</v>
      </c>
      <c r="AS352" t="s">
        <v>72</v>
      </c>
      <c r="AT352" t="s">
        <v>72</v>
      </c>
      <c r="AU352">
        <v>2018</v>
      </c>
      <c r="AV352" t="s">
        <v>72</v>
      </c>
      <c r="AW352" t="s">
        <v>72</v>
      </c>
      <c r="AX352" t="s">
        <v>72</v>
      </c>
      <c r="AY352" t="s">
        <v>72</v>
      </c>
      <c r="AZ352" t="s">
        <v>72</v>
      </c>
      <c r="BA352" t="s">
        <v>72</v>
      </c>
      <c r="BB352">
        <v>86</v>
      </c>
      <c r="BC352">
        <v>94</v>
      </c>
      <c r="BD352" t="s">
        <v>72</v>
      </c>
      <c r="BE352" t="s">
        <v>5543</v>
      </c>
      <c r="BF352" t="str">
        <f>HYPERLINK("http://dx.doi.org/10.1109/PAC.2018.00015","http://dx.doi.org/10.1109/PAC.2018.00015")</f>
        <v>http://dx.doi.org/10.1109/PAC.2018.00015</v>
      </c>
      <c r="BG352" t="s">
        <v>72</v>
      </c>
      <c r="BH352" t="s">
        <v>72</v>
      </c>
      <c r="BI352">
        <v>9</v>
      </c>
      <c r="BJ352" t="s">
        <v>4411</v>
      </c>
      <c r="BK352" t="s">
        <v>712</v>
      </c>
      <c r="BL352" t="s">
        <v>5544</v>
      </c>
      <c r="BM352" t="s">
        <v>72</v>
      </c>
      <c r="BN352" t="s">
        <v>72</v>
      </c>
      <c r="BO352" t="s">
        <v>72</v>
      </c>
      <c r="BP352" t="s">
        <v>72</v>
      </c>
      <c r="BQ352" t="s">
        <v>100</v>
      </c>
      <c r="BR352" t="s">
        <v>5545</v>
      </c>
      <c r="BS352" t="str">
        <f>HYPERLINK("https%3A%2F%2Fwww.webofscience.com%2Fwos%2Fwoscc%2Ffull-record%2FWOS:000461375700009","View Full Record in Web of Science")</f>
        <v>View Full Record in Web of Science</v>
      </c>
    </row>
    <row r="353" spans="1:71" hidden="1" x14ac:dyDescent="0.2">
      <c r="A353" t="s">
        <v>305</v>
      </c>
      <c r="B353" t="s">
        <v>6473</v>
      </c>
      <c r="C353" t="s">
        <v>72</v>
      </c>
      <c r="D353" t="s">
        <v>6474</v>
      </c>
      <c r="E353" t="s">
        <v>72</v>
      </c>
      <c r="F353" t="s">
        <v>6475</v>
      </c>
      <c r="G353" t="s">
        <v>72</v>
      </c>
      <c r="H353" t="s">
        <v>72</v>
      </c>
      <c r="I353" t="s">
        <v>6476</v>
      </c>
      <c r="J353" t="s">
        <v>6477</v>
      </c>
      <c r="K353" t="s">
        <v>5048</v>
      </c>
      <c r="L353" t="s">
        <v>72</v>
      </c>
      <c r="M353" t="s">
        <v>76</v>
      </c>
      <c r="N353" t="s">
        <v>312</v>
      </c>
      <c r="O353" t="s">
        <v>6478</v>
      </c>
      <c r="P353" t="s">
        <v>6479</v>
      </c>
      <c r="Q353" t="s">
        <v>6480</v>
      </c>
      <c r="R353" t="s">
        <v>6481</v>
      </c>
      <c r="S353" t="s">
        <v>72</v>
      </c>
      <c r="T353" t="s">
        <v>72</v>
      </c>
      <c r="U353" t="s">
        <v>6482</v>
      </c>
      <c r="V353" t="s">
        <v>6483</v>
      </c>
      <c r="W353" t="s">
        <v>6484</v>
      </c>
      <c r="X353" t="s">
        <v>6485</v>
      </c>
      <c r="Y353" t="s">
        <v>6486</v>
      </c>
      <c r="Z353" t="s">
        <v>6487</v>
      </c>
      <c r="AA353" t="s">
        <v>72</v>
      </c>
      <c r="AB353" t="s">
        <v>6488</v>
      </c>
      <c r="AC353" t="s">
        <v>72</v>
      </c>
      <c r="AD353" t="s">
        <v>72</v>
      </c>
      <c r="AE353" t="s">
        <v>72</v>
      </c>
      <c r="AF353" t="s">
        <v>72</v>
      </c>
      <c r="AG353">
        <v>54</v>
      </c>
      <c r="AH353">
        <v>1095</v>
      </c>
      <c r="AI353">
        <v>1099</v>
      </c>
      <c r="AJ353">
        <v>22</v>
      </c>
      <c r="AK353">
        <v>173</v>
      </c>
      <c r="AL353" t="s">
        <v>4732</v>
      </c>
      <c r="AM353" t="s">
        <v>4733</v>
      </c>
      <c r="AN353" t="s">
        <v>6489</v>
      </c>
      <c r="AO353" t="s">
        <v>5061</v>
      </c>
      <c r="AP353" t="s">
        <v>72</v>
      </c>
      <c r="AQ353" t="s">
        <v>6490</v>
      </c>
      <c r="AR353" t="s">
        <v>5063</v>
      </c>
      <c r="AS353" t="s">
        <v>72</v>
      </c>
      <c r="AT353" t="s">
        <v>72</v>
      </c>
      <c r="AU353">
        <v>2016</v>
      </c>
      <c r="AV353" t="s">
        <v>72</v>
      </c>
      <c r="AW353" t="s">
        <v>72</v>
      </c>
      <c r="AX353" t="s">
        <v>72</v>
      </c>
      <c r="AY353" t="s">
        <v>72</v>
      </c>
      <c r="AZ353" t="s">
        <v>72</v>
      </c>
      <c r="BA353" t="s">
        <v>72</v>
      </c>
      <c r="BB353">
        <v>3928</v>
      </c>
      <c r="BC353">
        <v>3937</v>
      </c>
      <c r="BD353" t="s">
        <v>72</v>
      </c>
      <c r="BE353" t="s">
        <v>6491</v>
      </c>
      <c r="BF353" t="str">
        <f>HYPERLINK("http://dx.doi.org/10.1109/HICSS.2016.488","http://dx.doi.org/10.1109/HICSS.2016.488")</f>
        <v>http://dx.doi.org/10.1109/HICSS.2016.488</v>
      </c>
      <c r="BG353" t="s">
        <v>72</v>
      </c>
      <c r="BH353" t="s">
        <v>72</v>
      </c>
      <c r="BI353">
        <v>10</v>
      </c>
      <c r="BJ353" t="s">
        <v>711</v>
      </c>
      <c r="BK353" t="s">
        <v>712</v>
      </c>
      <c r="BL353" t="s">
        <v>6492</v>
      </c>
      <c r="BM353" t="s">
        <v>72</v>
      </c>
      <c r="BN353" t="s">
        <v>1128</v>
      </c>
      <c r="BO353" t="s">
        <v>72</v>
      </c>
      <c r="BP353" t="s">
        <v>72</v>
      </c>
      <c r="BQ353" t="s">
        <v>100</v>
      </c>
      <c r="BR353" t="s">
        <v>6493</v>
      </c>
      <c r="BS353" t="str">
        <f>HYPERLINK("https%3A%2F%2Fwww.webofscience.com%2Fwos%2Fwoscc%2Ffull-record%2FWOS:000432711503121","View Full Record in Web of Science")</f>
        <v>View Full Record in Web of Science</v>
      </c>
    </row>
    <row r="354" spans="1:71" hidden="1" x14ac:dyDescent="0.2">
      <c r="A354" t="s">
        <v>305</v>
      </c>
      <c r="B354" t="s">
        <v>10781</v>
      </c>
      <c r="C354" t="s">
        <v>72</v>
      </c>
      <c r="D354" t="s">
        <v>72</v>
      </c>
      <c r="E354" t="s">
        <v>10782</v>
      </c>
      <c r="F354" t="s">
        <v>10783</v>
      </c>
      <c r="G354" t="s">
        <v>72</v>
      </c>
      <c r="H354" t="s">
        <v>72</v>
      </c>
      <c r="I354" t="s">
        <v>10784</v>
      </c>
      <c r="J354" t="s">
        <v>10785</v>
      </c>
      <c r="K354" t="s">
        <v>10786</v>
      </c>
      <c r="L354" t="s">
        <v>72</v>
      </c>
      <c r="M354" t="s">
        <v>76</v>
      </c>
      <c r="N354" t="s">
        <v>312</v>
      </c>
      <c r="O354" t="s">
        <v>10787</v>
      </c>
      <c r="P354" t="s">
        <v>10788</v>
      </c>
      <c r="Q354" t="s">
        <v>10789</v>
      </c>
      <c r="R354" t="s">
        <v>10782</v>
      </c>
      <c r="S354" t="s">
        <v>72</v>
      </c>
      <c r="T354" t="s">
        <v>72</v>
      </c>
      <c r="U354" t="s">
        <v>72</v>
      </c>
      <c r="V354" t="s">
        <v>10790</v>
      </c>
      <c r="W354" t="s">
        <v>10791</v>
      </c>
      <c r="X354" t="s">
        <v>10792</v>
      </c>
      <c r="Y354" t="s">
        <v>10793</v>
      </c>
      <c r="Z354" t="s">
        <v>10794</v>
      </c>
      <c r="AA354" t="s">
        <v>10795</v>
      </c>
      <c r="AB354" t="s">
        <v>10796</v>
      </c>
      <c r="AC354" t="s">
        <v>10797</v>
      </c>
      <c r="AD354" t="s">
        <v>10798</v>
      </c>
      <c r="AE354" t="s">
        <v>10799</v>
      </c>
      <c r="AF354" t="s">
        <v>72</v>
      </c>
      <c r="AG354">
        <v>43</v>
      </c>
      <c r="AH354">
        <v>7</v>
      </c>
      <c r="AI354">
        <v>7</v>
      </c>
      <c r="AJ354">
        <v>0</v>
      </c>
      <c r="AK354">
        <v>3</v>
      </c>
      <c r="AL354" t="s">
        <v>10800</v>
      </c>
      <c r="AM354" t="s">
        <v>1092</v>
      </c>
      <c r="AN354" t="s">
        <v>10801</v>
      </c>
      <c r="AO354" t="s">
        <v>10802</v>
      </c>
      <c r="AP354" t="s">
        <v>10803</v>
      </c>
      <c r="AQ354" t="s">
        <v>10804</v>
      </c>
      <c r="AR354" t="s">
        <v>10805</v>
      </c>
      <c r="AS354" t="s">
        <v>72</v>
      </c>
      <c r="AT354" t="s">
        <v>72</v>
      </c>
      <c r="AU354">
        <v>2018</v>
      </c>
      <c r="AV354" t="s">
        <v>72</v>
      </c>
      <c r="AW354" t="s">
        <v>72</v>
      </c>
      <c r="AX354" t="s">
        <v>72</v>
      </c>
      <c r="AY354" t="s">
        <v>72</v>
      </c>
      <c r="AZ354" t="s">
        <v>72</v>
      </c>
      <c r="BA354" t="s">
        <v>72</v>
      </c>
      <c r="BB354">
        <v>5650</v>
      </c>
      <c r="BC354">
        <v>5657</v>
      </c>
      <c r="BD354" t="s">
        <v>72</v>
      </c>
      <c r="BE354" t="s">
        <v>72</v>
      </c>
      <c r="BF354" t="s">
        <v>72</v>
      </c>
      <c r="BG354" t="s">
        <v>72</v>
      </c>
      <c r="BH354" t="s">
        <v>72</v>
      </c>
      <c r="BI354">
        <v>8</v>
      </c>
      <c r="BJ354" t="s">
        <v>10806</v>
      </c>
      <c r="BK354" t="s">
        <v>712</v>
      </c>
      <c r="BL354" t="s">
        <v>10807</v>
      </c>
      <c r="BM354" t="s">
        <v>72</v>
      </c>
      <c r="BN354" t="s">
        <v>72</v>
      </c>
      <c r="BO354" t="s">
        <v>72</v>
      </c>
      <c r="BP354" t="s">
        <v>72</v>
      </c>
      <c r="BQ354" t="s">
        <v>100</v>
      </c>
      <c r="BR354" t="s">
        <v>10808</v>
      </c>
      <c r="BS354" t="str">
        <f>HYPERLINK("https%3A%2F%2Fwww.webofscience.com%2Fwos%2Fwoscc%2Ffull-record%2FWOS:000485488905092","View Full Record in Web of Science")</f>
        <v>View Full Record in Web of Science</v>
      </c>
    </row>
    <row r="355" spans="1:71" hidden="1" x14ac:dyDescent="0.2">
      <c r="A355" t="s">
        <v>305</v>
      </c>
      <c r="B355" t="s">
        <v>11081</v>
      </c>
      <c r="C355" t="s">
        <v>72</v>
      </c>
      <c r="D355" t="s">
        <v>72</v>
      </c>
      <c r="E355" t="s">
        <v>72</v>
      </c>
      <c r="F355" t="s">
        <v>11082</v>
      </c>
      <c r="G355" t="s">
        <v>72</v>
      </c>
      <c r="H355" t="s">
        <v>72</v>
      </c>
      <c r="I355" t="s">
        <v>11083</v>
      </c>
      <c r="J355" t="s">
        <v>11084</v>
      </c>
      <c r="K355" t="s">
        <v>72</v>
      </c>
      <c r="L355" t="s">
        <v>72</v>
      </c>
      <c r="M355" t="s">
        <v>76</v>
      </c>
      <c r="N355" t="s">
        <v>312</v>
      </c>
      <c r="O355" t="s">
        <v>11085</v>
      </c>
      <c r="P355" t="s">
        <v>11086</v>
      </c>
      <c r="Q355" t="s">
        <v>11087</v>
      </c>
      <c r="R355" t="s">
        <v>72</v>
      </c>
      <c r="S355" t="s">
        <v>72</v>
      </c>
      <c r="T355" t="s">
        <v>72</v>
      </c>
      <c r="U355" t="s">
        <v>72</v>
      </c>
      <c r="V355" t="s">
        <v>11088</v>
      </c>
      <c r="W355" t="s">
        <v>11089</v>
      </c>
      <c r="X355" t="s">
        <v>11090</v>
      </c>
      <c r="Y355" t="s">
        <v>11091</v>
      </c>
      <c r="Z355" t="s">
        <v>11092</v>
      </c>
      <c r="AA355" t="s">
        <v>72</v>
      </c>
      <c r="AB355" t="s">
        <v>11093</v>
      </c>
      <c r="AC355" t="s">
        <v>72</v>
      </c>
      <c r="AD355" t="s">
        <v>72</v>
      </c>
      <c r="AE355" t="s">
        <v>72</v>
      </c>
      <c r="AF355" t="s">
        <v>72</v>
      </c>
      <c r="AG355">
        <v>19</v>
      </c>
      <c r="AH355">
        <v>13</v>
      </c>
      <c r="AI355">
        <v>20</v>
      </c>
      <c r="AJ355">
        <v>0</v>
      </c>
      <c r="AK355">
        <v>2</v>
      </c>
      <c r="AL355" t="s">
        <v>4732</v>
      </c>
      <c r="AM355" t="s">
        <v>4733</v>
      </c>
      <c r="AN355" t="s">
        <v>6489</v>
      </c>
      <c r="AO355" t="s">
        <v>72</v>
      </c>
      <c r="AP355" t="s">
        <v>72</v>
      </c>
      <c r="AQ355" t="s">
        <v>11094</v>
      </c>
      <c r="AR355" t="s">
        <v>72</v>
      </c>
      <c r="AS355" t="s">
        <v>72</v>
      </c>
      <c r="AT355" t="s">
        <v>72</v>
      </c>
      <c r="AU355">
        <v>2007</v>
      </c>
      <c r="AV355" t="s">
        <v>72</v>
      </c>
      <c r="AW355" t="s">
        <v>72</v>
      </c>
      <c r="AX355" t="s">
        <v>72</v>
      </c>
      <c r="AY355" t="s">
        <v>72</v>
      </c>
      <c r="AZ355" t="s">
        <v>72</v>
      </c>
      <c r="BA355" t="s">
        <v>72</v>
      </c>
      <c r="BB355">
        <v>169</v>
      </c>
      <c r="BC355" t="s">
        <v>173</v>
      </c>
      <c r="BD355" t="s">
        <v>72</v>
      </c>
      <c r="BE355" t="s">
        <v>11095</v>
      </c>
      <c r="BF355" t="str">
        <f>HYPERLINK("http://dx.doi.org/10.1109/ICSC.2007.42","http://dx.doi.org/10.1109/ICSC.2007.42")</f>
        <v>http://dx.doi.org/10.1109/ICSC.2007.42</v>
      </c>
      <c r="BG355" t="s">
        <v>72</v>
      </c>
      <c r="BH355" t="s">
        <v>72</v>
      </c>
      <c r="BI355">
        <v>2</v>
      </c>
      <c r="BJ355" t="s">
        <v>11096</v>
      </c>
      <c r="BK355" t="s">
        <v>712</v>
      </c>
      <c r="BL355" t="s">
        <v>11097</v>
      </c>
      <c r="BM355" t="s">
        <v>72</v>
      </c>
      <c r="BN355" t="s">
        <v>72</v>
      </c>
      <c r="BO355" t="s">
        <v>72</v>
      </c>
      <c r="BP355" t="s">
        <v>72</v>
      </c>
      <c r="BQ355" t="s">
        <v>100</v>
      </c>
      <c r="BR355" t="s">
        <v>11098</v>
      </c>
      <c r="BS355" t="str">
        <f>HYPERLINK("https%3A%2F%2Fwww.webofscience.com%2Fwos%2Fwoscc%2Ffull-record%2FWOS:000250994500021","View Full Record in Web of Science")</f>
        <v>View Full Record in Web of Science</v>
      </c>
    </row>
    <row r="356" spans="1:71" hidden="1" x14ac:dyDescent="0.2">
      <c r="A356" t="s">
        <v>70</v>
      </c>
      <c r="B356" t="s">
        <v>7189</v>
      </c>
      <c r="C356" t="s">
        <v>72</v>
      </c>
      <c r="D356" t="s">
        <v>72</v>
      </c>
      <c r="E356" t="s">
        <v>72</v>
      </c>
      <c r="F356" t="s">
        <v>7189</v>
      </c>
      <c r="G356" t="s">
        <v>72</v>
      </c>
      <c r="H356" t="s">
        <v>72</v>
      </c>
      <c r="I356" t="s">
        <v>7190</v>
      </c>
      <c r="J356" t="s">
        <v>7191</v>
      </c>
      <c r="K356" t="s">
        <v>72</v>
      </c>
      <c r="L356" t="s">
        <v>72</v>
      </c>
      <c r="M356" t="s">
        <v>76</v>
      </c>
      <c r="N356" t="s">
        <v>77</v>
      </c>
      <c r="O356" t="s">
        <v>72</v>
      </c>
      <c r="P356" t="s">
        <v>72</v>
      </c>
      <c r="Q356" t="s">
        <v>72</v>
      </c>
      <c r="R356" t="s">
        <v>72</v>
      </c>
      <c r="S356" t="s">
        <v>72</v>
      </c>
      <c r="T356" t="s">
        <v>7192</v>
      </c>
      <c r="U356" t="s">
        <v>72</v>
      </c>
      <c r="V356" t="s">
        <v>7193</v>
      </c>
      <c r="W356" t="s">
        <v>7194</v>
      </c>
      <c r="X356" t="s">
        <v>7195</v>
      </c>
      <c r="Y356" t="s">
        <v>7196</v>
      </c>
      <c r="Z356" t="s">
        <v>7197</v>
      </c>
      <c r="AA356" t="s">
        <v>72</v>
      </c>
      <c r="AB356" t="s">
        <v>72</v>
      </c>
      <c r="AC356" t="s">
        <v>72</v>
      </c>
      <c r="AD356" t="s">
        <v>72</v>
      </c>
      <c r="AE356" t="s">
        <v>72</v>
      </c>
      <c r="AF356" t="s">
        <v>72</v>
      </c>
      <c r="AG356">
        <v>16</v>
      </c>
      <c r="AH356">
        <v>5</v>
      </c>
      <c r="AI356">
        <v>5</v>
      </c>
      <c r="AJ356">
        <v>0</v>
      </c>
      <c r="AK356">
        <v>5</v>
      </c>
      <c r="AL356" t="s">
        <v>7198</v>
      </c>
      <c r="AM356" t="s">
        <v>7199</v>
      </c>
      <c r="AN356" t="s">
        <v>7200</v>
      </c>
      <c r="AO356" t="s">
        <v>7201</v>
      </c>
      <c r="AP356" t="s">
        <v>7202</v>
      </c>
      <c r="AQ356" t="s">
        <v>72</v>
      </c>
      <c r="AR356" t="s">
        <v>7203</v>
      </c>
      <c r="AS356" t="s">
        <v>7204</v>
      </c>
      <c r="AT356" t="s">
        <v>247</v>
      </c>
      <c r="AU356">
        <v>2005</v>
      </c>
      <c r="AV356">
        <v>77</v>
      </c>
      <c r="AW356">
        <v>1</v>
      </c>
      <c r="AX356" t="s">
        <v>72</v>
      </c>
      <c r="AY356" t="s">
        <v>72</v>
      </c>
      <c r="AZ356" t="s">
        <v>72</v>
      </c>
      <c r="BA356" t="s">
        <v>72</v>
      </c>
      <c r="BB356">
        <v>81</v>
      </c>
      <c r="BC356">
        <v>86</v>
      </c>
      <c r="BD356" t="s">
        <v>72</v>
      </c>
      <c r="BE356" t="s">
        <v>7205</v>
      </c>
      <c r="BF356" t="str">
        <f>HYPERLINK("http://dx.doi.org/10.1016/j.cmpb.2004.08.002","http://dx.doi.org/10.1016/j.cmpb.2004.08.002")</f>
        <v>http://dx.doi.org/10.1016/j.cmpb.2004.08.002</v>
      </c>
      <c r="BG356" t="s">
        <v>72</v>
      </c>
      <c r="BH356" t="s">
        <v>72</v>
      </c>
      <c r="BI356">
        <v>6</v>
      </c>
      <c r="BJ356" t="s">
        <v>7206</v>
      </c>
      <c r="BK356" t="s">
        <v>7207</v>
      </c>
      <c r="BL356" t="s">
        <v>7208</v>
      </c>
      <c r="BM356">
        <v>15639712</v>
      </c>
      <c r="BN356" t="s">
        <v>72</v>
      </c>
      <c r="BO356" t="s">
        <v>72</v>
      </c>
      <c r="BP356" t="s">
        <v>72</v>
      </c>
      <c r="BQ356" t="s">
        <v>100</v>
      </c>
      <c r="BR356" t="s">
        <v>7209</v>
      </c>
      <c r="BS356" t="str">
        <f>HYPERLINK("https%3A%2F%2Fwww.webofscience.com%2Fwos%2Fwoscc%2Ffull-record%2FWOS:000226480900008","View Full Record in Web of Science")</f>
        <v>View Full Record in Web of Science</v>
      </c>
    </row>
    <row r="357" spans="1:71" hidden="1" x14ac:dyDescent="0.2">
      <c r="A357" t="s">
        <v>305</v>
      </c>
      <c r="B357" t="s">
        <v>8325</v>
      </c>
      <c r="C357" t="s">
        <v>72</v>
      </c>
      <c r="D357" t="s">
        <v>8326</v>
      </c>
      <c r="E357" t="s">
        <v>72</v>
      </c>
      <c r="F357" t="s">
        <v>8327</v>
      </c>
      <c r="G357" t="s">
        <v>72</v>
      </c>
      <c r="H357" t="s">
        <v>72</v>
      </c>
      <c r="I357" t="s">
        <v>8328</v>
      </c>
      <c r="J357" t="s">
        <v>8329</v>
      </c>
      <c r="K357" t="s">
        <v>8330</v>
      </c>
      <c r="L357" t="s">
        <v>72</v>
      </c>
      <c r="M357" t="s">
        <v>76</v>
      </c>
      <c r="N357" t="s">
        <v>312</v>
      </c>
      <c r="O357" t="s">
        <v>8331</v>
      </c>
      <c r="P357" t="s">
        <v>8332</v>
      </c>
      <c r="Q357" t="s">
        <v>8333</v>
      </c>
      <c r="R357" t="s">
        <v>8334</v>
      </c>
      <c r="S357" t="s">
        <v>72</v>
      </c>
      <c r="T357" t="s">
        <v>72</v>
      </c>
      <c r="U357" t="s">
        <v>72</v>
      </c>
      <c r="V357" t="s">
        <v>8335</v>
      </c>
      <c r="W357" t="s">
        <v>8336</v>
      </c>
      <c r="X357" t="s">
        <v>8337</v>
      </c>
      <c r="Y357" t="s">
        <v>8338</v>
      </c>
      <c r="Z357" t="s">
        <v>8339</v>
      </c>
      <c r="AA357" t="s">
        <v>72</v>
      </c>
      <c r="AB357" t="s">
        <v>72</v>
      </c>
      <c r="AC357" t="s">
        <v>72</v>
      </c>
      <c r="AD357" t="s">
        <v>72</v>
      </c>
      <c r="AE357" t="s">
        <v>72</v>
      </c>
      <c r="AF357" t="s">
        <v>72</v>
      </c>
      <c r="AG357">
        <v>8</v>
      </c>
      <c r="AH357">
        <v>3</v>
      </c>
      <c r="AI357">
        <v>3</v>
      </c>
      <c r="AJ357">
        <v>0</v>
      </c>
      <c r="AK357">
        <v>0</v>
      </c>
      <c r="AL357" t="s">
        <v>4732</v>
      </c>
      <c r="AM357" t="s">
        <v>4733</v>
      </c>
      <c r="AN357" t="s">
        <v>6489</v>
      </c>
      <c r="AO357" t="s">
        <v>8340</v>
      </c>
      <c r="AP357" t="s">
        <v>72</v>
      </c>
      <c r="AQ357" t="s">
        <v>8341</v>
      </c>
      <c r="AR357" t="s">
        <v>8342</v>
      </c>
      <c r="AS357" t="s">
        <v>72</v>
      </c>
      <c r="AT357" t="s">
        <v>72</v>
      </c>
      <c r="AU357">
        <v>2007</v>
      </c>
      <c r="AV357" t="s">
        <v>72</v>
      </c>
      <c r="AW357" t="s">
        <v>72</v>
      </c>
      <c r="AX357" t="s">
        <v>72</v>
      </c>
      <c r="AY357" t="s">
        <v>72</v>
      </c>
      <c r="AZ357" t="s">
        <v>72</v>
      </c>
      <c r="BA357" t="s">
        <v>72</v>
      </c>
      <c r="BB357">
        <v>894</v>
      </c>
      <c r="BC357">
        <v>898</v>
      </c>
      <c r="BD357" t="s">
        <v>72</v>
      </c>
      <c r="BE357" t="s">
        <v>72</v>
      </c>
      <c r="BF357" t="s">
        <v>72</v>
      </c>
      <c r="BG357" t="s">
        <v>72</v>
      </c>
      <c r="BH357" t="s">
        <v>72</v>
      </c>
      <c r="BI357">
        <v>5</v>
      </c>
      <c r="BJ357" t="s">
        <v>8343</v>
      </c>
      <c r="BK357" t="s">
        <v>8344</v>
      </c>
      <c r="BL357" t="s">
        <v>8345</v>
      </c>
      <c r="BM357" t="s">
        <v>72</v>
      </c>
      <c r="BN357" t="s">
        <v>72</v>
      </c>
      <c r="BO357" t="s">
        <v>72</v>
      </c>
      <c r="BP357" t="s">
        <v>72</v>
      </c>
      <c r="BQ357" t="s">
        <v>100</v>
      </c>
      <c r="BR357" t="s">
        <v>8346</v>
      </c>
      <c r="BS357" t="str">
        <f>HYPERLINK("https%3A%2F%2Fwww.webofscience.com%2Fwos%2Fwoscc%2Ffull-record%2FWOS:000252162600179","View Full Record in Web of Science")</f>
        <v>View Full Record in Web of Science</v>
      </c>
    </row>
    <row r="358" spans="1:71" hidden="1" x14ac:dyDescent="0.2">
      <c r="A358" t="s">
        <v>70</v>
      </c>
      <c r="B358" t="s">
        <v>2240</v>
      </c>
      <c r="C358" t="s">
        <v>72</v>
      </c>
      <c r="D358" t="s">
        <v>72</v>
      </c>
      <c r="E358" t="s">
        <v>72</v>
      </c>
      <c r="F358" t="s">
        <v>2241</v>
      </c>
      <c r="G358" t="s">
        <v>72</v>
      </c>
      <c r="H358" t="s">
        <v>72</v>
      </c>
      <c r="I358" t="s">
        <v>2242</v>
      </c>
      <c r="J358" t="s">
        <v>2243</v>
      </c>
      <c r="K358" t="s">
        <v>72</v>
      </c>
      <c r="L358" t="s">
        <v>72</v>
      </c>
      <c r="M358" t="s">
        <v>76</v>
      </c>
      <c r="N358" t="s">
        <v>77</v>
      </c>
      <c r="O358" t="s">
        <v>72</v>
      </c>
      <c r="P358" t="s">
        <v>72</v>
      </c>
      <c r="Q358" t="s">
        <v>72</v>
      </c>
      <c r="R358" t="s">
        <v>72</v>
      </c>
      <c r="S358" t="s">
        <v>72</v>
      </c>
      <c r="T358" t="s">
        <v>72</v>
      </c>
      <c r="U358" t="s">
        <v>2244</v>
      </c>
      <c r="V358" t="s">
        <v>2245</v>
      </c>
      <c r="W358" t="s">
        <v>2246</v>
      </c>
      <c r="X358" t="s">
        <v>2247</v>
      </c>
      <c r="Y358" t="s">
        <v>2248</v>
      </c>
      <c r="Z358" t="s">
        <v>2249</v>
      </c>
      <c r="AA358" t="s">
        <v>72</v>
      </c>
      <c r="AB358" t="s">
        <v>2250</v>
      </c>
      <c r="AC358" t="s">
        <v>2251</v>
      </c>
      <c r="AD358" t="s">
        <v>2252</v>
      </c>
      <c r="AE358" t="s">
        <v>2253</v>
      </c>
      <c r="AF358" t="s">
        <v>72</v>
      </c>
      <c r="AG358">
        <v>58</v>
      </c>
      <c r="AH358">
        <v>24</v>
      </c>
      <c r="AI358">
        <v>24</v>
      </c>
      <c r="AJ358">
        <v>2</v>
      </c>
      <c r="AK358">
        <v>21</v>
      </c>
      <c r="AL358" t="s">
        <v>1260</v>
      </c>
      <c r="AM358" t="s">
        <v>964</v>
      </c>
      <c r="AN358" t="s">
        <v>965</v>
      </c>
      <c r="AO358" t="s">
        <v>2254</v>
      </c>
      <c r="AP358" t="s">
        <v>2255</v>
      </c>
      <c r="AQ358" t="s">
        <v>72</v>
      </c>
      <c r="AR358" t="s">
        <v>2256</v>
      </c>
      <c r="AS358" t="s">
        <v>2257</v>
      </c>
      <c r="AT358" t="s">
        <v>951</v>
      </c>
      <c r="AU358">
        <v>2011</v>
      </c>
      <c r="AV358">
        <v>62</v>
      </c>
      <c r="AW358">
        <v>11</v>
      </c>
      <c r="AX358" t="s">
        <v>72</v>
      </c>
      <c r="AY358" t="s">
        <v>72</v>
      </c>
      <c r="AZ358" t="s">
        <v>72</v>
      </c>
      <c r="BA358" t="s">
        <v>72</v>
      </c>
      <c r="BB358">
        <v>2095</v>
      </c>
      <c r="BC358">
        <v>2105</v>
      </c>
      <c r="BD358" t="s">
        <v>72</v>
      </c>
      <c r="BE358" t="s">
        <v>2258</v>
      </c>
      <c r="BF358" t="str">
        <f>HYPERLINK("http://dx.doi.org/10.1002/asi.21610","http://dx.doi.org/10.1002/asi.21610")</f>
        <v>http://dx.doi.org/10.1002/asi.21610</v>
      </c>
      <c r="BG358" t="s">
        <v>72</v>
      </c>
      <c r="BH358" t="s">
        <v>72</v>
      </c>
      <c r="BI358">
        <v>11</v>
      </c>
      <c r="BJ358" t="s">
        <v>2259</v>
      </c>
      <c r="BK358" t="s">
        <v>2260</v>
      </c>
      <c r="BL358" t="s">
        <v>2261</v>
      </c>
      <c r="BM358" t="s">
        <v>72</v>
      </c>
      <c r="BN358" t="s">
        <v>559</v>
      </c>
      <c r="BO358" t="s">
        <v>72</v>
      </c>
      <c r="BP358" t="s">
        <v>72</v>
      </c>
      <c r="BQ358" t="s">
        <v>100</v>
      </c>
      <c r="BR358" t="s">
        <v>2262</v>
      </c>
      <c r="BS358" t="str">
        <f>HYPERLINK("https%3A%2F%2Fwww.webofscience.com%2Fwos%2Fwoscc%2Ffull-record%2FWOS:000296453900002","View Full Record in Web of Science")</f>
        <v>View Full Record in Web of Science</v>
      </c>
    </row>
    <row r="359" spans="1:71" hidden="1" x14ac:dyDescent="0.2">
      <c r="A359" t="s">
        <v>305</v>
      </c>
      <c r="B359" t="s">
        <v>2515</v>
      </c>
      <c r="C359" t="s">
        <v>72</v>
      </c>
      <c r="D359" t="s">
        <v>2516</v>
      </c>
      <c r="E359" t="s">
        <v>72</v>
      </c>
      <c r="F359" t="s">
        <v>2517</v>
      </c>
      <c r="G359" t="s">
        <v>72</v>
      </c>
      <c r="H359" t="s">
        <v>72</v>
      </c>
      <c r="I359" t="s">
        <v>2518</v>
      </c>
      <c r="J359" t="s">
        <v>2519</v>
      </c>
      <c r="K359" t="s">
        <v>2520</v>
      </c>
      <c r="L359" t="s">
        <v>72</v>
      </c>
      <c r="M359" t="s">
        <v>76</v>
      </c>
      <c r="N359" t="s">
        <v>312</v>
      </c>
      <c r="O359" t="s">
        <v>2521</v>
      </c>
      <c r="P359" t="s">
        <v>2522</v>
      </c>
      <c r="Q359" t="s">
        <v>2523</v>
      </c>
      <c r="R359" t="s">
        <v>2524</v>
      </c>
      <c r="S359" t="s">
        <v>2525</v>
      </c>
      <c r="T359" t="s">
        <v>2526</v>
      </c>
      <c r="U359" t="s">
        <v>72</v>
      </c>
      <c r="V359" t="s">
        <v>2527</v>
      </c>
      <c r="W359" t="s">
        <v>2528</v>
      </c>
      <c r="X359" t="s">
        <v>545</v>
      </c>
      <c r="Y359" t="s">
        <v>2529</v>
      </c>
      <c r="Z359" t="s">
        <v>2530</v>
      </c>
      <c r="AA359" t="s">
        <v>72</v>
      </c>
      <c r="AB359" t="s">
        <v>72</v>
      </c>
      <c r="AC359" t="s">
        <v>2531</v>
      </c>
      <c r="AD359" t="s">
        <v>2532</v>
      </c>
      <c r="AE359" t="s">
        <v>2533</v>
      </c>
      <c r="AF359" t="s">
        <v>72</v>
      </c>
      <c r="AG359">
        <v>28</v>
      </c>
      <c r="AH359">
        <v>0</v>
      </c>
      <c r="AI359">
        <v>0</v>
      </c>
      <c r="AJ359">
        <v>0</v>
      </c>
      <c r="AK359">
        <v>2</v>
      </c>
      <c r="AL359" t="s">
        <v>1102</v>
      </c>
      <c r="AM359" t="s">
        <v>707</v>
      </c>
      <c r="AN359" t="s">
        <v>1121</v>
      </c>
      <c r="AO359" t="s">
        <v>2534</v>
      </c>
      <c r="AP359" t="s">
        <v>72</v>
      </c>
      <c r="AQ359" t="s">
        <v>2535</v>
      </c>
      <c r="AR359" t="s">
        <v>2536</v>
      </c>
      <c r="AS359" t="s">
        <v>72</v>
      </c>
      <c r="AT359" t="s">
        <v>72</v>
      </c>
      <c r="AU359">
        <v>2020</v>
      </c>
      <c r="AV359" t="s">
        <v>72</v>
      </c>
      <c r="AW359" t="s">
        <v>72</v>
      </c>
      <c r="AX359" t="s">
        <v>72</v>
      </c>
      <c r="AY359" t="s">
        <v>72</v>
      </c>
      <c r="AZ359" t="s">
        <v>72</v>
      </c>
      <c r="BA359" t="s">
        <v>72</v>
      </c>
      <c r="BB359">
        <v>321</v>
      </c>
      <c r="BC359">
        <v>327</v>
      </c>
      <c r="BD359" t="s">
        <v>72</v>
      </c>
      <c r="BE359" t="s">
        <v>2537</v>
      </c>
      <c r="BF359" t="str">
        <f>HYPERLINK("http://dx.doi.org/10.1109/CIST49399.2021.9357262","http://dx.doi.org/10.1109/CIST49399.2021.9357262")</f>
        <v>http://dx.doi.org/10.1109/CIST49399.2021.9357262</v>
      </c>
      <c r="BG359" t="s">
        <v>72</v>
      </c>
      <c r="BH359" t="s">
        <v>72</v>
      </c>
      <c r="BI359">
        <v>7</v>
      </c>
      <c r="BJ359" t="s">
        <v>2538</v>
      </c>
      <c r="BK359" t="s">
        <v>2260</v>
      </c>
      <c r="BL359" t="s">
        <v>2539</v>
      </c>
      <c r="BM359" t="s">
        <v>72</v>
      </c>
      <c r="BN359" t="s">
        <v>72</v>
      </c>
      <c r="BO359" t="s">
        <v>72</v>
      </c>
      <c r="BP359" t="s">
        <v>72</v>
      </c>
      <c r="BQ359" t="s">
        <v>100</v>
      </c>
      <c r="BR359" t="s">
        <v>2540</v>
      </c>
      <c r="BS359" t="str">
        <f>HYPERLINK("https%3A%2F%2Fwww.webofscience.com%2Fwos%2Fwoscc%2Ffull-record%2FWOS:000657322100055","View Full Record in Web of Science")</f>
        <v>View Full Record in Web of Science</v>
      </c>
    </row>
    <row r="360" spans="1:71" hidden="1" x14ac:dyDescent="0.2">
      <c r="A360" t="s">
        <v>70</v>
      </c>
      <c r="B360" t="s">
        <v>12142</v>
      </c>
      <c r="C360" t="s">
        <v>72</v>
      </c>
      <c r="D360" t="s">
        <v>72</v>
      </c>
      <c r="E360" t="s">
        <v>72</v>
      </c>
      <c r="F360" t="s">
        <v>12143</v>
      </c>
      <c r="G360" t="s">
        <v>72</v>
      </c>
      <c r="H360" t="s">
        <v>72</v>
      </c>
      <c r="I360" t="s">
        <v>12144</v>
      </c>
      <c r="J360" t="s">
        <v>12145</v>
      </c>
      <c r="K360" t="s">
        <v>72</v>
      </c>
      <c r="L360" t="s">
        <v>72</v>
      </c>
      <c r="M360" t="s">
        <v>76</v>
      </c>
      <c r="N360" t="s">
        <v>77</v>
      </c>
      <c r="O360" t="s">
        <v>72</v>
      </c>
      <c r="P360" t="s">
        <v>72</v>
      </c>
      <c r="Q360" t="s">
        <v>72</v>
      </c>
      <c r="R360" t="s">
        <v>72</v>
      </c>
      <c r="S360" t="s">
        <v>72</v>
      </c>
      <c r="T360" t="s">
        <v>12146</v>
      </c>
      <c r="U360" t="s">
        <v>72</v>
      </c>
      <c r="V360" t="s">
        <v>12147</v>
      </c>
      <c r="W360" t="s">
        <v>12148</v>
      </c>
      <c r="X360" t="s">
        <v>5476</v>
      </c>
      <c r="Y360" t="s">
        <v>12149</v>
      </c>
      <c r="Z360" t="s">
        <v>12150</v>
      </c>
      <c r="AA360" t="s">
        <v>5479</v>
      </c>
      <c r="AB360" t="s">
        <v>5480</v>
      </c>
      <c r="AC360" t="s">
        <v>72</v>
      </c>
      <c r="AD360" t="s">
        <v>72</v>
      </c>
      <c r="AE360" t="s">
        <v>72</v>
      </c>
      <c r="AF360" t="s">
        <v>72</v>
      </c>
      <c r="AG360">
        <v>66</v>
      </c>
      <c r="AH360">
        <v>51</v>
      </c>
      <c r="AI360">
        <v>54</v>
      </c>
      <c r="AJ360">
        <v>1</v>
      </c>
      <c r="AK360">
        <v>35</v>
      </c>
      <c r="AL360" t="s">
        <v>1596</v>
      </c>
      <c r="AM360" t="s">
        <v>451</v>
      </c>
      <c r="AN360" t="s">
        <v>1597</v>
      </c>
      <c r="AO360" t="s">
        <v>12151</v>
      </c>
      <c r="AP360" t="s">
        <v>12152</v>
      </c>
      <c r="AQ360" t="s">
        <v>72</v>
      </c>
      <c r="AR360" t="s">
        <v>12153</v>
      </c>
      <c r="AS360" t="s">
        <v>12154</v>
      </c>
      <c r="AT360" t="s">
        <v>197</v>
      </c>
      <c r="AU360">
        <v>2017</v>
      </c>
      <c r="AV360">
        <v>53</v>
      </c>
      <c r="AW360">
        <v>3</v>
      </c>
      <c r="AX360" t="s">
        <v>72</v>
      </c>
      <c r="AY360" t="s">
        <v>72</v>
      </c>
      <c r="AZ360" t="s">
        <v>72</v>
      </c>
      <c r="BA360" t="s">
        <v>72</v>
      </c>
      <c r="BB360">
        <v>640</v>
      </c>
      <c r="BC360">
        <v>652</v>
      </c>
      <c r="BD360" t="s">
        <v>72</v>
      </c>
      <c r="BE360" t="s">
        <v>12155</v>
      </c>
      <c r="BF360" t="str">
        <f>HYPERLINK("http://dx.doi.org/10.1016/j.ipm.2017.01.002","http://dx.doi.org/10.1016/j.ipm.2017.01.002")</f>
        <v>http://dx.doi.org/10.1016/j.ipm.2017.01.002</v>
      </c>
      <c r="BG360" t="s">
        <v>72</v>
      </c>
      <c r="BH360" t="s">
        <v>72</v>
      </c>
      <c r="BI360">
        <v>13</v>
      </c>
      <c r="BJ360" t="s">
        <v>2259</v>
      </c>
      <c r="BK360" t="s">
        <v>2260</v>
      </c>
      <c r="BL360" t="s">
        <v>12156</v>
      </c>
      <c r="BM360" t="s">
        <v>72</v>
      </c>
      <c r="BN360" t="s">
        <v>72</v>
      </c>
      <c r="BO360" t="s">
        <v>72</v>
      </c>
      <c r="BP360" t="s">
        <v>72</v>
      </c>
      <c r="BQ360" t="s">
        <v>100</v>
      </c>
      <c r="BR360" t="s">
        <v>12157</v>
      </c>
      <c r="BS360" t="str">
        <f>HYPERLINK("https%3A%2F%2Fwww.webofscience.com%2Fwos%2Fwoscc%2Ffull-record%2FWOS:000396972300006","View Full Record in Web of Science")</f>
        <v>View Full Record in Web of Science</v>
      </c>
    </row>
    <row r="361" spans="1:71" hidden="1" x14ac:dyDescent="0.2">
      <c r="A361" t="s">
        <v>305</v>
      </c>
      <c r="B361" t="s">
        <v>14082</v>
      </c>
      <c r="C361" t="s">
        <v>72</v>
      </c>
      <c r="D361" t="s">
        <v>14083</v>
      </c>
      <c r="E361" t="s">
        <v>72</v>
      </c>
      <c r="F361" t="s">
        <v>14084</v>
      </c>
      <c r="G361" t="s">
        <v>72</v>
      </c>
      <c r="H361" t="s">
        <v>72</v>
      </c>
      <c r="I361" t="s">
        <v>14085</v>
      </c>
      <c r="J361" t="s">
        <v>14086</v>
      </c>
      <c r="K361" t="s">
        <v>14087</v>
      </c>
      <c r="L361" t="s">
        <v>72</v>
      </c>
      <c r="M361" t="s">
        <v>76</v>
      </c>
      <c r="N361" t="s">
        <v>312</v>
      </c>
      <c r="O361" t="s">
        <v>14088</v>
      </c>
      <c r="P361" t="s">
        <v>14089</v>
      </c>
      <c r="Q361" t="s">
        <v>14090</v>
      </c>
      <c r="R361" t="s">
        <v>14091</v>
      </c>
      <c r="S361" t="s">
        <v>72</v>
      </c>
      <c r="T361" t="s">
        <v>14092</v>
      </c>
      <c r="U361" t="s">
        <v>14093</v>
      </c>
      <c r="V361" t="s">
        <v>14094</v>
      </c>
      <c r="W361" t="s">
        <v>14095</v>
      </c>
      <c r="X361" t="s">
        <v>14096</v>
      </c>
      <c r="Y361" t="s">
        <v>14097</v>
      </c>
      <c r="Z361" t="s">
        <v>14098</v>
      </c>
      <c r="AA361" t="s">
        <v>72</v>
      </c>
      <c r="AB361" t="s">
        <v>14099</v>
      </c>
      <c r="AC361" t="s">
        <v>14100</v>
      </c>
      <c r="AD361" t="s">
        <v>14100</v>
      </c>
      <c r="AE361" t="s">
        <v>14101</v>
      </c>
      <c r="AF361" t="s">
        <v>72</v>
      </c>
      <c r="AG361">
        <v>52</v>
      </c>
      <c r="AH361">
        <v>9</v>
      </c>
      <c r="AI361">
        <v>9</v>
      </c>
      <c r="AJ361">
        <v>1</v>
      </c>
      <c r="AK361">
        <v>2</v>
      </c>
      <c r="AL361" t="s">
        <v>1102</v>
      </c>
      <c r="AM361" t="s">
        <v>707</v>
      </c>
      <c r="AN361" t="s">
        <v>1121</v>
      </c>
      <c r="AO361" t="s">
        <v>14102</v>
      </c>
      <c r="AP361" t="s">
        <v>14103</v>
      </c>
      <c r="AQ361" t="s">
        <v>14104</v>
      </c>
      <c r="AR361" t="s">
        <v>14105</v>
      </c>
      <c r="AS361" t="s">
        <v>72</v>
      </c>
      <c r="AT361" t="s">
        <v>72</v>
      </c>
      <c r="AU361">
        <v>2019</v>
      </c>
      <c r="AV361" t="s">
        <v>72</v>
      </c>
      <c r="AW361" t="s">
        <v>72</v>
      </c>
      <c r="AX361" t="s">
        <v>72</v>
      </c>
      <c r="AY361" t="s">
        <v>72</v>
      </c>
      <c r="AZ361" t="s">
        <v>72</v>
      </c>
      <c r="BA361" t="s">
        <v>72</v>
      </c>
      <c r="BB361">
        <v>196</v>
      </c>
      <c r="BC361">
        <v>205</v>
      </c>
      <c r="BD361" t="s">
        <v>72</v>
      </c>
      <c r="BE361" t="s">
        <v>14106</v>
      </c>
      <c r="BF361" t="str">
        <f>HYPERLINK("http://dx.doi.org/10.1109/JCDL.2019.00036","http://dx.doi.org/10.1109/JCDL.2019.00036")</f>
        <v>http://dx.doi.org/10.1109/JCDL.2019.00036</v>
      </c>
      <c r="BG361" t="s">
        <v>72</v>
      </c>
      <c r="BH361" t="s">
        <v>72</v>
      </c>
      <c r="BI361">
        <v>10</v>
      </c>
      <c r="BJ361" t="s">
        <v>14107</v>
      </c>
      <c r="BK361" t="s">
        <v>2260</v>
      </c>
      <c r="BL361" t="s">
        <v>14108</v>
      </c>
      <c r="BM361" t="s">
        <v>72</v>
      </c>
      <c r="BN361" t="s">
        <v>72</v>
      </c>
      <c r="BO361" t="s">
        <v>72</v>
      </c>
      <c r="BP361" t="s">
        <v>72</v>
      </c>
      <c r="BQ361" t="s">
        <v>100</v>
      </c>
      <c r="BR361" t="s">
        <v>14109</v>
      </c>
      <c r="BS361" t="str">
        <f>HYPERLINK("https%3A%2F%2Fwww.webofscience.com%2Fwos%2Fwoscc%2Ffull-record%2FWOS:000555928200029","View Full Record in Web of Science")</f>
        <v>View Full Record in Web of Science</v>
      </c>
    </row>
    <row r="362" spans="1:71" hidden="1" x14ac:dyDescent="0.2">
      <c r="A362" t="s">
        <v>70</v>
      </c>
      <c r="B362" t="s">
        <v>9627</v>
      </c>
      <c r="C362" t="s">
        <v>72</v>
      </c>
      <c r="D362" t="s">
        <v>72</v>
      </c>
      <c r="E362" t="s">
        <v>72</v>
      </c>
      <c r="F362" t="s">
        <v>9628</v>
      </c>
      <c r="G362" t="s">
        <v>72</v>
      </c>
      <c r="H362" t="s">
        <v>72</v>
      </c>
      <c r="I362" t="s">
        <v>15960</v>
      </c>
      <c r="J362" t="s">
        <v>15961</v>
      </c>
      <c r="K362" t="s">
        <v>72</v>
      </c>
      <c r="L362" t="s">
        <v>72</v>
      </c>
      <c r="M362" t="s">
        <v>76</v>
      </c>
      <c r="N362" t="s">
        <v>77</v>
      </c>
      <c r="O362" t="s">
        <v>72</v>
      </c>
      <c r="P362" t="s">
        <v>72</v>
      </c>
      <c r="Q362" t="s">
        <v>72</v>
      </c>
      <c r="R362" t="s">
        <v>72</v>
      </c>
      <c r="S362" t="s">
        <v>72</v>
      </c>
      <c r="T362" t="s">
        <v>15962</v>
      </c>
      <c r="U362" t="s">
        <v>15963</v>
      </c>
      <c r="V362" t="s">
        <v>15964</v>
      </c>
      <c r="W362" t="s">
        <v>15965</v>
      </c>
      <c r="X362" t="s">
        <v>9634</v>
      </c>
      <c r="Y362" t="s">
        <v>15966</v>
      </c>
      <c r="Z362" t="s">
        <v>15967</v>
      </c>
      <c r="AA362" t="s">
        <v>9637</v>
      </c>
      <c r="AB362" t="s">
        <v>9638</v>
      </c>
      <c r="AC362" t="s">
        <v>15968</v>
      </c>
      <c r="AD362" t="s">
        <v>9634</v>
      </c>
      <c r="AE362" t="s">
        <v>15969</v>
      </c>
      <c r="AF362" t="s">
        <v>72</v>
      </c>
      <c r="AG362">
        <v>49</v>
      </c>
      <c r="AH362">
        <v>1</v>
      </c>
      <c r="AI362">
        <v>1</v>
      </c>
      <c r="AJ362">
        <v>1</v>
      </c>
      <c r="AK362">
        <v>25</v>
      </c>
      <c r="AL362" t="s">
        <v>1165</v>
      </c>
      <c r="AM362" t="s">
        <v>1166</v>
      </c>
      <c r="AN362" t="s">
        <v>1167</v>
      </c>
      <c r="AO362" t="s">
        <v>15970</v>
      </c>
      <c r="AP362" t="s">
        <v>15971</v>
      </c>
      <c r="AQ362" t="s">
        <v>72</v>
      </c>
      <c r="AR362" t="s">
        <v>15972</v>
      </c>
      <c r="AS362" t="s">
        <v>15973</v>
      </c>
      <c r="AT362" t="s">
        <v>15974</v>
      </c>
      <c r="AU362">
        <v>2019</v>
      </c>
      <c r="AV362">
        <v>43</v>
      </c>
      <c r="AW362">
        <v>1</v>
      </c>
      <c r="AX362" t="s">
        <v>72</v>
      </c>
      <c r="AY362" t="s">
        <v>72</v>
      </c>
      <c r="AZ362" t="s">
        <v>72</v>
      </c>
      <c r="BA362" t="s">
        <v>72</v>
      </c>
      <c r="BB362">
        <v>133</v>
      </c>
      <c r="BC362">
        <v>148</v>
      </c>
      <c r="BD362" t="s">
        <v>72</v>
      </c>
      <c r="BE362" t="s">
        <v>15975</v>
      </c>
      <c r="BF362" t="str">
        <f>HYPERLINK("http://dx.doi.org/10.1108/OIR-03-2018-0090","http://dx.doi.org/10.1108/OIR-03-2018-0090")</f>
        <v>http://dx.doi.org/10.1108/OIR-03-2018-0090</v>
      </c>
      <c r="BG362" t="s">
        <v>72</v>
      </c>
      <c r="BH362" t="s">
        <v>72</v>
      </c>
      <c r="BI362">
        <v>16</v>
      </c>
      <c r="BJ362" t="s">
        <v>2259</v>
      </c>
      <c r="BK362" t="s">
        <v>2260</v>
      </c>
      <c r="BL362" t="s">
        <v>15976</v>
      </c>
      <c r="BM362" t="s">
        <v>72</v>
      </c>
      <c r="BN362" t="s">
        <v>72</v>
      </c>
      <c r="BO362" t="s">
        <v>72</v>
      </c>
      <c r="BP362" t="s">
        <v>72</v>
      </c>
      <c r="BQ362" t="s">
        <v>100</v>
      </c>
      <c r="BR362" t="s">
        <v>15977</v>
      </c>
      <c r="BS362" t="str">
        <f>HYPERLINK("https%3A%2F%2Fwww.webofscience.com%2Fwos%2Fwoscc%2Ffull-record%2FWOS:000458411500008","View Full Record in Web of Science")</f>
        <v>View Full Record in Web of Science</v>
      </c>
    </row>
    <row r="363" spans="1:71" hidden="1" x14ac:dyDescent="0.2">
      <c r="A363" t="s">
        <v>70</v>
      </c>
      <c r="B363" t="s">
        <v>2349</v>
      </c>
      <c r="C363" t="s">
        <v>72</v>
      </c>
      <c r="D363" t="s">
        <v>72</v>
      </c>
      <c r="E363" t="s">
        <v>72</v>
      </c>
      <c r="F363" t="s">
        <v>2350</v>
      </c>
      <c r="G363" t="s">
        <v>72</v>
      </c>
      <c r="H363" t="s">
        <v>72</v>
      </c>
      <c r="I363" t="s">
        <v>2351</v>
      </c>
      <c r="J363" t="s">
        <v>2352</v>
      </c>
      <c r="K363" t="s">
        <v>72</v>
      </c>
      <c r="L363" t="s">
        <v>72</v>
      </c>
      <c r="M363" t="s">
        <v>76</v>
      </c>
      <c r="N363" t="s">
        <v>77</v>
      </c>
      <c r="O363" t="s">
        <v>72</v>
      </c>
      <c r="P363" t="s">
        <v>72</v>
      </c>
      <c r="Q363" t="s">
        <v>72</v>
      </c>
      <c r="R363" t="s">
        <v>72</v>
      </c>
      <c r="S363" t="s">
        <v>72</v>
      </c>
      <c r="T363" t="s">
        <v>2353</v>
      </c>
      <c r="U363" t="s">
        <v>2354</v>
      </c>
      <c r="V363" t="s">
        <v>2355</v>
      </c>
      <c r="W363" t="s">
        <v>2356</v>
      </c>
      <c r="X363" t="s">
        <v>2357</v>
      </c>
      <c r="Y363" t="s">
        <v>2358</v>
      </c>
      <c r="Z363" t="s">
        <v>2359</v>
      </c>
      <c r="AA363" t="s">
        <v>2360</v>
      </c>
      <c r="AB363" t="s">
        <v>2042</v>
      </c>
      <c r="AC363" t="s">
        <v>72</v>
      </c>
      <c r="AD363" t="s">
        <v>72</v>
      </c>
      <c r="AE363" t="s">
        <v>72</v>
      </c>
      <c r="AF363" t="s">
        <v>72</v>
      </c>
      <c r="AG363">
        <v>81</v>
      </c>
      <c r="AH363">
        <v>22</v>
      </c>
      <c r="AI363">
        <v>22</v>
      </c>
      <c r="AJ363">
        <v>7</v>
      </c>
      <c r="AK363">
        <v>48</v>
      </c>
      <c r="AL363" t="s">
        <v>364</v>
      </c>
      <c r="AM363" t="s">
        <v>365</v>
      </c>
      <c r="AN363" t="s">
        <v>366</v>
      </c>
      <c r="AO363" t="s">
        <v>2361</v>
      </c>
      <c r="AP363" t="s">
        <v>2362</v>
      </c>
      <c r="AQ363" t="s">
        <v>72</v>
      </c>
      <c r="AR363" t="s">
        <v>2363</v>
      </c>
      <c r="AS363" t="s">
        <v>2364</v>
      </c>
      <c r="AT363" t="s">
        <v>72</v>
      </c>
      <c r="AU363">
        <v>2016</v>
      </c>
      <c r="AV363">
        <v>33</v>
      </c>
      <c r="AW363">
        <v>2</v>
      </c>
      <c r="AX363" t="s">
        <v>72</v>
      </c>
      <c r="AY363" t="s">
        <v>72</v>
      </c>
      <c r="AZ363" t="s">
        <v>478</v>
      </c>
      <c r="BA363" t="s">
        <v>72</v>
      </c>
      <c r="BB363">
        <v>511</v>
      </c>
      <c r="BC363">
        <v>541</v>
      </c>
      <c r="BD363" t="s">
        <v>72</v>
      </c>
      <c r="BE363" t="s">
        <v>2365</v>
      </c>
      <c r="BF363" t="str">
        <f>HYPERLINK("http://dx.doi.org/10.1080/07421222.2016.1205927","http://dx.doi.org/10.1080/07421222.2016.1205927")</f>
        <v>http://dx.doi.org/10.1080/07421222.2016.1205927</v>
      </c>
      <c r="BG363" t="s">
        <v>72</v>
      </c>
      <c r="BH363" t="s">
        <v>72</v>
      </c>
      <c r="BI363">
        <v>31</v>
      </c>
      <c r="BJ363" t="s">
        <v>2366</v>
      </c>
      <c r="BK363" t="s">
        <v>2367</v>
      </c>
      <c r="BL363" t="s">
        <v>2368</v>
      </c>
      <c r="BM363" t="s">
        <v>72</v>
      </c>
      <c r="BN363" t="s">
        <v>2369</v>
      </c>
      <c r="BO363" t="s">
        <v>72</v>
      </c>
      <c r="BP363" t="s">
        <v>72</v>
      </c>
      <c r="BQ363" t="s">
        <v>100</v>
      </c>
      <c r="BR363" t="s">
        <v>2370</v>
      </c>
      <c r="BS363" t="str">
        <f>HYPERLINK("https%3A%2F%2Fwww.webofscience.com%2Fwos%2Fwoscc%2Ffull-record%2FWOS:000387222400008","View Full Record in Web of Science")</f>
        <v>View Full Record in Web of Science</v>
      </c>
    </row>
    <row r="364" spans="1:71" hidden="1" x14ac:dyDescent="0.2">
      <c r="A364" t="s">
        <v>70</v>
      </c>
      <c r="B364" t="s">
        <v>14617</v>
      </c>
      <c r="C364" t="s">
        <v>72</v>
      </c>
      <c r="D364" t="s">
        <v>72</v>
      </c>
      <c r="E364" t="s">
        <v>72</v>
      </c>
      <c r="F364" t="s">
        <v>14618</v>
      </c>
      <c r="G364" t="s">
        <v>72</v>
      </c>
      <c r="H364" t="s">
        <v>72</v>
      </c>
      <c r="I364" t="s">
        <v>14619</v>
      </c>
      <c r="J364" t="s">
        <v>14620</v>
      </c>
      <c r="K364" t="s">
        <v>72</v>
      </c>
      <c r="L364" t="s">
        <v>72</v>
      </c>
      <c r="M364" t="s">
        <v>76</v>
      </c>
      <c r="N364" t="s">
        <v>352</v>
      </c>
      <c r="O364" t="s">
        <v>72</v>
      </c>
      <c r="P364" t="s">
        <v>72</v>
      </c>
      <c r="Q364" t="s">
        <v>72</v>
      </c>
      <c r="R364" t="s">
        <v>72</v>
      </c>
      <c r="S364" t="s">
        <v>72</v>
      </c>
      <c r="T364" t="s">
        <v>14621</v>
      </c>
      <c r="U364" t="s">
        <v>14622</v>
      </c>
      <c r="V364" t="s">
        <v>14623</v>
      </c>
      <c r="W364" t="s">
        <v>14624</v>
      </c>
      <c r="X364" t="s">
        <v>14625</v>
      </c>
      <c r="Y364" t="s">
        <v>14626</v>
      </c>
      <c r="Z364" t="s">
        <v>14627</v>
      </c>
      <c r="AA364" t="s">
        <v>14628</v>
      </c>
      <c r="AB364" t="s">
        <v>14629</v>
      </c>
      <c r="AC364" t="s">
        <v>14630</v>
      </c>
      <c r="AD364" t="s">
        <v>14631</v>
      </c>
      <c r="AE364" t="s">
        <v>14632</v>
      </c>
      <c r="AF364" t="s">
        <v>72</v>
      </c>
      <c r="AG364">
        <v>86</v>
      </c>
      <c r="AH364">
        <v>0</v>
      </c>
      <c r="AI364">
        <v>0</v>
      </c>
      <c r="AJ364">
        <v>4</v>
      </c>
      <c r="AK364">
        <v>4</v>
      </c>
      <c r="AL364" t="s">
        <v>1165</v>
      </c>
      <c r="AM364" t="s">
        <v>1166</v>
      </c>
      <c r="AN364" t="s">
        <v>1167</v>
      </c>
      <c r="AO364" t="s">
        <v>14633</v>
      </c>
      <c r="AP364" t="s">
        <v>14634</v>
      </c>
      <c r="AQ364" t="s">
        <v>72</v>
      </c>
      <c r="AR364" t="s">
        <v>14635</v>
      </c>
      <c r="AS364" t="s">
        <v>14636</v>
      </c>
      <c r="AT364" t="s">
        <v>72</v>
      </c>
      <c r="AU364" t="s">
        <v>72</v>
      </c>
      <c r="AV364" t="s">
        <v>72</v>
      </c>
      <c r="AW364" t="s">
        <v>72</v>
      </c>
      <c r="AX364" t="s">
        <v>72</v>
      </c>
      <c r="AY364" t="s">
        <v>72</v>
      </c>
      <c r="AZ364" t="s">
        <v>72</v>
      </c>
      <c r="BA364" t="s">
        <v>72</v>
      </c>
      <c r="BB364" t="s">
        <v>72</v>
      </c>
      <c r="BC364" t="s">
        <v>72</v>
      </c>
      <c r="BD364" t="s">
        <v>72</v>
      </c>
      <c r="BE364" t="s">
        <v>14637</v>
      </c>
      <c r="BF364" t="str">
        <f>HYPERLINK("http://dx.doi.org/10.1108/JEIM-11-2021-0488","http://dx.doi.org/10.1108/JEIM-11-2021-0488")</f>
        <v>http://dx.doi.org/10.1108/JEIM-11-2021-0488</v>
      </c>
      <c r="BG364" t="s">
        <v>72</v>
      </c>
      <c r="BH364" t="s">
        <v>2868</v>
      </c>
      <c r="BI364">
        <v>22</v>
      </c>
      <c r="BJ364" t="s">
        <v>14638</v>
      </c>
      <c r="BK364" t="s">
        <v>2367</v>
      </c>
      <c r="BL364" t="s">
        <v>14639</v>
      </c>
      <c r="BM364" t="s">
        <v>72</v>
      </c>
      <c r="BN364" t="s">
        <v>72</v>
      </c>
      <c r="BO364" t="s">
        <v>72</v>
      </c>
      <c r="BP364" t="s">
        <v>72</v>
      </c>
      <c r="BQ364" t="s">
        <v>100</v>
      </c>
      <c r="BR364" t="s">
        <v>14640</v>
      </c>
      <c r="BS364" t="str">
        <f>HYPERLINK("https%3A%2F%2Fwww.webofscience.com%2Fwos%2Fwoscc%2Ffull-record%2FWOS:000870636200001","View Full Record in Web of Science")</f>
        <v>View Full Record in Web of Science</v>
      </c>
    </row>
    <row r="365" spans="1:71" hidden="1" x14ac:dyDescent="0.2">
      <c r="A365" t="s">
        <v>70</v>
      </c>
      <c r="B365" t="s">
        <v>14641</v>
      </c>
      <c r="C365" t="s">
        <v>72</v>
      </c>
      <c r="D365" t="s">
        <v>72</v>
      </c>
      <c r="E365" t="s">
        <v>72</v>
      </c>
      <c r="F365" t="s">
        <v>14642</v>
      </c>
      <c r="G365" t="s">
        <v>72</v>
      </c>
      <c r="H365" t="s">
        <v>72</v>
      </c>
      <c r="I365" t="s">
        <v>14643</v>
      </c>
      <c r="J365" t="s">
        <v>14644</v>
      </c>
      <c r="K365" t="s">
        <v>72</v>
      </c>
      <c r="L365" t="s">
        <v>72</v>
      </c>
      <c r="M365" t="s">
        <v>76</v>
      </c>
      <c r="N365" t="s">
        <v>77</v>
      </c>
      <c r="O365" t="s">
        <v>72</v>
      </c>
      <c r="P365" t="s">
        <v>72</v>
      </c>
      <c r="Q365" t="s">
        <v>72</v>
      </c>
      <c r="R365" t="s">
        <v>72</v>
      </c>
      <c r="S365" t="s">
        <v>72</v>
      </c>
      <c r="T365" t="s">
        <v>14645</v>
      </c>
      <c r="U365" t="s">
        <v>14646</v>
      </c>
      <c r="V365" t="s">
        <v>14647</v>
      </c>
      <c r="W365" t="s">
        <v>14648</v>
      </c>
      <c r="X365" t="s">
        <v>14649</v>
      </c>
      <c r="Y365" t="s">
        <v>14650</v>
      </c>
      <c r="Z365" t="s">
        <v>14651</v>
      </c>
      <c r="AA365" t="s">
        <v>72</v>
      </c>
      <c r="AB365" t="s">
        <v>72</v>
      </c>
      <c r="AC365" t="s">
        <v>14652</v>
      </c>
      <c r="AD365" t="s">
        <v>14653</v>
      </c>
      <c r="AE365" t="s">
        <v>14654</v>
      </c>
      <c r="AF365" t="s">
        <v>72</v>
      </c>
      <c r="AG365">
        <v>182</v>
      </c>
      <c r="AH365">
        <v>41</v>
      </c>
      <c r="AI365">
        <v>41</v>
      </c>
      <c r="AJ365">
        <v>39</v>
      </c>
      <c r="AK365">
        <v>267</v>
      </c>
      <c r="AL365" t="s">
        <v>14655</v>
      </c>
      <c r="AM365" t="s">
        <v>14656</v>
      </c>
      <c r="AN365" t="s">
        <v>14657</v>
      </c>
      <c r="AO365" t="s">
        <v>14658</v>
      </c>
      <c r="AP365" t="s">
        <v>72</v>
      </c>
      <c r="AQ365" t="s">
        <v>72</v>
      </c>
      <c r="AR365" t="s">
        <v>14659</v>
      </c>
      <c r="AS365" t="s">
        <v>14660</v>
      </c>
      <c r="AT365" t="s">
        <v>299</v>
      </c>
      <c r="AU365">
        <v>2019</v>
      </c>
      <c r="AV365">
        <v>43</v>
      </c>
      <c r="AW365">
        <v>2</v>
      </c>
      <c r="AX365" t="s">
        <v>72</v>
      </c>
      <c r="AY365" t="s">
        <v>72</v>
      </c>
      <c r="AZ365" t="s">
        <v>72</v>
      </c>
      <c r="BA365" t="s">
        <v>72</v>
      </c>
      <c r="BB365">
        <v>395</v>
      </c>
      <c r="BC365" t="s">
        <v>173</v>
      </c>
      <c r="BD365" t="s">
        <v>72</v>
      </c>
      <c r="BE365" t="s">
        <v>14661</v>
      </c>
      <c r="BF365" t="str">
        <f>HYPERLINK("http://dx.doi.org/10.25300/MISQ/2019/13225","http://dx.doi.org/10.25300/MISQ/2019/13225")</f>
        <v>http://dx.doi.org/10.25300/MISQ/2019/13225</v>
      </c>
      <c r="BG365" t="s">
        <v>72</v>
      </c>
      <c r="BH365" t="s">
        <v>72</v>
      </c>
      <c r="BI365">
        <v>41</v>
      </c>
      <c r="BJ365" t="s">
        <v>2366</v>
      </c>
      <c r="BK365" t="s">
        <v>2367</v>
      </c>
      <c r="BL365" t="s">
        <v>14662</v>
      </c>
      <c r="BM365" t="s">
        <v>72</v>
      </c>
      <c r="BN365" t="s">
        <v>72</v>
      </c>
      <c r="BO365" t="s">
        <v>72</v>
      </c>
      <c r="BP365" t="s">
        <v>72</v>
      </c>
      <c r="BQ365" t="s">
        <v>100</v>
      </c>
      <c r="BR365" t="s">
        <v>14663</v>
      </c>
      <c r="BS365" t="str">
        <f>HYPERLINK("https%3A%2F%2Fwww.webofscience.com%2Fwos%2Fwoscc%2Ffull-record%2FWOS:000475891800003","View Full Record in Web of Science")</f>
        <v>View Full Record in Web of Science</v>
      </c>
    </row>
    <row r="366" spans="1:71" hidden="1" x14ac:dyDescent="0.2">
      <c r="A366" t="s">
        <v>70</v>
      </c>
      <c r="B366" t="s">
        <v>15887</v>
      </c>
      <c r="C366" t="s">
        <v>72</v>
      </c>
      <c r="D366" t="s">
        <v>72</v>
      </c>
      <c r="E366" t="s">
        <v>72</v>
      </c>
      <c r="F366" t="s">
        <v>15888</v>
      </c>
      <c r="G366" t="s">
        <v>72</v>
      </c>
      <c r="H366" t="s">
        <v>72</v>
      </c>
      <c r="I366" t="s">
        <v>15889</v>
      </c>
      <c r="J366" t="s">
        <v>14620</v>
      </c>
      <c r="K366" t="s">
        <v>72</v>
      </c>
      <c r="L366" t="s">
        <v>72</v>
      </c>
      <c r="M366" t="s">
        <v>76</v>
      </c>
      <c r="N366" t="s">
        <v>77</v>
      </c>
      <c r="O366" t="s">
        <v>72</v>
      </c>
      <c r="P366" t="s">
        <v>72</v>
      </c>
      <c r="Q366" t="s">
        <v>72</v>
      </c>
      <c r="R366" t="s">
        <v>72</v>
      </c>
      <c r="S366" t="s">
        <v>72</v>
      </c>
      <c r="T366" t="s">
        <v>15890</v>
      </c>
      <c r="U366" t="s">
        <v>15891</v>
      </c>
      <c r="V366" t="s">
        <v>15892</v>
      </c>
      <c r="W366" t="s">
        <v>15893</v>
      </c>
      <c r="X366" t="s">
        <v>15894</v>
      </c>
      <c r="Y366" t="s">
        <v>15895</v>
      </c>
      <c r="Z366" t="s">
        <v>15896</v>
      </c>
      <c r="AA366" t="s">
        <v>15897</v>
      </c>
      <c r="AB366" t="s">
        <v>15898</v>
      </c>
      <c r="AC366" t="s">
        <v>72</v>
      </c>
      <c r="AD366" t="s">
        <v>72</v>
      </c>
      <c r="AE366" t="s">
        <v>72</v>
      </c>
      <c r="AF366" t="s">
        <v>72</v>
      </c>
      <c r="AG366">
        <v>70</v>
      </c>
      <c r="AH366">
        <v>10</v>
      </c>
      <c r="AI366">
        <v>10</v>
      </c>
      <c r="AJ366">
        <v>3</v>
      </c>
      <c r="AK366">
        <v>16</v>
      </c>
      <c r="AL366" t="s">
        <v>1165</v>
      </c>
      <c r="AM366" t="s">
        <v>1166</v>
      </c>
      <c r="AN366" t="s">
        <v>1167</v>
      </c>
      <c r="AO366" t="s">
        <v>14633</v>
      </c>
      <c r="AP366" t="s">
        <v>14634</v>
      </c>
      <c r="AQ366" t="s">
        <v>72</v>
      </c>
      <c r="AR366" t="s">
        <v>14635</v>
      </c>
      <c r="AS366" t="s">
        <v>14636</v>
      </c>
      <c r="AT366" t="s">
        <v>15899</v>
      </c>
      <c r="AU366">
        <v>2022</v>
      </c>
      <c r="AV366">
        <v>35</v>
      </c>
      <c r="AW366">
        <v>1</v>
      </c>
      <c r="AX366" t="s">
        <v>72</v>
      </c>
      <c r="AY366" t="s">
        <v>72</v>
      </c>
      <c r="AZ366" t="s">
        <v>478</v>
      </c>
      <c r="BA366" t="s">
        <v>72</v>
      </c>
      <c r="BB366">
        <v>160</v>
      </c>
      <c r="BC366">
        <v>178</v>
      </c>
      <c r="BD366" t="s">
        <v>72</v>
      </c>
      <c r="BE366" t="s">
        <v>15900</v>
      </c>
      <c r="BF366" t="str">
        <f>HYPERLINK("http://dx.doi.org/10.1108/JEIM-03-2021-0149","http://dx.doi.org/10.1108/JEIM-03-2021-0149")</f>
        <v>http://dx.doi.org/10.1108/JEIM-03-2021-0149</v>
      </c>
      <c r="BG366" t="s">
        <v>72</v>
      </c>
      <c r="BH366" t="s">
        <v>2792</v>
      </c>
      <c r="BI366">
        <v>19</v>
      </c>
      <c r="BJ366" t="s">
        <v>14638</v>
      </c>
      <c r="BK366" t="s">
        <v>2367</v>
      </c>
      <c r="BL366" t="s">
        <v>15901</v>
      </c>
      <c r="BM366" t="s">
        <v>72</v>
      </c>
      <c r="BN366" t="s">
        <v>72</v>
      </c>
      <c r="BO366" t="s">
        <v>72</v>
      </c>
      <c r="BP366" t="s">
        <v>72</v>
      </c>
      <c r="BQ366" t="s">
        <v>100</v>
      </c>
      <c r="BR366" t="s">
        <v>15902</v>
      </c>
      <c r="BS366" t="str">
        <f>HYPERLINK("https%3A%2F%2Fwww.webofscience.com%2Fwos%2Fwoscc%2Ffull-record%2FWOS:000700442000001","View Full Record in Web of Science")</f>
        <v>View Full Record in Web of Science</v>
      </c>
    </row>
    <row r="367" spans="1:71" x14ac:dyDescent="0.2">
      <c r="A367" t="s">
        <v>305</v>
      </c>
      <c r="B367" t="s">
        <v>13828</v>
      </c>
      <c r="C367" t="s">
        <v>72</v>
      </c>
      <c r="D367" t="s">
        <v>13829</v>
      </c>
      <c r="E367" t="s">
        <v>72</v>
      </c>
      <c r="F367" t="s">
        <v>13830</v>
      </c>
      <c r="G367" t="s">
        <v>72</v>
      </c>
      <c r="H367" t="s">
        <v>72</v>
      </c>
      <c r="I367" t="s">
        <v>13831</v>
      </c>
      <c r="J367" t="s">
        <v>3845</v>
      </c>
      <c r="K367" t="s">
        <v>3846</v>
      </c>
      <c r="L367" t="s">
        <v>72</v>
      </c>
      <c r="M367" t="s">
        <v>76</v>
      </c>
      <c r="N367" t="s">
        <v>312</v>
      </c>
      <c r="O367" t="s">
        <v>13832</v>
      </c>
      <c r="P367" t="s">
        <v>13833</v>
      </c>
      <c r="Q367" t="s">
        <v>13834</v>
      </c>
      <c r="R367" t="s">
        <v>13835</v>
      </c>
      <c r="S367" t="s">
        <v>13836</v>
      </c>
      <c r="T367" t="s">
        <v>13837</v>
      </c>
      <c r="U367" t="s">
        <v>72</v>
      </c>
      <c r="V367" t="s">
        <v>13838</v>
      </c>
      <c r="W367" t="s">
        <v>13839</v>
      </c>
      <c r="X367" t="s">
        <v>13840</v>
      </c>
      <c r="Y367" t="s">
        <v>13841</v>
      </c>
      <c r="Z367" t="s">
        <v>13842</v>
      </c>
      <c r="AA367" t="s">
        <v>5136</v>
      </c>
      <c r="AB367" t="s">
        <v>5137</v>
      </c>
      <c r="AC367" t="s">
        <v>72</v>
      </c>
      <c r="AD367" t="s">
        <v>72</v>
      </c>
      <c r="AE367" t="s">
        <v>72</v>
      </c>
      <c r="AF367" t="s">
        <v>72</v>
      </c>
      <c r="AG367">
        <v>5</v>
      </c>
      <c r="AH367">
        <v>0</v>
      </c>
      <c r="AI367">
        <v>0</v>
      </c>
      <c r="AJ367">
        <v>0</v>
      </c>
      <c r="AK367">
        <v>0</v>
      </c>
      <c r="AL367" t="s">
        <v>3859</v>
      </c>
      <c r="AM367" t="s">
        <v>168</v>
      </c>
      <c r="AN367" t="s">
        <v>3860</v>
      </c>
      <c r="AO367" t="s">
        <v>3861</v>
      </c>
      <c r="AP367" t="s">
        <v>3862</v>
      </c>
      <c r="AQ367" t="s">
        <v>13843</v>
      </c>
      <c r="AR367" t="s">
        <v>3864</v>
      </c>
      <c r="AS367" t="s">
        <v>72</v>
      </c>
      <c r="AT367" t="s">
        <v>72</v>
      </c>
      <c r="AU367">
        <v>2015</v>
      </c>
      <c r="AV367">
        <v>279</v>
      </c>
      <c r="AW367" t="s">
        <v>72</v>
      </c>
      <c r="AX367" t="s">
        <v>72</v>
      </c>
      <c r="AY367" t="s">
        <v>72</v>
      </c>
      <c r="AZ367" t="s">
        <v>72</v>
      </c>
      <c r="BA367" t="s">
        <v>72</v>
      </c>
      <c r="BB367">
        <v>141</v>
      </c>
      <c r="BC367">
        <v>144</v>
      </c>
      <c r="BD367" t="s">
        <v>72</v>
      </c>
      <c r="BE367" t="s">
        <v>13844</v>
      </c>
      <c r="BF367" t="str">
        <f>HYPERLINK("http://dx.doi.org/10.3233/978-1-61499-609-5-141","http://dx.doi.org/10.3233/978-1-61499-609-5-141")</f>
        <v>http://dx.doi.org/10.3233/978-1-61499-609-5-141</v>
      </c>
      <c r="BG367" t="s">
        <v>72</v>
      </c>
      <c r="BH367" t="s">
        <v>72</v>
      </c>
      <c r="BI367">
        <v>4</v>
      </c>
      <c r="BJ367" t="s">
        <v>13845</v>
      </c>
      <c r="BK367" s="1" t="s">
        <v>17619</v>
      </c>
      <c r="BL367" t="s">
        <v>13846</v>
      </c>
      <c r="BM367" t="s">
        <v>72</v>
      </c>
      <c r="BN367" t="s">
        <v>72</v>
      </c>
      <c r="BO367" t="s">
        <v>72</v>
      </c>
      <c r="BP367" t="s">
        <v>72</v>
      </c>
      <c r="BQ367" t="s">
        <v>100</v>
      </c>
      <c r="BR367" t="s">
        <v>13847</v>
      </c>
      <c r="BS367" t="str">
        <f>HYPERLINK("https%3A%2F%2Fwww.webofscience.com%2Fwos%2Fwoscc%2Ffull-record%2FWOS:000446303300015","View Full Record in Web of Science")</f>
        <v>View Full Record in Web of Science</v>
      </c>
    </row>
    <row r="368" spans="1:71" x14ac:dyDescent="0.2">
      <c r="A368" t="s">
        <v>70</v>
      </c>
      <c r="B368" t="s">
        <v>1313</v>
      </c>
      <c r="C368" t="s">
        <v>72</v>
      </c>
      <c r="D368" t="s">
        <v>72</v>
      </c>
      <c r="E368" t="s">
        <v>72</v>
      </c>
      <c r="F368" t="s">
        <v>1313</v>
      </c>
      <c r="G368" t="s">
        <v>72</v>
      </c>
      <c r="H368" t="s">
        <v>72</v>
      </c>
      <c r="I368" t="s">
        <v>1314</v>
      </c>
      <c r="J368" t="s">
        <v>1315</v>
      </c>
      <c r="K368" t="s">
        <v>72</v>
      </c>
      <c r="L368" t="s">
        <v>72</v>
      </c>
      <c r="M368" t="s">
        <v>76</v>
      </c>
      <c r="N368" t="s">
        <v>77</v>
      </c>
      <c r="O368" t="s">
        <v>72</v>
      </c>
      <c r="P368" t="s">
        <v>72</v>
      </c>
      <c r="Q368" t="s">
        <v>72</v>
      </c>
      <c r="R368" t="s">
        <v>72</v>
      </c>
      <c r="S368" t="s">
        <v>72</v>
      </c>
      <c r="T368" t="s">
        <v>1316</v>
      </c>
      <c r="U368" t="s">
        <v>1317</v>
      </c>
      <c r="V368" t="s">
        <v>1318</v>
      </c>
      <c r="W368" t="s">
        <v>1319</v>
      </c>
      <c r="X368" t="s">
        <v>1320</v>
      </c>
      <c r="Y368" t="s">
        <v>1321</v>
      </c>
      <c r="Z368" t="s">
        <v>72</v>
      </c>
      <c r="AA368" t="s">
        <v>72</v>
      </c>
      <c r="AB368" t="s">
        <v>72</v>
      </c>
      <c r="AC368" t="s">
        <v>72</v>
      </c>
      <c r="AD368" t="s">
        <v>72</v>
      </c>
      <c r="AE368" t="s">
        <v>72</v>
      </c>
      <c r="AF368" t="s">
        <v>72</v>
      </c>
      <c r="AG368">
        <v>33</v>
      </c>
      <c r="AH368">
        <v>9</v>
      </c>
      <c r="AI368">
        <v>9</v>
      </c>
      <c r="AJ368">
        <v>1</v>
      </c>
      <c r="AK368">
        <v>6</v>
      </c>
      <c r="AL368" t="s">
        <v>190</v>
      </c>
      <c r="AM368" t="s">
        <v>191</v>
      </c>
      <c r="AN368" t="s">
        <v>192</v>
      </c>
      <c r="AO368" t="s">
        <v>1322</v>
      </c>
      <c r="AP368" t="s">
        <v>72</v>
      </c>
      <c r="AQ368" t="s">
        <v>72</v>
      </c>
      <c r="AR368" t="s">
        <v>1323</v>
      </c>
      <c r="AS368" t="s">
        <v>1324</v>
      </c>
      <c r="AT368" t="s">
        <v>1325</v>
      </c>
      <c r="AU368">
        <v>2000</v>
      </c>
      <c r="AV368">
        <v>18</v>
      </c>
      <c r="AW368">
        <v>3</v>
      </c>
      <c r="AX368" t="s">
        <v>72</v>
      </c>
      <c r="AY368" t="s">
        <v>72</v>
      </c>
      <c r="AZ368" t="s">
        <v>72</v>
      </c>
      <c r="BA368" t="s">
        <v>72</v>
      </c>
      <c r="BB368">
        <v>258</v>
      </c>
      <c r="BC368">
        <v>271</v>
      </c>
      <c r="BD368" t="s">
        <v>72</v>
      </c>
      <c r="BE368" t="s">
        <v>1326</v>
      </c>
      <c r="BF368" t="str">
        <f>HYPERLINK("http://dx.doi.org/10.1177/089443930001800303","http://dx.doi.org/10.1177/089443930001800303")</f>
        <v>http://dx.doi.org/10.1177/089443930001800303</v>
      </c>
      <c r="BG368" t="s">
        <v>72</v>
      </c>
      <c r="BH368" t="s">
        <v>72</v>
      </c>
      <c r="BI368">
        <v>14</v>
      </c>
      <c r="BJ368" t="s">
        <v>1327</v>
      </c>
      <c r="BK368" t="s">
        <v>1328</v>
      </c>
      <c r="BL368" t="s">
        <v>1329</v>
      </c>
      <c r="BM368" t="s">
        <v>72</v>
      </c>
      <c r="BN368" t="s">
        <v>72</v>
      </c>
      <c r="BO368" t="s">
        <v>72</v>
      </c>
      <c r="BP368" t="s">
        <v>72</v>
      </c>
      <c r="BQ368" t="s">
        <v>100</v>
      </c>
      <c r="BR368" t="s">
        <v>1330</v>
      </c>
      <c r="BS368" t="str">
        <f>HYPERLINK("https%3A%2F%2Fwww.webofscience.com%2Fwos%2Fwoscc%2Ffull-record%2FWOS:000088377600003","View Full Record in Web of Science")</f>
        <v>View Full Record in Web of Science</v>
      </c>
    </row>
    <row r="369" spans="1:71" x14ac:dyDescent="0.2">
      <c r="A369" t="s">
        <v>70</v>
      </c>
      <c r="B369" t="s">
        <v>2390</v>
      </c>
      <c r="C369" t="s">
        <v>72</v>
      </c>
      <c r="D369" t="s">
        <v>72</v>
      </c>
      <c r="E369" t="s">
        <v>72</v>
      </c>
      <c r="F369" t="s">
        <v>2391</v>
      </c>
      <c r="G369" t="s">
        <v>72</v>
      </c>
      <c r="H369" t="s">
        <v>72</v>
      </c>
      <c r="I369" t="s">
        <v>2392</v>
      </c>
      <c r="J369" t="s">
        <v>1315</v>
      </c>
      <c r="K369" t="s">
        <v>72</v>
      </c>
      <c r="L369" t="s">
        <v>72</v>
      </c>
      <c r="M369" t="s">
        <v>76</v>
      </c>
      <c r="N369" t="s">
        <v>77</v>
      </c>
      <c r="O369" t="s">
        <v>72</v>
      </c>
      <c r="P369" t="s">
        <v>72</v>
      </c>
      <c r="Q369" t="s">
        <v>72</v>
      </c>
      <c r="R369" t="s">
        <v>72</v>
      </c>
      <c r="S369" t="s">
        <v>72</v>
      </c>
      <c r="T369" t="s">
        <v>2393</v>
      </c>
      <c r="U369" t="s">
        <v>2394</v>
      </c>
      <c r="V369" t="s">
        <v>2395</v>
      </c>
      <c r="W369" t="s">
        <v>2396</v>
      </c>
      <c r="X369" t="s">
        <v>164</v>
      </c>
      <c r="Y369" t="s">
        <v>2397</v>
      </c>
      <c r="Z369" t="s">
        <v>2398</v>
      </c>
      <c r="AA369" t="s">
        <v>72</v>
      </c>
      <c r="AB369" t="s">
        <v>2399</v>
      </c>
      <c r="AC369" t="s">
        <v>72</v>
      </c>
      <c r="AD369" t="s">
        <v>72</v>
      </c>
      <c r="AE369" t="s">
        <v>72</v>
      </c>
      <c r="AF369" t="s">
        <v>72</v>
      </c>
      <c r="AG369">
        <v>47</v>
      </c>
      <c r="AH369">
        <v>6</v>
      </c>
      <c r="AI369">
        <v>6</v>
      </c>
      <c r="AJ369">
        <v>5</v>
      </c>
      <c r="AK369">
        <v>33</v>
      </c>
      <c r="AL369" t="s">
        <v>190</v>
      </c>
      <c r="AM369" t="s">
        <v>191</v>
      </c>
      <c r="AN369" t="s">
        <v>192</v>
      </c>
      <c r="AO369" t="s">
        <v>1322</v>
      </c>
      <c r="AP369" t="s">
        <v>2400</v>
      </c>
      <c r="AQ369" t="s">
        <v>72</v>
      </c>
      <c r="AR369" t="s">
        <v>1323</v>
      </c>
      <c r="AS369" t="s">
        <v>1324</v>
      </c>
      <c r="AT369" t="s">
        <v>639</v>
      </c>
      <c r="AU369">
        <v>2019</v>
      </c>
      <c r="AV369">
        <v>37</v>
      </c>
      <c r="AW369">
        <v>4</v>
      </c>
      <c r="AX369" t="s">
        <v>72</v>
      </c>
      <c r="AY369" t="s">
        <v>72</v>
      </c>
      <c r="AZ369" t="s">
        <v>72</v>
      </c>
      <c r="BA369" t="s">
        <v>72</v>
      </c>
      <c r="BB369">
        <v>510</v>
      </c>
      <c r="BC369">
        <v>528</v>
      </c>
      <c r="BD369" t="s">
        <v>72</v>
      </c>
      <c r="BE369" t="s">
        <v>2401</v>
      </c>
      <c r="BF369" t="str">
        <f>HYPERLINK("http://dx.doi.org/10.1177/0894439318779336","http://dx.doi.org/10.1177/0894439318779336")</f>
        <v>http://dx.doi.org/10.1177/0894439318779336</v>
      </c>
      <c r="BG369" t="s">
        <v>72</v>
      </c>
      <c r="BH369" t="s">
        <v>72</v>
      </c>
      <c r="BI369">
        <v>19</v>
      </c>
      <c r="BJ369" t="s">
        <v>1327</v>
      </c>
      <c r="BK369" t="s">
        <v>1328</v>
      </c>
      <c r="BL369" t="s">
        <v>2402</v>
      </c>
      <c r="BM369" t="s">
        <v>72</v>
      </c>
      <c r="BN369" t="s">
        <v>2403</v>
      </c>
      <c r="BO369" t="s">
        <v>72</v>
      </c>
      <c r="BP369" t="s">
        <v>72</v>
      </c>
      <c r="BQ369" t="s">
        <v>100</v>
      </c>
      <c r="BR369" t="s">
        <v>2404</v>
      </c>
      <c r="BS369" t="str">
        <f>HYPERLINK("https%3A%2F%2Fwww.webofscience.com%2Fwos%2Fwoscc%2Ffull-record%2FWOS:000475349400004","View Full Record in Web of Science")</f>
        <v>View Full Record in Web of Science</v>
      </c>
    </row>
    <row r="370" spans="1:71" x14ac:dyDescent="0.2">
      <c r="A370" t="s">
        <v>70</v>
      </c>
      <c r="B370" t="s">
        <v>5254</v>
      </c>
      <c r="C370" t="s">
        <v>72</v>
      </c>
      <c r="D370" t="s">
        <v>72</v>
      </c>
      <c r="E370" t="s">
        <v>72</v>
      </c>
      <c r="F370" t="s">
        <v>5255</v>
      </c>
      <c r="G370" t="s">
        <v>72</v>
      </c>
      <c r="H370" t="s">
        <v>72</v>
      </c>
      <c r="I370" t="s">
        <v>5256</v>
      </c>
      <c r="J370" t="s">
        <v>1315</v>
      </c>
      <c r="K370" t="s">
        <v>72</v>
      </c>
      <c r="L370" t="s">
        <v>72</v>
      </c>
      <c r="M370" t="s">
        <v>76</v>
      </c>
      <c r="N370" t="s">
        <v>77</v>
      </c>
      <c r="O370" t="s">
        <v>72</v>
      </c>
      <c r="P370" t="s">
        <v>72</v>
      </c>
      <c r="Q370" t="s">
        <v>72</v>
      </c>
      <c r="R370" t="s">
        <v>72</v>
      </c>
      <c r="S370" t="s">
        <v>72</v>
      </c>
      <c r="T370" t="s">
        <v>5257</v>
      </c>
      <c r="U370" t="s">
        <v>5258</v>
      </c>
      <c r="V370" t="s">
        <v>5259</v>
      </c>
      <c r="W370" t="s">
        <v>5260</v>
      </c>
      <c r="X370" t="s">
        <v>5261</v>
      </c>
      <c r="Y370" t="s">
        <v>5262</v>
      </c>
      <c r="Z370" t="s">
        <v>5263</v>
      </c>
      <c r="AA370" t="s">
        <v>5264</v>
      </c>
      <c r="AB370" t="s">
        <v>5265</v>
      </c>
      <c r="AC370" t="s">
        <v>5266</v>
      </c>
      <c r="AD370" t="s">
        <v>4254</v>
      </c>
      <c r="AE370" t="s">
        <v>5267</v>
      </c>
      <c r="AF370" t="s">
        <v>72</v>
      </c>
      <c r="AG370">
        <v>62</v>
      </c>
      <c r="AH370">
        <v>26</v>
      </c>
      <c r="AI370">
        <v>29</v>
      </c>
      <c r="AJ370">
        <v>1</v>
      </c>
      <c r="AK370">
        <v>61</v>
      </c>
      <c r="AL370" t="s">
        <v>190</v>
      </c>
      <c r="AM370" t="s">
        <v>191</v>
      </c>
      <c r="AN370" t="s">
        <v>192</v>
      </c>
      <c r="AO370" t="s">
        <v>1322</v>
      </c>
      <c r="AP370" t="s">
        <v>2400</v>
      </c>
      <c r="AQ370" t="s">
        <v>72</v>
      </c>
      <c r="AR370" t="s">
        <v>1323</v>
      </c>
      <c r="AS370" t="s">
        <v>1324</v>
      </c>
      <c r="AT370" t="s">
        <v>149</v>
      </c>
      <c r="AU370">
        <v>2016</v>
      </c>
      <c r="AV370">
        <v>34</v>
      </c>
      <c r="AW370">
        <v>2</v>
      </c>
      <c r="AX370" t="s">
        <v>72</v>
      </c>
      <c r="AY370" t="s">
        <v>72</v>
      </c>
      <c r="AZ370" t="s">
        <v>72</v>
      </c>
      <c r="BA370" t="s">
        <v>72</v>
      </c>
      <c r="BB370">
        <v>135</v>
      </c>
      <c r="BC370">
        <v>152</v>
      </c>
      <c r="BD370" t="s">
        <v>72</v>
      </c>
      <c r="BE370" t="s">
        <v>5268</v>
      </c>
      <c r="BF370" t="str">
        <f>HYPERLINK("http://dx.doi.org/10.1177/0894439314558200","http://dx.doi.org/10.1177/0894439314558200")</f>
        <v>http://dx.doi.org/10.1177/0894439314558200</v>
      </c>
      <c r="BG370" t="s">
        <v>72</v>
      </c>
      <c r="BH370" t="s">
        <v>72</v>
      </c>
      <c r="BI370">
        <v>18</v>
      </c>
      <c r="BJ370" t="s">
        <v>1327</v>
      </c>
      <c r="BK370" t="s">
        <v>1328</v>
      </c>
      <c r="BL370" t="s">
        <v>5269</v>
      </c>
      <c r="BM370" t="s">
        <v>72</v>
      </c>
      <c r="BN370" t="s">
        <v>72</v>
      </c>
      <c r="BO370" t="s">
        <v>72</v>
      </c>
      <c r="BP370" t="s">
        <v>72</v>
      </c>
      <c r="BQ370" t="s">
        <v>100</v>
      </c>
      <c r="BR370" t="s">
        <v>5270</v>
      </c>
      <c r="BS370" t="str">
        <f>HYPERLINK("https%3A%2F%2Fwww.webofscience.com%2Fwos%2Fwoscc%2Ffull-record%2FWOS:000371591300001","View Full Record in Web of Science")</f>
        <v>View Full Record in Web of Science</v>
      </c>
    </row>
    <row r="371" spans="1:71" x14ac:dyDescent="0.2">
      <c r="A371" t="s">
        <v>70</v>
      </c>
      <c r="B371" t="s">
        <v>9445</v>
      </c>
      <c r="C371" t="s">
        <v>72</v>
      </c>
      <c r="D371" t="s">
        <v>72</v>
      </c>
      <c r="E371" t="s">
        <v>72</v>
      </c>
      <c r="F371" t="s">
        <v>9446</v>
      </c>
      <c r="G371" t="s">
        <v>72</v>
      </c>
      <c r="H371" t="s">
        <v>72</v>
      </c>
      <c r="I371" t="s">
        <v>9447</v>
      </c>
      <c r="J371" t="s">
        <v>1315</v>
      </c>
      <c r="K371" t="s">
        <v>72</v>
      </c>
      <c r="L371" t="s">
        <v>72</v>
      </c>
      <c r="M371" t="s">
        <v>76</v>
      </c>
      <c r="N371" t="s">
        <v>77</v>
      </c>
      <c r="O371" t="s">
        <v>72</v>
      </c>
      <c r="P371" t="s">
        <v>72</v>
      </c>
      <c r="Q371" t="s">
        <v>72</v>
      </c>
      <c r="R371" t="s">
        <v>72</v>
      </c>
      <c r="S371" t="s">
        <v>72</v>
      </c>
      <c r="T371" t="s">
        <v>9448</v>
      </c>
      <c r="U371" t="s">
        <v>9449</v>
      </c>
      <c r="V371" t="s">
        <v>9450</v>
      </c>
      <c r="W371" t="s">
        <v>9451</v>
      </c>
      <c r="X371" t="s">
        <v>9315</v>
      </c>
      <c r="Y371" t="s">
        <v>9452</v>
      </c>
      <c r="Z371" t="s">
        <v>9453</v>
      </c>
      <c r="AA371" t="s">
        <v>72</v>
      </c>
      <c r="AB371" t="s">
        <v>72</v>
      </c>
      <c r="AC371" t="s">
        <v>72</v>
      </c>
      <c r="AD371" t="s">
        <v>72</v>
      </c>
      <c r="AE371" t="s">
        <v>72</v>
      </c>
      <c r="AF371" t="s">
        <v>72</v>
      </c>
      <c r="AG371">
        <v>115</v>
      </c>
      <c r="AH371">
        <v>27</v>
      </c>
      <c r="AI371">
        <v>27</v>
      </c>
      <c r="AJ371">
        <v>1</v>
      </c>
      <c r="AK371">
        <v>45</v>
      </c>
      <c r="AL371" t="s">
        <v>190</v>
      </c>
      <c r="AM371" t="s">
        <v>191</v>
      </c>
      <c r="AN371" t="s">
        <v>192</v>
      </c>
      <c r="AO371" t="s">
        <v>1322</v>
      </c>
      <c r="AP371" t="s">
        <v>2400</v>
      </c>
      <c r="AQ371" t="s">
        <v>72</v>
      </c>
      <c r="AR371" t="s">
        <v>1323</v>
      </c>
      <c r="AS371" t="s">
        <v>1324</v>
      </c>
      <c r="AT371" t="s">
        <v>1602</v>
      </c>
      <c r="AU371">
        <v>2017</v>
      </c>
      <c r="AV371">
        <v>35</v>
      </c>
      <c r="AW371">
        <v>1</v>
      </c>
      <c r="AX371" t="s">
        <v>72</v>
      </c>
      <c r="AY371" t="s">
        <v>72</v>
      </c>
      <c r="AZ371" t="s">
        <v>478</v>
      </c>
      <c r="BA371" t="s">
        <v>72</v>
      </c>
      <c r="BB371">
        <v>10</v>
      </c>
      <c r="BC371">
        <v>32</v>
      </c>
      <c r="BD371" t="s">
        <v>72</v>
      </c>
      <c r="BE371" t="s">
        <v>9454</v>
      </c>
      <c r="BF371" t="str">
        <f>HYPERLINK("http://dx.doi.org/10.1177/0894439315602858","http://dx.doi.org/10.1177/0894439315602858")</f>
        <v>http://dx.doi.org/10.1177/0894439315602858</v>
      </c>
      <c r="BG371" t="s">
        <v>72</v>
      </c>
      <c r="BH371" t="s">
        <v>72</v>
      </c>
      <c r="BI371">
        <v>23</v>
      </c>
      <c r="BJ371" t="s">
        <v>1327</v>
      </c>
      <c r="BK371" t="s">
        <v>1328</v>
      </c>
      <c r="BL371" t="s">
        <v>9455</v>
      </c>
      <c r="BM371" t="s">
        <v>72</v>
      </c>
      <c r="BN371" t="s">
        <v>72</v>
      </c>
      <c r="BO371" t="s">
        <v>72</v>
      </c>
      <c r="BP371" t="s">
        <v>72</v>
      </c>
      <c r="BQ371" t="s">
        <v>100</v>
      </c>
      <c r="BR371" t="s">
        <v>9456</v>
      </c>
      <c r="BS371" t="str">
        <f>HYPERLINK("https%3A%2F%2Fwww.webofscience.com%2Fwos%2Fwoscc%2Ffull-record%2FWOS:000393103300002","View Full Record in Web of Science")</f>
        <v>View Full Record in Web of Science</v>
      </c>
    </row>
    <row r="372" spans="1:71" x14ac:dyDescent="0.2">
      <c r="A372" t="s">
        <v>70</v>
      </c>
      <c r="B372" t="s">
        <v>9627</v>
      </c>
      <c r="C372" t="s">
        <v>72</v>
      </c>
      <c r="D372" t="s">
        <v>72</v>
      </c>
      <c r="E372" t="s">
        <v>72</v>
      </c>
      <c r="F372" t="s">
        <v>9628</v>
      </c>
      <c r="G372" t="s">
        <v>72</v>
      </c>
      <c r="H372" t="s">
        <v>72</v>
      </c>
      <c r="I372" t="s">
        <v>9629</v>
      </c>
      <c r="J372" t="s">
        <v>1315</v>
      </c>
      <c r="K372" t="s">
        <v>72</v>
      </c>
      <c r="L372" t="s">
        <v>72</v>
      </c>
      <c r="M372" t="s">
        <v>76</v>
      </c>
      <c r="N372" t="s">
        <v>77</v>
      </c>
      <c r="O372" t="s">
        <v>72</v>
      </c>
      <c r="P372" t="s">
        <v>72</v>
      </c>
      <c r="Q372" t="s">
        <v>72</v>
      </c>
      <c r="R372" t="s">
        <v>72</v>
      </c>
      <c r="S372" t="s">
        <v>72</v>
      </c>
      <c r="T372" t="s">
        <v>9630</v>
      </c>
      <c r="U372" t="s">
        <v>9631</v>
      </c>
      <c r="V372" t="s">
        <v>9632</v>
      </c>
      <c r="W372" t="s">
        <v>9633</v>
      </c>
      <c r="X372" t="s">
        <v>9634</v>
      </c>
      <c r="Y372" t="s">
        <v>9635</v>
      </c>
      <c r="Z372" t="s">
        <v>9636</v>
      </c>
      <c r="AA372" t="s">
        <v>9637</v>
      </c>
      <c r="AB372" t="s">
        <v>9638</v>
      </c>
      <c r="AC372" t="s">
        <v>72</v>
      </c>
      <c r="AD372" t="s">
        <v>72</v>
      </c>
      <c r="AE372" t="s">
        <v>72</v>
      </c>
      <c r="AF372" t="s">
        <v>72</v>
      </c>
      <c r="AG372">
        <v>95</v>
      </c>
      <c r="AH372">
        <v>14</v>
      </c>
      <c r="AI372">
        <v>14</v>
      </c>
      <c r="AJ372">
        <v>2</v>
      </c>
      <c r="AK372">
        <v>40</v>
      </c>
      <c r="AL372" t="s">
        <v>190</v>
      </c>
      <c r="AM372" t="s">
        <v>191</v>
      </c>
      <c r="AN372" t="s">
        <v>192</v>
      </c>
      <c r="AO372" t="s">
        <v>1322</v>
      </c>
      <c r="AP372" t="s">
        <v>2400</v>
      </c>
      <c r="AQ372" t="s">
        <v>72</v>
      </c>
      <c r="AR372" t="s">
        <v>1323</v>
      </c>
      <c r="AS372" t="s">
        <v>1324</v>
      </c>
      <c r="AT372" t="s">
        <v>1602</v>
      </c>
      <c r="AU372">
        <v>2020</v>
      </c>
      <c r="AV372">
        <v>38</v>
      </c>
      <c r="AW372">
        <v>1</v>
      </c>
      <c r="AX372" t="s">
        <v>72</v>
      </c>
      <c r="AY372" t="s">
        <v>72</v>
      </c>
      <c r="AZ372" t="s">
        <v>478</v>
      </c>
      <c r="BA372" t="s">
        <v>72</v>
      </c>
      <c r="BB372">
        <v>91</v>
      </c>
      <c r="BC372">
        <v>107</v>
      </c>
      <c r="BD372" t="s">
        <v>72</v>
      </c>
      <c r="BE372" t="s">
        <v>9639</v>
      </c>
      <c r="BF372" t="str">
        <f>HYPERLINK("http://dx.doi.org/10.1177/0894439318788618","http://dx.doi.org/10.1177/0894439318788618")</f>
        <v>http://dx.doi.org/10.1177/0894439318788618</v>
      </c>
      <c r="BG372" t="s">
        <v>72</v>
      </c>
      <c r="BH372" t="s">
        <v>72</v>
      </c>
      <c r="BI372">
        <v>17</v>
      </c>
      <c r="BJ372" t="s">
        <v>1327</v>
      </c>
      <c r="BK372" t="s">
        <v>1328</v>
      </c>
      <c r="BL372" t="s">
        <v>9640</v>
      </c>
      <c r="BM372" t="s">
        <v>72</v>
      </c>
      <c r="BN372" t="s">
        <v>72</v>
      </c>
      <c r="BO372" t="s">
        <v>72</v>
      </c>
      <c r="BP372" t="s">
        <v>72</v>
      </c>
      <c r="BQ372" t="s">
        <v>100</v>
      </c>
      <c r="BR372" t="s">
        <v>9641</v>
      </c>
      <c r="BS372" t="str">
        <f>HYPERLINK("https%3A%2F%2Fwww.webofscience.com%2Fwos%2Fwoscc%2Ffull-record%2FWOS:000506055900007","View Full Record in Web of Science")</f>
        <v>View Full Record in Web of Science</v>
      </c>
    </row>
    <row r="373" spans="1:71" x14ac:dyDescent="0.2">
      <c r="A373" t="s">
        <v>70</v>
      </c>
      <c r="B373" t="s">
        <v>12967</v>
      </c>
      <c r="C373" t="s">
        <v>72</v>
      </c>
      <c r="D373" t="s">
        <v>72</v>
      </c>
      <c r="E373" t="s">
        <v>72</v>
      </c>
      <c r="F373" t="s">
        <v>12968</v>
      </c>
      <c r="G373" t="s">
        <v>72</v>
      </c>
      <c r="H373" t="s">
        <v>72</v>
      </c>
      <c r="I373" t="s">
        <v>12969</v>
      </c>
      <c r="J373" t="s">
        <v>1315</v>
      </c>
      <c r="K373" t="s">
        <v>72</v>
      </c>
      <c r="L373" t="s">
        <v>72</v>
      </c>
      <c r="M373" t="s">
        <v>76</v>
      </c>
      <c r="N373" t="s">
        <v>77</v>
      </c>
      <c r="O373" t="s">
        <v>72</v>
      </c>
      <c r="P373" t="s">
        <v>72</v>
      </c>
      <c r="Q373" t="s">
        <v>72</v>
      </c>
      <c r="R373" t="s">
        <v>72</v>
      </c>
      <c r="S373" t="s">
        <v>72</v>
      </c>
      <c r="T373" t="s">
        <v>12970</v>
      </c>
      <c r="U373" t="s">
        <v>12971</v>
      </c>
      <c r="V373" t="s">
        <v>12972</v>
      </c>
      <c r="W373" t="s">
        <v>12973</v>
      </c>
      <c r="X373" t="s">
        <v>12974</v>
      </c>
      <c r="Y373" t="s">
        <v>12975</v>
      </c>
      <c r="Z373" t="s">
        <v>12976</v>
      </c>
      <c r="AA373" t="s">
        <v>72</v>
      </c>
      <c r="AB373" t="s">
        <v>12977</v>
      </c>
      <c r="AC373" t="s">
        <v>72</v>
      </c>
      <c r="AD373" t="s">
        <v>72</v>
      </c>
      <c r="AE373" t="s">
        <v>72</v>
      </c>
      <c r="AF373" t="s">
        <v>72</v>
      </c>
      <c r="AG373">
        <v>69</v>
      </c>
      <c r="AH373">
        <v>1</v>
      </c>
      <c r="AI373">
        <v>1</v>
      </c>
      <c r="AJ373">
        <v>3</v>
      </c>
      <c r="AK373">
        <v>10</v>
      </c>
      <c r="AL373" t="s">
        <v>190</v>
      </c>
      <c r="AM373" t="s">
        <v>191</v>
      </c>
      <c r="AN373" t="s">
        <v>192</v>
      </c>
      <c r="AO373" t="s">
        <v>1322</v>
      </c>
      <c r="AP373" t="s">
        <v>2400</v>
      </c>
      <c r="AQ373" t="s">
        <v>72</v>
      </c>
      <c r="AR373" t="s">
        <v>1323</v>
      </c>
      <c r="AS373" t="s">
        <v>1324</v>
      </c>
      <c r="AT373" t="s">
        <v>929</v>
      </c>
      <c r="AU373">
        <v>2021</v>
      </c>
      <c r="AV373">
        <v>39</v>
      </c>
      <c r="AW373">
        <v>6</v>
      </c>
      <c r="AX373" t="s">
        <v>72</v>
      </c>
      <c r="AY373" t="s">
        <v>72</v>
      </c>
      <c r="AZ373" t="s">
        <v>72</v>
      </c>
      <c r="BA373" t="s">
        <v>72</v>
      </c>
      <c r="BB373">
        <v>1272</v>
      </c>
      <c r="BC373">
        <v>1291</v>
      </c>
      <c r="BD373">
        <v>894439320979675</v>
      </c>
      <c r="BE373" t="s">
        <v>12978</v>
      </c>
      <c r="BF373" t="str">
        <f>HYPERLINK("http://dx.doi.org/10.1177/0894439320979675","http://dx.doi.org/10.1177/0894439320979675")</f>
        <v>http://dx.doi.org/10.1177/0894439320979675</v>
      </c>
      <c r="BG373" t="s">
        <v>72</v>
      </c>
      <c r="BH373" t="s">
        <v>4447</v>
      </c>
      <c r="BI373">
        <v>20</v>
      </c>
      <c r="BJ373" t="s">
        <v>1327</v>
      </c>
      <c r="BK373" t="s">
        <v>1328</v>
      </c>
      <c r="BL373" t="s">
        <v>12979</v>
      </c>
      <c r="BM373" t="s">
        <v>72</v>
      </c>
      <c r="BN373" t="s">
        <v>280</v>
      </c>
      <c r="BO373" t="s">
        <v>72</v>
      </c>
      <c r="BP373" t="s">
        <v>72</v>
      </c>
      <c r="BQ373" t="s">
        <v>100</v>
      </c>
      <c r="BR373" t="s">
        <v>12980</v>
      </c>
      <c r="BS373" t="str">
        <f>HYPERLINK("https%3A%2F%2Fwww.webofscience.com%2Fwos%2Fwoscc%2Ffull-record%2FWOS:000608781800001","View Full Record in Web of Science")</f>
        <v>View Full Record in Web of Science</v>
      </c>
    </row>
    <row r="374" spans="1:71" x14ac:dyDescent="0.2">
      <c r="A374" t="s">
        <v>70</v>
      </c>
      <c r="B374" t="s">
        <v>14207</v>
      </c>
      <c r="C374" t="s">
        <v>72</v>
      </c>
      <c r="D374" t="s">
        <v>72</v>
      </c>
      <c r="E374" t="s">
        <v>72</v>
      </c>
      <c r="F374" t="s">
        <v>14208</v>
      </c>
      <c r="G374" t="s">
        <v>72</v>
      </c>
      <c r="H374" t="s">
        <v>72</v>
      </c>
      <c r="I374" t="s">
        <v>14209</v>
      </c>
      <c r="J374" t="s">
        <v>1315</v>
      </c>
      <c r="K374" t="s">
        <v>72</v>
      </c>
      <c r="L374" t="s">
        <v>72</v>
      </c>
      <c r="M374" t="s">
        <v>76</v>
      </c>
      <c r="N374" t="s">
        <v>352</v>
      </c>
      <c r="O374" t="s">
        <v>72</v>
      </c>
      <c r="P374" t="s">
        <v>72</v>
      </c>
      <c r="Q374" t="s">
        <v>72</v>
      </c>
      <c r="R374" t="s">
        <v>72</v>
      </c>
      <c r="S374" t="s">
        <v>72</v>
      </c>
      <c r="T374" t="s">
        <v>14210</v>
      </c>
      <c r="U374" t="s">
        <v>14211</v>
      </c>
      <c r="V374" t="s">
        <v>14212</v>
      </c>
      <c r="W374" t="s">
        <v>14213</v>
      </c>
      <c r="X374" t="s">
        <v>14214</v>
      </c>
      <c r="Y374" t="s">
        <v>14215</v>
      </c>
      <c r="Z374" t="s">
        <v>14216</v>
      </c>
      <c r="AA374" t="s">
        <v>72</v>
      </c>
      <c r="AB374" t="s">
        <v>14217</v>
      </c>
      <c r="AC374" t="s">
        <v>14218</v>
      </c>
      <c r="AD374" t="s">
        <v>14219</v>
      </c>
      <c r="AE374" t="s">
        <v>14220</v>
      </c>
      <c r="AF374" t="s">
        <v>72</v>
      </c>
      <c r="AG374">
        <v>72</v>
      </c>
      <c r="AH374">
        <v>0</v>
      </c>
      <c r="AI374">
        <v>0</v>
      </c>
      <c r="AJ374">
        <v>14</v>
      </c>
      <c r="AK374">
        <v>27</v>
      </c>
      <c r="AL374" t="s">
        <v>190</v>
      </c>
      <c r="AM374" t="s">
        <v>191</v>
      </c>
      <c r="AN374" t="s">
        <v>192</v>
      </c>
      <c r="AO374" t="s">
        <v>1322</v>
      </c>
      <c r="AP374" t="s">
        <v>2400</v>
      </c>
      <c r="AQ374" t="s">
        <v>72</v>
      </c>
      <c r="AR374" t="s">
        <v>1323</v>
      </c>
      <c r="AS374" t="s">
        <v>1324</v>
      </c>
      <c r="AT374" t="s">
        <v>72</v>
      </c>
      <c r="AU374" t="s">
        <v>72</v>
      </c>
      <c r="AV374" t="s">
        <v>72</v>
      </c>
      <c r="AW374" t="s">
        <v>72</v>
      </c>
      <c r="AX374" t="s">
        <v>72</v>
      </c>
      <c r="AY374" t="s">
        <v>72</v>
      </c>
      <c r="AZ374" t="s">
        <v>72</v>
      </c>
      <c r="BA374" t="s">
        <v>72</v>
      </c>
      <c r="BB374" t="s">
        <v>72</v>
      </c>
      <c r="BC374" t="s">
        <v>72</v>
      </c>
      <c r="BD374">
        <v>8944393211052042</v>
      </c>
      <c r="BE374" t="s">
        <v>14221</v>
      </c>
      <c r="BF374" t="str">
        <f>HYPERLINK("http://dx.doi.org/10.1177/08944393211052042","http://dx.doi.org/10.1177/08944393211052042")</f>
        <v>http://dx.doi.org/10.1177/08944393211052042</v>
      </c>
      <c r="BG374" t="s">
        <v>72</v>
      </c>
      <c r="BH374" t="s">
        <v>1212</v>
      </c>
      <c r="BI374">
        <v>20</v>
      </c>
      <c r="BJ374" t="s">
        <v>1327</v>
      </c>
      <c r="BK374" t="s">
        <v>1328</v>
      </c>
      <c r="BL374" t="s">
        <v>14222</v>
      </c>
      <c r="BM374" t="s">
        <v>72</v>
      </c>
      <c r="BN374" t="s">
        <v>2403</v>
      </c>
      <c r="BO374" t="s">
        <v>72</v>
      </c>
      <c r="BP374" t="s">
        <v>72</v>
      </c>
      <c r="BQ374" t="s">
        <v>100</v>
      </c>
      <c r="BR374" t="s">
        <v>14223</v>
      </c>
      <c r="BS374" t="str">
        <f>HYPERLINK("https%3A%2F%2Fwww.webofscience.com%2Fwos%2Fwoscc%2Ffull-record%2FWOS:000759641400001","View Full Record in Web of Science")</f>
        <v>View Full Record in Web of Science</v>
      </c>
    </row>
    <row r="375" spans="1:71" x14ac:dyDescent="0.2">
      <c r="A375" t="s">
        <v>70</v>
      </c>
      <c r="B375" t="s">
        <v>2660</v>
      </c>
      <c r="C375" t="s">
        <v>72</v>
      </c>
      <c r="D375" t="s">
        <v>72</v>
      </c>
      <c r="E375" t="s">
        <v>72</v>
      </c>
      <c r="F375" t="s">
        <v>2661</v>
      </c>
      <c r="G375" t="s">
        <v>72</v>
      </c>
      <c r="H375" t="s">
        <v>72</v>
      </c>
      <c r="I375" t="s">
        <v>16433</v>
      </c>
      <c r="J375" t="s">
        <v>1315</v>
      </c>
      <c r="K375" t="s">
        <v>72</v>
      </c>
      <c r="L375" t="s">
        <v>72</v>
      </c>
      <c r="M375" t="s">
        <v>76</v>
      </c>
      <c r="N375" t="s">
        <v>77</v>
      </c>
      <c r="O375" t="s">
        <v>72</v>
      </c>
      <c r="P375" t="s">
        <v>72</v>
      </c>
      <c r="Q375" t="s">
        <v>72</v>
      </c>
      <c r="R375" t="s">
        <v>72</v>
      </c>
      <c r="S375" t="s">
        <v>72</v>
      </c>
      <c r="T375" t="s">
        <v>16434</v>
      </c>
      <c r="U375" t="s">
        <v>16435</v>
      </c>
      <c r="V375" t="s">
        <v>16436</v>
      </c>
      <c r="W375" t="s">
        <v>16437</v>
      </c>
      <c r="X375" t="s">
        <v>493</v>
      </c>
      <c r="Y375" t="s">
        <v>16438</v>
      </c>
      <c r="Z375" t="s">
        <v>16439</v>
      </c>
      <c r="AA375" t="s">
        <v>72</v>
      </c>
      <c r="AB375" t="s">
        <v>72</v>
      </c>
      <c r="AC375" t="s">
        <v>72</v>
      </c>
      <c r="AD375" t="s">
        <v>72</v>
      </c>
      <c r="AE375" t="s">
        <v>72</v>
      </c>
      <c r="AF375" t="s">
        <v>72</v>
      </c>
      <c r="AG375">
        <v>39</v>
      </c>
      <c r="AH375">
        <v>8</v>
      </c>
      <c r="AI375">
        <v>8</v>
      </c>
      <c r="AJ375">
        <v>1</v>
      </c>
      <c r="AK375">
        <v>23</v>
      </c>
      <c r="AL375" t="s">
        <v>190</v>
      </c>
      <c r="AM375" t="s">
        <v>191</v>
      </c>
      <c r="AN375" t="s">
        <v>192</v>
      </c>
      <c r="AO375" t="s">
        <v>1322</v>
      </c>
      <c r="AP375" t="s">
        <v>2400</v>
      </c>
      <c r="AQ375" t="s">
        <v>72</v>
      </c>
      <c r="AR375" t="s">
        <v>1323</v>
      </c>
      <c r="AS375" t="s">
        <v>1324</v>
      </c>
      <c r="AT375" t="s">
        <v>149</v>
      </c>
      <c r="AU375">
        <v>2019</v>
      </c>
      <c r="AV375">
        <v>37</v>
      </c>
      <c r="AW375">
        <v>2</v>
      </c>
      <c r="AX375" t="s">
        <v>72</v>
      </c>
      <c r="AY375" t="s">
        <v>72</v>
      </c>
      <c r="AZ375" t="s">
        <v>72</v>
      </c>
      <c r="BA375" t="s">
        <v>72</v>
      </c>
      <c r="BB375">
        <v>135</v>
      </c>
      <c r="BC375">
        <v>159</v>
      </c>
      <c r="BD375" t="s">
        <v>72</v>
      </c>
      <c r="BE375" t="s">
        <v>16440</v>
      </c>
      <c r="BF375" t="str">
        <f>HYPERLINK("http://dx.doi.org/10.1177/0894439318758389","http://dx.doi.org/10.1177/0894439318758389")</f>
        <v>http://dx.doi.org/10.1177/0894439318758389</v>
      </c>
      <c r="BG375" t="s">
        <v>72</v>
      </c>
      <c r="BH375" t="s">
        <v>72</v>
      </c>
      <c r="BI375">
        <v>25</v>
      </c>
      <c r="BJ375" t="s">
        <v>1327</v>
      </c>
      <c r="BK375" t="s">
        <v>1328</v>
      </c>
      <c r="BL375" t="s">
        <v>16441</v>
      </c>
      <c r="BM375" t="s">
        <v>72</v>
      </c>
      <c r="BN375" t="s">
        <v>72</v>
      </c>
      <c r="BO375" t="s">
        <v>72</v>
      </c>
      <c r="BP375" t="s">
        <v>72</v>
      </c>
      <c r="BQ375" t="s">
        <v>100</v>
      </c>
      <c r="BR375" t="s">
        <v>16442</v>
      </c>
      <c r="BS375" t="str">
        <f>HYPERLINK("https%3A%2F%2Fwww.webofscience.com%2Fwos%2Fwoscc%2Ffull-record%2FWOS:000460532800001","View Full Record in Web of Science")</f>
        <v>View Full Record in Web of Science</v>
      </c>
    </row>
    <row r="376" spans="1:71" hidden="1" x14ac:dyDescent="0.2">
      <c r="A376" t="s">
        <v>305</v>
      </c>
      <c r="B376" t="s">
        <v>15000</v>
      </c>
      <c r="C376" t="s">
        <v>72</v>
      </c>
      <c r="D376" t="s">
        <v>72</v>
      </c>
      <c r="E376" t="s">
        <v>4814</v>
      </c>
      <c r="F376" t="s">
        <v>15001</v>
      </c>
      <c r="G376" t="s">
        <v>72</v>
      </c>
      <c r="H376" t="s">
        <v>72</v>
      </c>
      <c r="I376" t="s">
        <v>15002</v>
      </c>
      <c r="J376" t="s">
        <v>15003</v>
      </c>
      <c r="K376" t="s">
        <v>72</v>
      </c>
      <c r="L376" t="s">
        <v>72</v>
      </c>
      <c r="M376" t="s">
        <v>76</v>
      </c>
      <c r="N376" t="s">
        <v>312</v>
      </c>
      <c r="O376" t="s">
        <v>15004</v>
      </c>
      <c r="P376" t="s">
        <v>15005</v>
      </c>
      <c r="Q376" t="s">
        <v>4204</v>
      </c>
      <c r="R376" t="s">
        <v>4814</v>
      </c>
      <c r="S376" t="s">
        <v>72</v>
      </c>
      <c r="T376" t="s">
        <v>72</v>
      </c>
      <c r="U376" t="s">
        <v>15006</v>
      </c>
      <c r="V376" t="s">
        <v>15007</v>
      </c>
      <c r="W376" t="s">
        <v>15008</v>
      </c>
      <c r="X376" t="s">
        <v>15009</v>
      </c>
      <c r="Y376" t="s">
        <v>15010</v>
      </c>
      <c r="Z376" t="s">
        <v>15011</v>
      </c>
      <c r="AA376" t="s">
        <v>72</v>
      </c>
      <c r="AB376" t="s">
        <v>72</v>
      </c>
      <c r="AC376" t="s">
        <v>72</v>
      </c>
      <c r="AD376" t="s">
        <v>72</v>
      </c>
      <c r="AE376" t="s">
        <v>72</v>
      </c>
      <c r="AF376" t="s">
        <v>72</v>
      </c>
      <c r="AG376">
        <v>43</v>
      </c>
      <c r="AH376">
        <v>2</v>
      </c>
      <c r="AI376">
        <v>2</v>
      </c>
      <c r="AJ376">
        <v>0</v>
      </c>
      <c r="AK376">
        <v>3</v>
      </c>
      <c r="AL376" t="s">
        <v>4830</v>
      </c>
      <c r="AM376" t="s">
        <v>4831</v>
      </c>
      <c r="AN376" t="s">
        <v>4832</v>
      </c>
      <c r="AO376" t="s">
        <v>72</v>
      </c>
      <c r="AP376" t="s">
        <v>72</v>
      </c>
      <c r="AQ376" t="s">
        <v>15012</v>
      </c>
      <c r="AR376" t="s">
        <v>72</v>
      </c>
      <c r="AS376" t="s">
        <v>72</v>
      </c>
      <c r="AT376" t="s">
        <v>72</v>
      </c>
      <c r="AU376">
        <v>2021</v>
      </c>
      <c r="AV376" t="s">
        <v>72</v>
      </c>
      <c r="AW376" t="s">
        <v>72</v>
      </c>
      <c r="AX376" t="s">
        <v>72</v>
      </c>
      <c r="AY376" t="s">
        <v>72</v>
      </c>
      <c r="AZ376" t="s">
        <v>72</v>
      </c>
      <c r="BA376" t="s">
        <v>72</v>
      </c>
      <c r="BB376">
        <v>8</v>
      </c>
      <c r="BC376">
        <v>18</v>
      </c>
      <c r="BD376" t="s">
        <v>72</v>
      </c>
      <c r="BE376" t="s">
        <v>72</v>
      </c>
      <c r="BF376" t="s">
        <v>72</v>
      </c>
      <c r="BG376" t="s">
        <v>72</v>
      </c>
      <c r="BH376" t="s">
        <v>72</v>
      </c>
      <c r="BI376">
        <v>11</v>
      </c>
      <c r="BJ376" t="s">
        <v>15013</v>
      </c>
      <c r="BK376" t="s">
        <v>15014</v>
      </c>
      <c r="BL376" t="s">
        <v>15015</v>
      </c>
      <c r="BM376" t="s">
        <v>72</v>
      </c>
      <c r="BN376" t="s">
        <v>72</v>
      </c>
      <c r="BO376" t="s">
        <v>72</v>
      </c>
      <c r="BP376" t="s">
        <v>72</v>
      </c>
      <c r="BQ376" t="s">
        <v>100</v>
      </c>
      <c r="BR376" t="s">
        <v>15016</v>
      </c>
      <c r="BS376" t="str">
        <f>HYPERLINK("https%3A%2F%2Fwww.webofscience.com%2Fwos%2Fwoscc%2Ffull-record%2FWOS:000696679700002","View Full Record in Web of Science")</f>
        <v>View Full Record in Web of Science</v>
      </c>
    </row>
    <row r="377" spans="1:71" x14ac:dyDescent="0.2">
      <c r="A377" t="s">
        <v>305</v>
      </c>
      <c r="B377" t="s">
        <v>5086</v>
      </c>
      <c r="C377" t="s">
        <v>72</v>
      </c>
      <c r="D377" t="s">
        <v>5087</v>
      </c>
      <c r="E377" t="s">
        <v>72</v>
      </c>
      <c r="F377" t="s">
        <v>5088</v>
      </c>
      <c r="G377" t="s">
        <v>72</v>
      </c>
      <c r="H377" t="s">
        <v>72</v>
      </c>
      <c r="I377" t="s">
        <v>5089</v>
      </c>
      <c r="J377" t="s">
        <v>5090</v>
      </c>
      <c r="K377" t="s">
        <v>4201</v>
      </c>
      <c r="L377" t="s">
        <v>72</v>
      </c>
      <c r="M377" t="s">
        <v>76</v>
      </c>
      <c r="N377" t="s">
        <v>312</v>
      </c>
      <c r="O377" t="s">
        <v>5091</v>
      </c>
      <c r="P377" t="s">
        <v>5092</v>
      </c>
      <c r="Q377" t="s">
        <v>5093</v>
      </c>
      <c r="R377" t="s">
        <v>5094</v>
      </c>
      <c r="S377" t="s">
        <v>72</v>
      </c>
      <c r="T377" t="s">
        <v>72</v>
      </c>
      <c r="U377" t="s">
        <v>5095</v>
      </c>
      <c r="V377" t="s">
        <v>5096</v>
      </c>
      <c r="W377" t="s">
        <v>5097</v>
      </c>
      <c r="X377" t="s">
        <v>5098</v>
      </c>
      <c r="Y377" t="s">
        <v>5099</v>
      </c>
      <c r="Z377" t="s">
        <v>5100</v>
      </c>
      <c r="AA377" t="s">
        <v>72</v>
      </c>
      <c r="AB377" t="s">
        <v>72</v>
      </c>
      <c r="AC377" t="s">
        <v>72</v>
      </c>
      <c r="AD377" t="s">
        <v>72</v>
      </c>
      <c r="AE377" t="s">
        <v>72</v>
      </c>
      <c r="AF377" t="s">
        <v>72</v>
      </c>
      <c r="AG377">
        <v>39</v>
      </c>
      <c r="AH377">
        <v>0</v>
      </c>
      <c r="AI377">
        <v>0</v>
      </c>
      <c r="AJ377">
        <v>0</v>
      </c>
      <c r="AK377">
        <v>0</v>
      </c>
      <c r="AL377" t="s">
        <v>4212</v>
      </c>
      <c r="AM377" t="s">
        <v>4213</v>
      </c>
      <c r="AN377" t="s">
        <v>4214</v>
      </c>
      <c r="AO377" t="s">
        <v>2900</v>
      </c>
      <c r="AP377" t="s">
        <v>2901</v>
      </c>
      <c r="AQ377" t="s">
        <v>5101</v>
      </c>
      <c r="AR377" t="s">
        <v>4216</v>
      </c>
      <c r="AS377" t="s">
        <v>72</v>
      </c>
      <c r="AT377" t="s">
        <v>72</v>
      </c>
      <c r="AU377">
        <v>2018</v>
      </c>
      <c r="AV377">
        <v>10899</v>
      </c>
      <c r="AW377" t="s">
        <v>72</v>
      </c>
      <c r="AX377" t="s">
        <v>72</v>
      </c>
      <c r="AY377" t="s">
        <v>72</v>
      </c>
      <c r="AZ377" t="s">
        <v>72</v>
      </c>
      <c r="BA377" t="s">
        <v>72</v>
      </c>
      <c r="BB377">
        <v>243</v>
      </c>
      <c r="BC377">
        <v>252</v>
      </c>
      <c r="BD377" t="s">
        <v>72</v>
      </c>
      <c r="BE377" t="s">
        <v>5102</v>
      </c>
      <c r="BF377" t="str">
        <f>HYPERLINK("http://dx.doi.org/10.1007/978-3-319-93372-6_28","http://dx.doi.org/10.1007/978-3-319-93372-6_28")</f>
        <v>http://dx.doi.org/10.1007/978-3-319-93372-6_28</v>
      </c>
      <c r="BG377" t="s">
        <v>72</v>
      </c>
      <c r="BH377" t="s">
        <v>72</v>
      </c>
      <c r="BI377">
        <v>10</v>
      </c>
      <c r="BJ377" t="s">
        <v>5103</v>
      </c>
      <c r="BK377" t="s">
        <v>5104</v>
      </c>
      <c r="BL377" t="s">
        <v>5105</v>
      </c>
      <c r="BM377" t="s">
        <v>72</v>
      </c>
      <c r="BN377" t="s">
        <v>72</v>
      </c>
      <c r="BO377" t="s">
        <v>72</v>
      </c>
      <c r="BP377" t="s">
        <v>72</v>
      </c>
      <c r="BQ377" t="s">
        <v>100</v>
      </c>
      <c r="BR377" t="s">
        <v>5106</v>
      </c>
      <c r="BS377" t="str">
        <f>HYPERLINK("https%3A%2F%2Fwww.webofscience.com%2Fwos%2Fwoscc%2Ffull-record%2FWOS:000552600600028","View Full Record in Web of Science")</f>
        <v>View Full Record in Web of Science</v>
      </c>
    </row>
    <row r="378" spans="1:71" hidden="1" x14ac:dyDescent="0.2">
      <c r="A378" t="s">
        <v>561</v>
      </c>
      <c r="B378" t="s">
        <v>2455</v>
      </c>
      <c r="C378" t="s">
        <v>2455</v>
      </c>
      <c r="D378" t="s">
        <v>72</v>
      </c>
      <c r="E378" t="s">
        <v>72</v>
      </c>
      <c r="F378" t="s">
        <v>2456</v>
      </c>
      <c r="G378" t="s">
        <v>2455</v>
      </c>
      <c r="H378" t="s">
        <v>72</v>
      </c>
      <c r="I378" t="s">
        <v>2457</v>
      </c>
      <c r="J378" t="s">
        <v>2458</v>
      </c>
      <c r="K378" t="s">
        <v>72</v>
      </c>
      <c r="L378" t="s">
        <v>72</v>
      </c>
      <c r="M378" t="s">
        <v>76</v>
      </c>
      <c r="N378" t="s">
        <v>567</v>
      </c>
      <c r="O378" t="s">
        <v>72</v>
      </c>
      <c r="P378" t="s">
        <v>72</v>
      </c>
      <c r="Q378" t="s">
        <v>72</v>
      </c>
      <c r="R378" t="s">
        <v>72</v>
      </c>
      <c r="S378" t="s">
        <v>72</v>
      </c>
      <c r="T378" t="s">
        <v>72</v>
      </c>
      <c r="U378" t="s">
        <v>72</v>
      </c>
      <c r="V378" t="s">
        <v>72</v>
      </c>
      <c r="W378" t="s">
        <v>2459</v>
      </c>
      <c r="X378" t="s">
        <v>2460</v>
      </c>
      <c r="Y378" t="s">
        <v>2461</v>
      </c>
      <c r="Z378" t="s">
        <v>72</v>
      </c>
      <c r="AA378" t="s">
        <v>72</v>
      </c>
      <c r="AB378" t="s">
        <v>72</v>
      </c>
      <c r="AC378" t="s">
        <v>72</v>
      </c>
      <c r="AD378" t="s">
        <v>72</v>
      </c>
      <c r="AE378" t="s">
        <v>72</v>
      </c>
      <c r="AF378" t="s">
        <v>72</v>
      </c>
      <c r="AG378">
        <v>3</v>
      </c>
      <c r="AH378">
        <v>0</v>
      </c>
      <c r="AI378">
        <v>0</v>
      </c>
      <c r="AJ378">
        <v>0</v>
      </c>
      <c r="AK378">
        <v>1</v>
      </c>
      <c r="AL378" t="s">
        <v>2462</v>
      </c>
      <c r="AM378" t="s">
        <v>451</v>
      </c>
      <c r="AN378" t="s">
        <v>2463</v>
      </c>
      <c r="AO378" t="s">
        <v>72</v>
      </c>
      <c r="AP378" t="s">
        <v>72</v>
      </c>
      <c r="AQ378" t="s">
        <v>2464</v>
      </c>
      <c r="AR378" t="s">
        <v>72</v>
      </c>
      <c r="AS378" t="s">
        <v>72</v>
      </c>
      <c r="AT378" t="s">
        <v>72</v>
      </c>
      <c r="AU378">
        <v>2013</v>
      </c>
      <c r="AV378" t="s">
        <v>72</v>
      </c>
      <c r="AW378" t="s">
        <v>72</v>
      </c>
      <c r="AX378" t="s">
        <v>72</v>
      </c>
      <c r="AY378" t="s">
        <v>72</v>
      </c>
      <c r="AZ378" t="s">
        <v>72</v>
      </c>
      <c r="BA378" t="s">
        <v>72</v>
      </c>
      <c r="BB378">
        <v>258</v>
      </c>
      <c r="BC378">
        <v>271</v>
      </c>
      <c r="BD378" t="s">
        <v>72</v>
      </c>
      <c r="BE378" t="s">
        <v>72</v>
      </c>
      <c r="BF378" t="s">
        <v>72</v>
      </c>
      <c r="BG378" t="s">
        <v>2465</v>
      </c>
      <c r="BH378" t="s">
        <v>72</v>
      </c>
      <c r="BI378">
        <v>14</v>
      </c>
      <c r="BJ378" t="s">
        <v>2466</v>
      </c>
      <c r="BK378" t="s">
        <v>2467</v>
      </c>
      <c r="BL378" t="s">
        <v>2468</v>
      </c>
      <c r="BM378" t="s">
        <v>72</v>
      </c>
      <c r="BN378" t="s">
        <v>72</v>
      </c>
      <c r="BO378" t="s">
        <v>72</v>
      </c>
      <c r="BP378" t="s">
        <v>72</v>
      </c>
      <c r="BQ378" t="s">
        <v>100</v>
      </c>
      <c r="BR378" t="s">
        <v>2469</v>
      </c>
      <c r="BS378" t="str">
        <f>HYPERLINK("https%3A%2F%2Fwww.webofscience.com%2Fwos%2Fwoscc%2Ffull-record%2FWOS:000324680200020","View Full Record in Web of Science")</f>
        <v>View Full Record in Web of Science</v>
      </c>
    </row>
    <row r="379" spans="1:71" hidden="1" x14ac:dyDescent="0.2">
      <c r="A379" t="s">
        <v>70</v>
      </c>
      <c r="B379" t="s">
        <v>17189</v>
      </c>
      <c r="C379" t="s">
        <v>72</v>
      </c>
      <c r="D379" t="s">
        <v>72</v>
      </c>
      <c r="E379" t="s">
        <v>72</v>
      </c>
      <c r="F379" t="s">
        <v>17190</v>
      </c>
      <c r="G379" t="s">
        <v>72</v>
      </c>
      <c r="H379" t="s">
        <v>72</v>
      </c>
      <c r="I379" t="s">
        <v>17191</v>
      </c>
      <c r="J379" t="s">
        <v>17192</v>
      </c>
      <c r="K379" t="s">
        <v>72</v>
      </c>
      <c r="L379" t="s">
        <v>72</v>
      </c>
      <c r="M379" t="s">
        <v>76</v>
      </c>
      <c r="N379" t="s">
        <v>77</v>
      </c>
      <c r="O379" t="s">
        <v>72</v>
      </c>
      <c r="P379" t="s">
        <v>72</v>
      </c>
      <c r="Q379" t="s">
        <v>72</v>
      </c>
      <c r="R379" t="s">
        <v>72</v>
      </c>
      <c r="S379" t="s">
        <v>72</v>
      </c>
      <c r="T379" t="s">
        <v>17193</v>
      </c>
      <c r="U379" t="s">
        <v>17194</v>
      </c>
      <c r="V379" t="s">
        <v>17195</v>
      </c>
      <c r="W379" t="s">
        <v>17196</v>
      </c>
      <c r="X379" t="s">
        <v>17197</v>
      </c>
      <c r="Y379" t="s">
        <v>17198</v>
      </c>
      <c r="Z379" t="s">
        <v>17199</v>
      </c>
      <c r="AA379" t="s">
        <v>72</v>
      </c>
      <c r="AB379" t="s">
        <v>17200</v>
      </c>
      <c r="AC379" t="s">
        <v>17201</v>
      </c>
      <c r="AD379" t="s">
        <v>17202</v>
      </c>
      <c r="AE379" t="s">
        <v>17203</v>
      </c>
      <c r="AF379" t="s">
        <v>72</v>
      </c>
      <c r="AG379">
        <v>48</v>
      </c>
      <c r="AH379">
        <v>3</v>
      </c>
      <c r="AI379">
        <v>3</v>
      </c>
      <c r="AJ379">
        <v>1</v>
      </c>
      <c r="AK379">
        <v>25</v>
      </c>
      <c r="AL379" t="s">
        <v>924</v>
      </c>
      <c r="AM379" t="s">
        <v>168</v>
      </c>
      <c r="AN379" t="s">
        <v>925</v>
      </c>
      <c r="AO379" t="s">
        <v>17204</v>
      </c>
      <c r="AP379" t="s">
        <v>17205</v>
      </c>
      <c r="AQ379" t="s">
        <v>72</v>
      </c>
      <c r="AR379" t="s">
        <v>17206</v>
      </c>
      <c r="AS379" t="s">
        <v>17207</v>
      </c>
      <c r="AT379" t="s">
        <v>1602</v>
      </c>
      <c r="AU379">
        <v>2020</v>
      </c>
      <c r="AV379">
        <v>142</v>
      </c>
      <c r="AW379" t="s">
        <v>72</v>
      </c>
      <c r="AX379" t="s">
        <v>72</v>
      </c>
      <c r="AY379" t="s">
        <v>72</v>
      </c>
      <c r="AZ379" t="s">
        <v>72</v>
      </c>
      <c r="BA379" t="s">
        <v>72</v>
      </c>
      <c r="BB379" t="s">
        <v>72</v>
      </c>
      <c r="BC379" t="s">
        <v>72</v>
      </c>
      <c r="BD379">
        <v>106813</v>
      </c>
      <c r="BE379" t="s">
        <v>17208</v>
      </c>
      <c r="BF379" t="str">
        <f>HYPERLINK("http://dx.doi.org/10.1016/j.csda.2019.106813","http://dx.doi.org/10.1016/j.csda.2019.106813")</f>
        <v>http://dx.doi.org/10.1016/j.csda.2019.106813</v>
      </c>
      <c r="BG379" t="s">
        <v>72</v>
      </c>
      <c r="BH379" t="s">
        <v>72</v>
      </c>
      <c r="BI379">
        <v>15</v>
      </c>
      <c r="BJ379" t="s">
        <v>17209</v>
      </c>
      <c r="BK379" t="s">
        <v>2467</v>
      </c>
      <c r="BL379" t="s">
        <v>17210</v>
      </c>
      <c r="BM379" t="s">
        <v>72</v>
      </c>
      <c r="BN379" t="s">
        <v>72</v>
      </c>
      <c r="BO379" t="s">
        <v>72</v>
      </c>
      <c r="BP379" t="s">
        <v>72</v>
      </c>
      <c r="BQ379" t="s">
        <v>100</v>
      </c>
      <c r="BR379" t="s">
        <v>17211</v>
      </c>
      <c r="BS379" t="str">
        <f>HYPERLINK("https%3A%2F%2Fwww.webofscience.com%2Fwos%2Fwoscc%2Ffull-record%2FWOS:000493217100009","View Full Record in Web of Science")</f>
        <v>View Full Record in Web of Science</v>
      </c>
    </row>
    <row r="380" spans="1:71" x14ac:dyDescent="0.2">
      <c r="A380" t="s">
        <v>70</v>
      </c>
      <c r="B380" t="s">
        <v>667</v>
      </c>
      <c r="C380" t="s">
        <v>72</v>
      </c>
      <c r="D380" t="s">
        <v>72</v>
      </c>
      <c r="E380" t="s">
        <v>72</v>
      </c>
      <c r="F380" t="s">
        <v>668</v>
      </c>
      <c r="G380" t="s">
        <v>72</v>
      </c>
      <c r="H380" t="s">
        <v>72</v>
      </c>
      <c r="I380" t="s">
        <v>669</v>
      </c>
      <c r="J380" t="s">
        <v>670</v>
      </c>
      <c r="K380" t="s">
        <v>72</v>
      </c>
      <c r="L380" t="s">
        <v>72</v>
      </c>
      <c r="M380" t="s">
        <v>76</v>
      </c>
      <c r="N380" t="s">
        <v>77</v>
      </c>
      <c r="O380" t="s">
        <v>72</v>
      </c>
      <c r="P380" t="s">
        <v>72</v>
      </c>
      <c r="Q380" t="s">
        <v>72</v>
      </c>
      <c r="R380" t="s">
        <v>72</v>
      </c>
      <c r="S380" t="s">
        <v>72</v>
      </c>
      <c r="T380" t="s">
        <v>671</v>
      </c>
      <c r="U380" t="s">
        <v>672</v>
      </c>
      <c r="V380" t="s">
        <v>72</v>
      </c>
      <c r="W380" t="s">
        <v>673</v>
      </c>
      <c r="X380" t="s">
        <v>674</v>
      </c>
      <c r="Y380" t="s">
        <v>675</v>
      </c>
      <c r="Z380" t="s">
        <v>676</v>
      </c>
      <c r="AA380" t="s">
        <v>72</v>
      </c>
      <c r="AB380" t="s">
        <v>677</v>
      </c>
      <c r="AC380" t="s">
        <v>678</v>
      </c>
      <c r="AD380" t="s">
        <v>679</v>
      </c>
      <c r="AE380" t="s">
        <v>680</v>
      </c>
      <c r="AF380" t="s">
        <v>72</v>
      </c>
      <c r="AG380">
        <v>31</v>
      </c>
      <c r="AH380">
        <v>15</v>
      </c>
      <c r="AI380">
        <v>15</v>
      </c>
      <c r="AJ380">
        <v>0</v>
      </c>
      <c r="AK380">
        <v>11</v>
      </c>
      <c r="AL380" t="s">
        <v>88</v>
      </c>
      <c r="AM380" t="s">
        <v>89</v>
      </c>
      <c r="AN380" t="s">
        <v>90</v>
      </c>
      <c r="AO380" t="s">
        <v>681</v>
      </c>
      <c r="AP380" t="s">
        <v>72</v>
      </c>
      <c r="AQ380" t="s">
        <v>72</v>
      </c>
      <c r="AR380" t="s">
        <v>682</v>
      </c>
      <c r="AS380" t="s">
        <v>683</v>
      </c>
      <c r="AT380" t="s">
        <v>95</v>
      </c>
      <c r="AU380">
        <v>2012</v>
      </c>
      <c r="AV380">
        <v>18</v>
      </c>
      <c r="AW380">
        <v>3</v>
      </c>
      <c r="AX380" t="s">
        <v>72</v>
      </c>
      <c r="AY380" t="s">
        <v>72</v>
      </c>
      <c r="AZ380" t="s">
        <v>478</v>
      </c>
      <c r="BA380" t="s">
        <v>72</v>
      </c>
      <c r="BB380">
        <v>328</v>
      </c>
      <c r="BC380">
        <v>339</v>
      </c>
      <c r="BD380" t="s">
        <v>72</v>
      </c>
      <c r="BE380" t="s">
        <v>684</v>
      </c>
      <c r="BF380" t="str">
        <f>HYPERLINK("http://dx.doi.org/10.1007/s10588-012-9126-x","http://dx.doi.org/10.1007/s10588-012-9126-x")</f>
        <v>http://dx.doi.org/10.1007/s10588-012-9126-x</v>
      </c>
      <c r="BG380" t="s">
        <v>72</v>
      </c>
      <c r="BH380" t="s">
        <v>72</v>
      </c>
      <c r="BI380">
        <v>12</v>
      </c>
      <c r="BJ380" t="s">
        <v>685</v>
      </c>
      <c r="BK380" t="s">
        <v>686</v>
      </c>
      <c r="BL380" t="s">
        <v>687</v>
      </c>
      <c r="BM380" t="s">
        <v>72</v>
      </c>
      <c r="BN380" t="s">
        <v>72</v>
      </c>
      <c r="BO380" t="s">
        <v>72</v>
      </c>
      <c r="BP380" t="s">
        <v>72</v>
      </c>
      <c r="BQ380" t="s">
        <v>100</v>
      </c>
      <c r="BR380" t="s">
        <v>688</v>
      </c>
      <c r="BS380" t="str">
        <f>HYPERLINK("https%3A%2F%2Fwww.webofscience.com%2Fwos%2Fwoscc%2Ffull-record%2FWOS:000307883600005","View Full Record in Web of Science")</f>
        <v>View Full Record in Web of Science</v>
      </c>
    </row>
    <row r="381" spans="1:71" hidden="1" x14ac:dyDescent="0.2">
      <c r="A381" t="s">
        <v>70</v>
      </c>
      <c r="B381" t="s">
        <v>13471</v>
      </c>
      <c r="C381" t="s">
        <v>72</v>
      </c>
      <c r="D381" t="s">
        <v>72</v>
      </c>
      <c r="E381" t="s">
        <v>72</v>
      </c>
      <c r="F381" t="s">
        <v>13472</v>
      </c>
      <c r="G381" t="s">
        <v>72</v>
      </c>
      <c r="H381" t="s">
        <v>72</v>
      </c>
      <c r="I381" t="s">
        <v>13473</v>
      </c>
      <c r="J381" t="s">
        <v>13474</v>
      </c>
      <c r="K381" t="s">
        <v>72</v>
      </c>
      <c r="L381" t="s">
        <v>72</v>
      </c>
      <c r="M381" t="s">
        <v>76</v>
      </c>
      <c r="N381" t="s">
        <v>77</v>
      </c>
      <c r="O381" t="s">
        <v>72</v>
      </c>
      <c r="P381" t="s">
        <v>72</v>
      </c>
      <c r="Q381" t="s">
        <v>72</v>
      </c>
      <c r="R381" t="s">
        <v>72</v>
      </c>
      <c r="S381" t="s">
        <v>72</v>
      </c>
      <c r="T381" t="s">
        <v>13475</v>
      </c>
      <c r="U381" t="s">
        <v>13476</v>
      </c>
      <c r="V381" t="s">
        <v>13477</v>
      </c>
      <c r="W381" t="s">
        <v>13478</v>
      </c>
      <c r="X381" t="s">
        <v>13479</v>
      </c>
      <c r="Y381" t="s">
        <v>13480</v>
      </c>
      <c r="Z381" t="s">
        <v>13481</v>
      </c>
      <c r="AA381" t="s">
        <v>13482</v>
      </c>
      <c r="AB381" t="s">
        <v>13483</v>
      </c>
      <c r="AC381" t="s">
        <v>13484</v>
      </c>
      <c r="AD381" t="s">
        <v>13485</v>
      </c>
      <c r="AE381" t="s">
        <v>13486</v>
      </c>
      <c r="AF381" t="s">
        <v>72</v>
      </c>
      <c r="AG381">
        <v>83</v>
      </c>
      <c r="AH381">
        <v>6</v>
      </c>
      <c r="AI381">
        <v>7</v>
      </c>
      <c r="AJ381">
        <v>2</v>
      </c>
      <c r="AK381">
        <v>14</v>
      </c>
      <c r="AL381" t="s">
        <v>3380</v>
      </c>
      <c r="AM381" t="s">
        <v>574</v>
      </c>
      <c r="AN381" t="s">
        <v>3381</v>
      </c>
      <c r="AO381" t="s">
        <v>13487</v>
      </c>
      <c r="AP381" t="s">
        <v>13488</v>
      </c>
      <c r="AQ381" t="s">
        <v>72</v>
      </c>
      <c r="AR381" t="s">
        <v>13489</v>
      </c>
      <c r="AS381" t="s">
        <v>13490</v>
      </c>
      <c r="AT381" t="s">
        <v>395</v>
      </c>
      <c r="AU381">
        <v>2017</v>
      </c>
      <c r="AV381">
        <v>74</v>
      </c>
      <c r="AW381" t="s">
        <v>72</v>
      </c>
      <c r="AX381" t="s">
        <v>72</v>
      </c>
      <c r="AY381" t="s">
        <v>72</v>
      </c>
      <c r="AZ381" t="s">
        <v>72</v>
      </c>
      <c r="BA381" t="s">
        <v>72</v>
      </c>
      <c r="BB381">
        <v>33</v>
      </c>
      <c r="BC381">
        <v>45</v>
      </c>
      <c r="BD381" t="s">
        <v>72</v>
      </c>
      <c r="BE381" t="s">
        <v>13491</v>
      </c>
      <c r="BF381" t="str">
        <f>HYPERLINK("http://dx.doi.org/10.1016/j.jbi.2017.08.007","http://dx.doi.org/10.1016/j.jbi.2017.08.007")</f>
        <v>http://dx.doi.org/10.1016/j.jbi.2017.08.007</v>
      </c>
      <c r="BG381" t="s">
        <v>72</v>
      </c>
      <c r="BH381" t="s">
        <v>72</v>
      </c>
      <c r="BI381">
        <v>13</v>
      </c>
      <c r="BJ381" t="s">
        <v>13492</v>
      </c>
      <c r="BK381" t="s">
        <v>13493</v>
      </c>
      <c r="BL381" t="s">
        <v>13494</v>
      </c>
      <c r="BM381">
        <v>28823922</v>
      </c>
      <c r="BN381" t="s">
        <v>5171</v>
      </c>
      <c r="BO381" t="s">
        <v>72</v>
      </c>
      <c r="BP381" t="s">
        <v>72</v>
      </c>
      <c r="BQ381" t="s">
        <v>100</v>
      </c>
      <c r="BR381" t="s">
        <v>13495</v>
      </c>
      <c r="BS381" t="str">
        <f>HYPERLINK("https%3A%2F%2Fwww.webofscience.com%2Fwos%2Fwoscc%2Ffull-record%2FWOS:000426221600004","View Full Record in Web of Science")</f>
        <v>View Full Record in Web of Science</v>
      </c>
    </row>
    <row r="382" spans="1:71" hidden="1" x14ac:dyDescent="0.2">
      <c r="A382" t="s">
        <v>70</v>
      </c>
      <c r="B382" t="s">
        <v>16341</v>
      </c>
      <c r="C382" t="s">
        <v>72</v>
      </c>
      <c r="D382" t="s">
        <v>72</v>
      </c>
      <c r="E382" t="s">
        <v>72</v>
      </c>
      <c r="F382" t="s">
        <v>16342</v>
      </c>
      <c r="G382" t="s">
        <v>72</v>
      </c>
      <c r="H382" t="s">
        <v>72</v>
      </c>
      <c r="I382" t="s">
        <v>16343</v>
      </c>
      <c r="J382" t="s">
        <v>13474</v>
      </c>
      <c r="K382" t="s">
        <v>72</v>
      </c>
      <c r="L382" t="s">
        <v>72</v>
      </c>
      <c r="M382" t="s">
        <v>76</v>
      </c>
      <c r="N382" t="s">
        <v>77</v>
      </c>
      <c r="O382" t="s">
        <v>72</v>
      </c>
      <c r="P382" t="s">
        <v>72</v>
      </c>
      <c r="Q382" t="s">
        <v>72</v>
      </c>
      <c r="R382" t="s">
        <v>72</v>
      </c>
      <c r="S382" t="s">
        <v>72</v>
      </c>
      <c r="T382" t="s">
        <v>16344</v>
      </c>
      <c r="U382" t="s">
        <v>16345</v>
      </c>
      <c r="V382" t="s">
        <v>16346</v>
      </c>
      <c r="W382" t="s">
        <v>16347</v>
      </c>
      <c r="X382" t="s">
        <v>16348</v>
      </c>
      <c r="Y382" t="s">
        <v>16349</v>
      </c>
      <c r="Z382" t="s">
        <v>16350</v>
      </c>
      <c r="AA382" t="s">
        <v>72</v>
      </c>
      <c r="AB382" t="s">
        <v>72</v>
      </c>
      <c r="AC382" t="s">
        <v>16351</v>
      </c>
      <c r="AD382" t="s">
        <v>16351</v>
      </c>
      <c r="AE382" t="s">
        <v>16352</v>
      </c>
      <c r="AF382" t="s">
        <v>72</v>
      </c>
      <c r="AG382">
        <v>39</v>
      </c>
      <c r="AH382">
        <v>9</v>
      </c>
      <c r="AI382">
        <v>10</v>
      </c>
      <c r="AJ382">
        <v>1</v>
      </c>
      <c r="AK382">
        <v>8</v>
      </c>
      <c r="AL382" t="s">
        <v>3380</v>
      </c>
      <c r="AM382" t="s">
        <v>574</v>
      </c>
      <c r="AN382" t="s">
        <v>3381</v>
      </c>
      <c r="AO382" t="s">
        <v>13487</v>
      </c>
      <c r="AP382" t="s">
        <v>13488</v>
      </c>
      <c r="AQ382" t="s">
        <v>72</v>
      </c>
      <c r="AR382" t="s">
        <v>13489</v>
      </c>
      <c r="AS382" t="s">
        <v>13490</v>
      </c>
      <c r="AT382" t="s">
        <v>395</v>
      </c>
      <c r="AU382">
        <v>2019</v>
      </c>
      <c r="AV382">
        <v>98</v>
      </c>
      <c r="AW382" t="s">
        <v>72</v>
      </c>
      <c r="AX382" t="s">
        <v>72</v>
      </c>
      <c r="AY382" t="s">
        <v>72</v>
      </c>
      <c r="AZ382" t="s">
        <v>72</v>
      </c>
      <c r="BA382" t="s">
        <v>72</v>
      </c>
      <c r="BB382" t="s">
        <v>72</v>
      </c>
      <c r="BC382" t="s">
        <v>72</v>
      </c>
      <c r="BD382">
        <v>103275</v>
      </c>
      <c r="BE382" t="s">
        <v>16353</v>
      </c>
      <c r="BF382" t="str">
        <f>HYPERLINK("http://dx.doi.org/10.1016/j.jbi.2019.103275","http://dx.doi.org/10.1016/j.jbi.2019.103275")</f>
        <v>http://dx.doi.org/10.1016/j.jbi.2019.103275</v>
      </c>
      <c r="BG382" t="s">
        <v>72</v>
      </c>
      <c r="BH382" t="s">
        <v>72</v>
      </c>
      <c r="BI382">
        <v>11</v>
      </c>
      <c r="BJ382" t="s">
        <v>13492</v>
      </c>
      <c r="BK382" t="s">
        <v>13493</v>
      </c>
      <c r="BL382" t="s">
        <v>16354</v>
      </c>
      <c r="BM382">
        <v>31473364</v>
      </c>
      <c r="BN382" t="s">
        <v>16355</v>
      </c>
      <c r="BO382" t="s">
        <v>72</v>
      </c>
      <c r="BP382" t="s">
        <v>72</v>
      </c>
      <c r="BQ382" t="s">
        <v>100</v>
      </c>
      <c r="BR382" t="s">
        <v>16356</v>
      </c>
      <c r="BS382" t="str">
        <f>HYPERLINK("https%3A%2F%2Fwww.webofscience.com%2Fwos%2Fwoscc%2Ffull-record%2FWOS:000525699600014","View Full Record in Web of Science")</f>
        <v>View Full Record in Web of Science</v>
      </c>
    </row>
    <row r="383" spans="1:71" hidden="1" x14ac:dyDescent="0.2">
      <c r="A383" t="s">
        <v>305</v>
      </c>
      <c r="B383" t="s">
        <v>6860</v>
      </c>
      <c r="C383" t="s">
        <v>72</v>
      </c>
      <c r="D383" t="s">
        <v>6861</v>
      </c>
      <c r="E383" t="s">
        <v>72</v>
      </c>
      <c r="F383" t="s">
        <v>6862</v>
      </c>
      <c r="G383" t="s">
        <v>72</v>
      </c>
      <c r="H383" t="s">
        <v>72</v>
      </c>
      <c r="I383" t="s">
        <v>6863</v>
      </c>
      <c r="J383" t="s">
        <v>6864</v>
      </c>
      <c r="K383" t="s">
        <v>2882</v>
      </c>
      <c r="L383" t="s">
        <v>72</v>
      </c>
      <c r="M383" t="s">
        <v>76</v>
      </c>
      <c r="N383" t="s">
        <v>312</v>
      </c>
      <c r="O383" t="s">
        <v>6865</v>
      </c>
      <c r="P383" t="s">
        <v>6866</v>
      </c>
      <c r="Q383" t="s">
        <v>6867</v>
      </c>
      <c r="R383" t="s">
        <v>72</v>
      </c>
      <c r="S383" t="s">
        <v>72</v>
      </c>
      <c r="T383" t="s">
        <v>72</v>
      </c>
      <c r="U383" t="s">
        <v>72</v>
      </c>
      <c r="V383" t="s">
        <v>6868</v>
      </c>
      <c r="W383" t="s">
        <v>6869</v>
      </c>
      <c r="X383" t="s">
        <v>6870</v>
      </c>
      <c r="Y383" t="s">
        <v>6871</v>
      </c>
      <c r="Z383" t="s">
        <v>6872</v>
      </c>
      <c r="AA383" t="s">
        <v>6873</v>
      </c>
      <c r="AB383" t="s">
        <v>6874</v>
      </c>
      <c r="AC383" t="s">
        <v>72</v>
      </c>
      <c r="AD383" t="s">
        <v>72</v>
      </c>
      <c r="AE383" t="s">
        <v>72</v>
      </c>
      <c r="AF383" t="s">
        <v>72</v>
      </c>
      <c r="AG383">
        <v>27</v>
      </c>
      <c r="AH383">
        <v>1</v>
      </c>
      <c r="AI383">
        <v>1</v>
      </c>
      <c r="AJ383">
        <v>1</v>
      </c>
      <c r="AK383">
        <v>9</v>
      </c>
      <c r="AL383" t="s">
        <v>4212</v>
      </c>
      <c r="AM383" t="s">
        <v>4213</v>
      </c>
      <c r="AN383" t="s">
        <v>4214</v>
      </c>
      <c r="AO383" t="s">
        <v>2900</v>
      </c>
      <c r="AP383" t="s">
        <v>2901</v>
      </c>
      <c r="AQ383" t="s">
        <v>6875</v>
      </c>
      <c r="AR383" t="s">
        <v>2903</v>
      </c>
      <c r="AS383" t="s">
        <v>72</v>
      </c>
      <c r="AT383" t="s">
        <v>72</v>
      </c>
      <c r="AU383">
        <v>2016</v>
      </c>
      <c r="AV383">
        <v>9444</v>
      </c>
      <c r="AW383" t="s">
        <v>72</v>
      </c>
      <c r="AX383" t="s">
        <v>72</v>
      </c>
      <c r="AY383" t="s">
        <v>72</v>
      </c>
      <c r="AZ383" t="s">
        <v>72</v>
      </c>
      <c r="BA383" t="s">
        <v>72</v>
      </c>
      <c r="BB383">
        <v>31</v>
      </c>
      <c r="BC383">
        <v>39</v>
      </c>
      <c r="BD383" t="s">
        <v>72</v>
      </c>
      <c r="BE383" t="s">
        <v>6876</v>
      </c>
      <c r="BF383" t="str">
        <f>HYPERLINK("http://dx.doi.org/10.1007/978-3-319-45174-9_4","http://dx.doi.org/10.1007/978-3-319-45174-9_4")</f>
        <v>http://dx.doi.org/10.1007/978-3-319-45174-9_4</v>
      </c>
      <c r="BG383" t="s">
        <v>72</v>
      </c>
      <c r="BH383" t="s">
        <v>72</v>
      </c>
      <c r="BI383">
        <v>9</v>
      </c>
      <c r="BJ383" t="s">
        <v>6877</v>
      </c>
      <c r="BK383" t="s">
        <v>6878</v>
      </c>
      <c r="BL383" t="s">
        <v>6879</v>
      </c>
      <c r="BM383" t="s">
        <v>72</v>
      </c>
      <c r="BN383" t="s">
        <v>72</v>
      </c>
      <c r="BO383" t="s">
        <v>72</v>
      </c>
      <c r="BP383" t="s">
        <v>72</v>
      </c>
      <c r="BQ383" t="s">
        <v>100</v>
      </c>
      <c r="BR383" t="s">
        <v>6880</v>
      </c>
      <c r="BS383" t="str">
        <f>HYPERLINK("https%3A%2F%2Fwww.webofscience.com%2Fwos%2Fwoscc%2Ffull-record%2FWOS:000388723400004","View Full Record in Web of Science")</f>
        <v>View Full Record in Web of Science</v>
      </c>
    </row>
    <row r="384" spans="1:71" hidden="1" x14ac:dyDescent="0.2">
      <c r="A384" t="s">
        <v>70</v>
      </c>
      <c r="B384" t="s">
        <v>13868</v>
      </c>
      <c r="C384" t="s">
        <v>72</v>
      </c>
      <c r="D384" t="s">
        <v>72</v>
      </c>
      <c r="E384" t="s">
        <v>72</v>
      </c>
      <c r="F384" t="s">
        <v>13869</v>
      </c>
      <c r="G384" t="s">
        <v>72</v>
      </c>
      <c r="H384" t="s">
        <v>72</v>
      </c>
      <c r="I384" t="s">
        <v>13870</v>
      </c>
      <c r="J384" t="s">
        <v>13871</v>
      </c>
      <c r="K384" t="s">
        <v>72</v>
      </c>
      <c r="L384" t="s">
        <v>72</v>
      </c>
      <c r="M384" t="s">
        <v>76</v>
      </c>
      <c r="N384" t="s">
        <v>77</v>
      </c>
      <c r="O384" t="s">
        <v>72</v>
      </c>
      <c r="P384" t="s">
        <v>72</v>
      </c>
      <c r="Q384" t="s">
        <v>72</v>
      </c>
      <c r="R384" t="s">
        <v>72</v>
      </c>
      <c r="S384" t="s">
        <v>72</v>
      </c>
      <c r="T384" t="s">
        <v>13872</v>
      </c>
      <c r="U384" t="s">
        <v>13873</v>
      </c>
      <c r="V384" t="s">
        <v>13874</v>
      </c>
      <c r="W384" t="s">
        <v>13875</v>
      </c>
      <c r="X384" t="s">
        <v>5735</v>
      </c>
      <c r="Y384" t="s">
        <v>13876</v>
      </c>
      <c r="Z384" t="s">
        <v>13877</v>
      </c>
      <c r="AA384" t="s">
        <v>72</v>
      </c>
      <c r="AB384" t="s">
        <v>72</v>
      </c>
      <c r="AC384" t="s">
        <v>72</v>
      </c>
      <c r="AD384" t="s">
        <v>72</v>
      </c>
      <c r="AE384" t="s">
        <v>72</v>
      </c>
      <c r="AF384" t="s">
        <v>72</v>
      </c>
      <c r="AG384">
        <v>34</v>
      </c>
      <c r="AH384">
        <v>9</v>
      </c>
      <c r="AI384">
        <v>9</v>
      </c>
      <c r="AJ384">
        <v>1</v>
      </c>
      <c r="AK384">
        <v>8</v>
      </c>
      <c r="AL384" t="s">
        <v>10376</v>
      </c>
      <c r="AM384" t="s">
        <v>168</v>
      </c>
      <c r="AN384" t="s">
        <v>10377</v>
      </c>
      <c r="AO384" t="s">
        <v>13878</v>
      </c>
      <c r="AP384" t="s">
        <v>72</v>
      </c>
      <c r="AQ384" t="s">
        <v>72</v>
      </c>
      <c r="AR384" t="s">
        <v>13879</v>
      </c>
      <c r="AS384" t="s">
        <v>13880</v>
      </c>
      <c r="AT384" t="s">
        <v>639</v>
      </c>
      <c r="AU384">
        <v>2017</v>
      </c>
      <c r="AV384">
        <v>44</v>
      </c>
      <c r="AW384" t="s">
        <v>72</v>
      </c>
      <c r="AX384" t="s">
        <v>72</v>
      </c>
      <c r="AY384" t="s">
        <v>72</v>
      </c>
      <c r="AZ384" t="s">
        <v>72</v>
      </c>
      <c r="BA384" t="s">
        <v>72</v>
      </c>
      <c r="BB384">
        <v>89</v>
      </c>
      <c r="BC384">
        <v>99</v>
      </c>
      <c r="BD384" t="s">
        <v>72</v>
      </c>
      <c r="BE384" t="s">
        <v>13881</v>
      </c>
      <c r="BF384" t="str">
        <f>HYPERLINK("http://dx.doi.org/10.1016/j.cogsys.2017.03.006","http://dx.doi.org/10.1016/j.cogsys.2017.03.006")</f>
        <v>http://dx.doi.org/10.1016/j.cogsys.2017.03.006</v>
      </c>
      <c r="BG384" t="s">
        <v>72</v>
      </c>
      <c r="BH384" t="s">
        <v>72</v>
      </c>
      <c r="BI384">
        <v>11</v>
      </c>
      <c r="BJ384" t="s">
        <v>13882</v>
      </c>
      <c r="BK384" t="s">
        <v>13883</v>
      </c>
      <c r="BL384" t="s">
        <v>13884</v>
      </c>
      <c r="BM384" t="s">
        <v>72</v>
      </c>
      <c r="BN384" t="s">
        <v>72</v>
      </c>
      <c r="BO384" t="s">
        <v>72</v>
      </c>
      <c r="BP384" t="s">
        <v>72</v>
      </c>
      <c r="BQ384" t="s">
        <v>100</v>
      </c>
      <c r="BR384" t="s">
        <v>13885</v>
      </c>
      <c r="BS384" t="str">
        <f>HYPERLINK("https%3A%2F%2Fwww.webofscience.com%2Fwos%2Fwoscc%2Ffull-record%2FWOS:000406322400007","View Full Record in Web of Science")</f>
        <v>View Full Record in Web of Science</v>
      </c>
    </row>
    <row r="385" spans="1:71" hidden="1" x14ac:dyDescent="0.2">
      <c r="A385" t="s">
        <v>305</v>
      </c>
      <c r="B385" t="s">
        <v>8811</v>
      </c>
      <c r="C385" t="s">
        <v>72</v>
      </c>
      <c r="D385" t="s">
        <v>8812</v>
      </c>
      <c r="E385" t="s">
        <v>72</v>
      </c>
      <c r="F385" t="s">
        <v>8813</v>
      </c>
      <c r="G385" t="s">
        <v>72</v>
      </c>
      <c r="H385" t="s">
        <v>72</v>
      </c>
      <c r="I385" t="s">
        <v>8814</v>
      </c>
      <c r="J385" t="s">
        <v>8815</v>
      </c>
      <c r="K385" t="s">
        <v>8816</v>
      </c>
      <c r="L385" t="s">
        <v>72</v>
      </c>
      <c r="M385" t="s">
        <v>76</v>
      </c>
      <c r="N385" t="s">
        <v>312</v>
      </c>
      <c r="O385" t="s">
        <v>8817</v>
      </c>
      <c r="P385" t="s">
        <v>8818</v>
      </c>
      <c r="Q385" t="s">
        <v>8819</v>
      </c>
      <c r="R385" t="s">
        <v>8820</v>
      </c>
      <c r="S385" t="s">
        <v>8821</v>
      </c>
      <c r="T385" t="s">
        <v>8822</v>
      </c>
      <c r="U385" t="s">
        <v>72</v>
      </c>
      <c r="V385" t="s">
        <v>8823</v>
      </c>
      <c r="W385" t="s">
        <v>8824</v>
      </c>
      <c r="X385" t="s">
        <v>3090</v>
      </c>
      <c r="Y385" t="s">
        <v>8825</v>
      </c>
      <c r="Z385" t="s">
        <v>8826</v>
      </c>
      <c r="AA385" t="s">
        <v>72</v>
      </c>
      <c r="AB385" t="s">
        <v>72</v>
      </c>
      <c r="AC385" t="s">
        <v>72</v>
      </c>
      <c r="AD385" t="s">
        <v>72</v>
      </c>
      <c r="AE385" t="s">
        <v>72</v>
      </c>
      <c r="AF385" t="s">
        <v>72</v>
      </c>
      <c r="AG385">
        <v>6</v>
      </c>
      <c r="AH385">
        <v>0</v>
      </c>
      <c r="AI385">
        <v>0</v>
      </c>
      <c r="AJ385">
        <v>0</v>
      </c>
      <c r="AK385">
        <v>0</v>
      </c>
      <c r="AL385" t="s">
        <v>4732</v>
      </c>
      <c r="AM385" t="s">
        <v>4733</v>
      </c>
      <c r="AN385" t="s">
        <v>6489</v>
      </c>
      <c r="AO385" t="s">
        <v>8827</v>
      </c>
      <c r="AP385" t="s">
        <v>72</v>
      </c>
      <c r="AQ385" t="s">
        <v>8828</v>
      </c>
      <c r="AR385" t="s">
        <v>8829</v>
      </c>
      <c r="AS385" t="s">
        <v>72</v>
      </c>
      <c r="AT385" t="s">
        <v>72</v>
      </c>
      <c r="AU385">
        <v>2020</v>
      </c>
      <c r="AV385" t="s">
        <v>72</v>
      </c>
      <c r="AW385" t="s">
        <v>72</v>
      </c>
      <c r="AX385" t="s">
        <v>72</v>
      </c>
      <c r="AY385" t="s">
        <v>72</v>
      </c>
      <c r="AZ385" t="s">
        <v>72</v>
      </c>
      <c r="BA385" t="s">
        <v>72</v>
      </c>
      <c r="BB385">
        <v>767</v>
      </c>
      <c r="BC385">
        <v>768</v>
      </c>
      <c r="BD385" t="s">
        <v>72</v>
      </c>
      <c r="BE385" t="s">
        <v>8830</v>
      </c>
      <c r="BF385" t="str">
        <f>HYPERLINK("http://dx.doi.org/10.1109/DSAA49011.2020.00107","http://dx.doi.org/10.1109/DSAA49011.2020.00107")</f>
        <v>http://dx.doi.org/10.1109/DSAA49011.2020.00107</v>
      </c>
      <c r="BG385" t="s">
        <v>72</v>
      </c>
      <c r="BH385" t="s">
        <v>72</v>
      </c>
      <c r="BI385">
        <v>2</v>
      </c>
      <c r="BJ385" t="s">
        <v>8831</v>
      </c>
      <c r="BK385" t="s">
        <v>8832</v>
      </c>
      <c r="BL385" t="s">
        <v>8833</v>
      </c>
      <c r="BM385" t="s">
        <v>72</v>
      </c>
      <c r="BN385" t="s">
        <v>72</v>
      </c>
      <c r="BO385" t="s">
        <v>72</v>
      </c>
      <c r="BP385" t="s">
        <v>72</v>
      </c>
      <c r="BQ385" t="s">
        <v>100</v>
      </c>
      <c r="BR385" t="s">
        <v>8834</v>
      </c>
      <c r="BS385" t="str">
        <f>HYPERLINK("https%3A%2F%2Fwww.webofscience.com%2Fwos%2Fwoscc%2Ffull-record%2FWOS:000648720100095","View Full Record in Web of Science")</f>
        <v>View Full Record in Web of Science</v>
      </c>
    </row>
    <row r="386" spans="1:71" hidden="1" x14ac:dyDescent="0.2">
      <c r="A386" t="s">
        <v>305</v>
      </c>
      <c r="B386" t="s">
        <v>7104</v>
      </c>
      <c r="C386" t="s">
        <v>72</v>
      </c>
      <c r="D386" t="s">
        <v>7105</v>
      </c>
      <c r="E386" t="s">
        <v>72</v>
      </c>
      <c r="F386" t="s">
        <v>7106</v>
      </c>
      <c r="G386" t="s">
        <v>72</v>
      </c>
      <c r="H386" t="s">
        <v>72</v>
      </c>
      <c r="I386" t="s">
        <v>7107</v>
      </c>
      <c r="J386" t="s">
        <v>7108</v>
      </c>
      <c r="K386" t="s">
        <v>7109</v>
      </c>
      <c r="L386" t="s">
        <v>72</v>
      </c>
      <c r="M386" t="s">
        <v>76</v>
      </c>
      <c r="N386" t="s">
        <v>312</v>
      </c>
      <c r="O386" t="s">
        <v>7110</v>
      </c>
      <c r="P386" t="s">
        <v>7111</v>
      </c>
      <c r="Q386" t="s">
        <v>7112</v>
      </c>
      <c r="R386" t="s">
        <v>7113</v>
      </c>
      <c r="S386" t="s">
        <v>7114</v>
      </c>
      <c r="T386" t="s">
        <v>7115</v>
      </c>
      <c r="U386" t="s">
        <v>72</v>
      </c>
      <c r="V386" t="s">
        <v>7116</v>
      </c>
      <c r="W386" t="s">
        <v>7117</v>
      </c>
      <c r="X386" t="s">
        <v>7118</v>
      </c>
      <c r="Y386" t="s">
        <v>7119</v>
      </c>
      <c r="Z386" t="s">
        <v>7120</v>
      </c>
      <c r="AA386" t="s">
        <v>7121</v>
      </c>
      <c r="AB386" t="s">
        <v>7122</v>
      </c>
      <c r="AC386" t="s">
        <v>72</v>
      </c>
      <c r="AD386" t="s">
        <v>72</v>
      </c>
      <c r="AE386" t="s">
        <v>72</v>
      </c>
      <c r="AF386" t="s">
        <v>72</v>
      </c>
      <c r="AG386">
        <v>33</v>
      </c>
      <c r="AH386">
        <v>1</v>
      </c>
      <c r="AI386">
        <v>1</v>
      </c>
      <c r="AJ386">
        <v>0</v>
      </c>
      <c r="AK386">
        <v>2</v>
      </c>
      <c r="AL386" t="s">
        <v>706</v>
      </c>
      <c r="AM386" t="s">
        <v>707</v>
      </c>
      <c r="AN386" t="s">
        <v>708</v>
      </c>
      <c r="AO386" t="s">
        <v>72</v>
      </c>
      <c r="AP386" t="s">
        <v>72</v>
      </c>
      <c r="AQ386" t="s">
        <v>7123</v>
      </c>
      <c r="AR386" t="s">
        <v>7124</v>
      </c>
      <c r="AS386" t="s">
        <v>72</v>
      </c>
      <c r="AT386" t="s">
        <v>72</v>
      </c>
      <c r="AU386">
        <v>2018</v>
      </c>
      <c r="AV386" t="s">
        <v>72</v>
      </c>
      <c r="AW386" t="s">
        <v>72</v>
      </c>
      <c r="AX386" t="s">
        <v>72</v>
      </c>
      <c r="AY386" t="s">
        <v>72</v>
      </c>
      <c r="AZ386" t="s">
        <v>72</v>
      </c>
      <c r="BA386" t="s">
        <v>72</v>
      </c>
      <c r="BB386">
        <v>560</v>
      </c>
      <c r="BC386">
        <v>567</v>
      </c>
      <c r="BD386" t="s">
        <v>72</v>
      </c>
      <c r="BE386" t="s">
        <v>7125</v>
      </c>
      <c r="BF386" t="str">
        <f>HYPERLINK("http://dx.doi.org/10.1145/3209415.3209508","http://dx.doi.org/10.1145/3209415.3209508")</f>
        <v>http://dx.doi.org/10.1145/3209415.3209508</v>
      </c>
      <c r="BG386" t="s">
        <v>72</v>
      </c>
      <c r="BH386" t="s">
        <v>72</v>
      </c>
      <c r="BI386">
        <v>8</v>
      </c>
      <c r="BJ386" t="s">
        <v>7126</v>
      </c>
      <c r="BK386" t="s">
        <v>7127</v>
      </c>
      <c r="BL386" t="s">
        <v>7128</v>
      </c>
      <c r="BM386" t="s">
        <v>72</v>
      </c>
      <c r="BN386" t="s">
        <v>72</v>
      </c>
      <c r="BO386" t="s">
        <v>72</v>
      </c>
      <c r="BP386" t="s">
        <v>72</v>
      </c>
      <c r="BQ386" t="s">
        <v>100</v>
      </c>
      <c r="BR386" t="s">
        <v>7129</v>
      </c>
      <c r="BS386" t="str">
        <f>HYPERLINK("https%3A%2F%2Fwww.webofscience.com%2Fwos%2Fwoscc%2Ffull-record%2FWOS:000515826000068","View Full Record in Web of Science")</f>
        <v>View Full Record in Web of Science</v>
      </c>
    </row>
    <row r="387" spans="1:71" hidden="1" x14ac:dyDescent="0.2">
      <c r="A387" t="s">
        <v>70</v>
      </c>
      <c r="B387" t="s">
        <v>3579</v>
      </c>
      <c r="C387" t="s">
        <v>72</v>
      </c>
      <c r="D387" t="s">
        <v>72</v>
      </c>
      <c r="E387" t="s">
        <v>72</v>
      </c>
      <c r="F387" t="s">
        <v>3580</v>
      </c>
      <c r="G387" t="s">
        <v>72</v>
      </c>
      <c r="H387" t="s">
        <v>72</v>
      </c>
      <c r="I387" t="s">
        <v>3581</v>
      </c>
      <c r="J387" t="s">
        <v>3582</v>
      </c>
      <c r="K387" t="s">
        <v>72</v>
      </c>
      <c r="L387" t="s">
        <v>72</v>
      </c>
      <c r="M387" t="s">
        <v>76</v>
      </c>
      <c r="N387" t="s">
        <v>1503</v>
      </c>
      <c r="O387" t="s">
        <v>72</v>
      </c>
      <c r="P387" t="s">
        <v>72</v>
      </c>
      <c r="Q387" t="s">
        <v>72</v>
      </c>
      <c r="R387" t="s">
        <v>72</v>
      </c>
      <c r="S387" t="s">
        <v>72</v>
      </c>
      <c r="T387" t="s">
        <v>3583</v>
      </c>
      <c r="U387" t="s">
        <v>3584</v>
      </c>
      <c r="V387" t="s">
        <v>3585</v>
      </c>
      <c r="W387" t="s">
        <v>3586</v>
      </c>
      <c r="X387" t="s">
        <v>3587</v>
      </c>
      <c r="Y387" t="s">
        <v>3588</v>
      </c>
      <c r="Z387" t="s">
        <v>3589</v>
      </c>
      <c r="AA387" t="s">
        <v>3590</v>
      </c>
      <c r="AB387" t="s">
        <v>3591</v>
      </c>
      <c r="AC387" t="s">
        <v>72</v>
      </c>
      <c r="AD387" t="s">
        <v>72</v>
      </c>
      <c r="AE387" t="s">
        <v>72</v>
      </c>
      <c r="AF387" t="s">
        <v>72</v>
      </c>
      <c r="AG387">
        <v>218</v>
      </c>
      <c r="AH387">
        <v>13</v>
      </c>
      <c r="AI387">
        <v>13</v>
      </c>
      <c r="AJ387">
        <v>8</v>
      </c>
      <c r="AK387">
        <v>23</v>
      </c>
      <c r="AL387" t="s">
        <v>2426</v>
      </c>
      <c r="AM387" t="s">
        <v>2427</v>
      </c>
      <c r="AN387" t="s">
        <v>2428</v>
      </c>
      <c r="AO387" t="s">
        <v>72</v>
      </c>
      <c r="AP387" t="s">
        <v>3592</v>
      </c>
      <c r="AQ387" t="s">
        <v>72</v>
      </c>
      <c r="AR387" t="s">
        <v>3582</v>
      </c>
      <c r="AS387" t="s">
        <v>3593</v>
      </c>
      <c r="AT387" t="s">
        <v>95</v>
      </c>
      <c r="AU387">
        <v>2020</v>
      </c>
      <c r="AV387">
        <v>5</v>
      </c>
      <c r="AW387">
        <v>3</v>
      </c>
      <c r="AX387" t="s">
        <v>72</v>
      </c>
      <c r="AY387" t="s">
        <v>72</v>
      </c>
      <c r="AZ387" t="s">
        <v>72</v>
      </c>
      <c r="BA387" t="s">
        <v>72</v>
      </c>
      <c r="BB387" t="s">
        <v>72</v>
      </c>
      <c r="BC387" t="s">
        <v>72</v>
      </c>
      <c r="BD387">
        <v>80</v>
      </c>
      <c r="BE387" t="s">
        <v>3594</v>
      </c>
      <c r="BF387" t="str">
        <f>HYPERLINK("http://dx.doi.org/10.3390/data5030080","http://dx.doi.org/10.3390/data5030080")</f>
        <v>http://dx.doi.org/10.3390/data5030080</v>
      </c>
      <c r="BG387" t="s">
        <v>72</v>
      </c>
      <c r="BH387" t="s">
        <v>72</v>
      </c>
      <c r="BI387">
        <v>27</v>
      </c>
      <c r="BJ387" t="s">
        <v>3595</v>
      </c>
      <c r="BK387" t="s">
        <v>3596</v>
      </c>
      <c r="BL387" t="s">
        <v>3597</v>
      </c>
      <c r="BM387" t="s">
        <v>72</v>
      </c>
      <c r="BN387" t="s">
        <v>1425</v>
      </c>
      <c r="BO387" t="s">
        <v>72</v>
      </c>
      <c r="BP387" t="s">
        <v>72</v>
      </c>
      <c r="BQ387" t="s">
        <v>100</v>
      </c>
      <c r="BR387" t="s">
        <v>3598</v>
      </c>
      <c r="BS387" t="str">
        <f>HYPERLINK("https%3A%2F%2Fwww.webofscience.com%2Fwos%2Fwoscc%2Ffull-record%2FWOS:000578197600001","View Full Record in Web of Science")</f>
        <v>View Full Record in Web of Science</v>
      </c>
    </row>
    <row r="388" spans="1:71" hidden="1" x14ac:dyDescent="0.2">
      <c r="A388" t="s">
        <v>70</v>
      </c>
      <c r="B388" t="s">
        <v>10323</v>
      </c>
      <c r="C388" t="s">
        <v>72</v>
      </c>
      <c r="D388" t="s">
        <v>72</v>
      </c>
      <c r="E388" t="s">
        <v>72</v>
      </c>
      <c r="F388" t="s">
        <v>10324</v>
      </c>
      <c r="G388" t="s">
        <v>72</v>
      </c>
      <c r="H388" t="s">
        <v>72</v>
      </c>
      <c r="I388" t="s">
        <v>10325</v>
      </c>
      <c r="J388" t="s">
        <v>10326</v>
      </c>
      <c r="K388" t="s">
        <v>72</v>
      </c>
      <c r="L388" t="s">
        <v>72</v>
      </c>
      <c r="M388" t="s">
        <v>76</v>
      </c>
      <c r="N388" t="s">
        <v>77</v>
      </c>
      <c r="O388" t="s">
        <v>72</v>
      </c>
      <c r="P388" t="s">
        <v>72</v>
      </c>
      <c r="Q388" t="s">
        <v>72</v>
      </c>
      <c r="R388" t="s">
        <v>72</v>
      </c>
      <c r="S388" t="s">
        <v>72</v>
      </c>
      <c r="T388" t="s">
        <v>10327</v>
      </c>
      <c r="U388" t="s">
        <v>72</v>
      </c>
      <c r="V388" t="s">
        <v>10328</v>
      </c>
      <c r="W388" t="s">
        <v>10329</v>
      </c>
      <c r="X388" t="s">
        <v>10330</v>
      </c>
      <c r="Y388" t="s">
        <v>10331</v>
      </c>
      <c r="Z388" t="s">
        <v>10332</v>
      </c>
      <c r="AA388" t="s">
        <v>10333</v>
      </c>
      <c r="AB388" t="s">
        <v>10334</v>
      </c>
      <c r="AC388" t="s">
        <v>10335</v>
      </c>
      <c r="AD388" t="s">
        <v>10336</v>
      </c>
      <c r="AE388" t="s">
        <v>10337</v>
      </c>
      <c r="AF388" t="s">
        <v>72</v>
      </c>
      <c r="AG388">
        <v>41</v>
      </c>
      <c r="AH388">
        <v>12</v>
      </c>
      <c r="AI388">
        <v>12</v>
      </c>
      <c r="AJ388">
        <v>1</v>
      </c>
      <c r="AK388">
        <v>10</v>
      </c>
      <c r="AL388" t="s">
        <v>901</v>
      </c>
      <c r="AM388" t="s">
        <v>902</v>
      </c>
      <c r="AN388" t="s">
        <v>903</v>
      </c>
      <c r="AO388" t="s">
        <v>72</v>
      </c>
      <c r="AP388" t="s">
        <v>10338</v>
      </c>
      <c r="AQ388" t="s">
        <v>72</v>
      </c>
      <c r="AR388" t="s">
        <v>10339</v>
      </c>
      <c r="AS388" t="s">
        <v>10340</v>
      </c>
      <c r="AT388" t="s">
        <v>10341</v>
      </c>
      <c r="AU388">
        <v>2020</v>
      </c>
      <c r="AV388">
        <v>3</v>
      </c>
      <c r="AW388" t="s">
        <v>72</v>
      </c>
      <c r="AX388" t="s">
        <v>72</v>
      </c>
      <c r="AY388" t="s">
        <v>72</v>
      </c>
      <c r="AZ388" t="s">
        <v>72</v>
      </c>
      <c r="BA388" t="s">
        <v>72</v>
      </c>
      <c r="BB388" t="s">
        <v>72</v>
      </c>
      <c r="BC388" t="s">
        <v>72</v>
      </c>
      <c r="BD388">
        <v>32</v>
      </c>
      <c r="BE388" t="s">
        <v>10342</v>
      </c>
      <c r="BF388" t="str">
        <f>HYPERLINK("http://dx.doi.org/10.3389/fdata.2020.00032","http://dx.doi.org/10.3389/fdata.2020.00032")</f>
        <v>http://dx.doi.org/10.3389/fdata.2020.00032</v>
      </c>
      <c r="BG388" t="s">
        <v>72</v>
      </c>
      <c r="BH388" t="s">
        <v>72</v>
      </c>
      <c r="BI388">
        <v>9</v>
      </c>
      <c r="BJ388" t="s">
        <v>10343</v>
      </c>
      <c r="BK388" t="s">
        <v>3596</v>
      </c>
      <c r="BL388" t="s">
        <v>10344</v>
      </c>
      <c r="BM388">
        <v>33693405</v>
      </c>
      <c r="BN388" t="s">
        <v>128</v>
      </c>
      <c r="BO388" t="s">
        <v>72</v>
      </c>
      <c r="BP388" t="s">
        <v>72</v>
      </c>
      <c r="BQ388" t="s">
        <v>100</v>
      </c>
      <c r="BR388" t="s">
        <v>10345</v>
      </c>
      <c r="BS388" t="str">
        <f>HYPERLINK("https%3A%2F%2Fwww.webofscience.com%2Fwos%2Fwoscc%2Ffull-record%2FWOS:000674283800001","View Full Record in Web of Science")</f>
        <v>View Full Record in Web of Science</v>
      </c>
    </row>
    <row r="389" spans="1:71" hidden="1" x14ac:dyDescent="0.2">
      <c r="A389" t="s">
        <v>70</v>
      </c>
      <c r="B389" t="s">
        <v>14545</v>
      </c>
      <c r="C389" t="s">
        <v>72</v>
      </c>
      <c r="D389" t="s">
        <v>72</v>
      </c>
      <c r="E389" t="s">
        <v>72</v>
      </c>
      <c r="F389" t="s">
        <v>14546</v>
      </c>
      <c r="G389" t="s">
        <v>72</v>
      </c>
      <c r="H389" t="s">
        <v>72</v>
      </c>
      <c r="I389" t="s">
        <v>14547</v>
      </c>
      <c r="J389" t="s">
        <v>10326</v>
      </c>
      <c r="K389" t="s">
        <v>72</v>
      </c>
      <c r="L389" t="s">
        <v>72</v>
      </c>
      <c r="M389" t="s">
        <v>76</v>
      </c>
      <c r="N389" t="s">
        <v>77</v>
      </c>
      <c r="O389" t="s">
        <v>72</v>
      </c>
      <c r="P389" t="s">
        <v>72</v>
      </c>
      <c r="Q389" t="s">
        <v>72</v>
      </c>
      <c r="R389" t="s">
        <v>72</v>
      </c>
      <c r="S389" t="s">
        <v>72</v>
      </c>
      <c r="T389" t="s">
        <v>14548</v>
      </c>
      <c r="U389" t="s">
        <v>14549</v>
      </c>
      <c r="V389" t="s">
        <v>14550</v>
      </c>
      <c r="W389" t="s">
        <v>14551</v>
      </c>
      <c r="X389" t="s">
        <v>14552</v>
      </c>
      <c r="Y389" t="s">
        <v>14553</v>
      </c>
      <c r="Z389" t="s">
        <v>14554</v>
      </c>
      <c r="AA389" t="s">
        <v>72</v>
      </c>
      <c r="AB389" t="s">
        <v>72</v>
      </c>
      <c r="AC389" t="s">
        <v>14555</v>
      </c>
      <c r="AD389" t="s">
        <v>14555</v>
      </c>
      <c r="AE389" t="s">
        <v>14556</v>
      </c>
      <c r="AF389" t="s">
        <v>72</v>
      </c>
      <c r="AG389">
        <v>60</v>
      </c>
      <c r="AH389">
        <v>0</v>
      </c>
      <c r="AI389">
        <v>0</v>
      </c>
      <c r="AJ389">
        <v>2</v>
      </c>
      <c r="AK389">
        <v>2</v>
      </c>
      <c r="AL389" t="s">
        <v>901</v>
      </c>
      <c r="AM389" t="s">
        <v>902</v>
      </c>
      <c r="AN389" t="s">
        <v>903</v>
      </c>
      <c r="AO389" t="s">
        <v>72</v>
      </c>
      <c r="AP389" t="s">
        <v>10338</v>
      </c>
      <c r="AQ389" t="s">
        <v>72</v>
      </c>
      <c r="AR389" t="s">
        <v>10339</v>
      </c>
      <c r="AS389" t="s">
        <v>10340</v>
      </c>
      <c r="AT389" t="s">
        <v>1830</v>
      </c>
      <c r="AU389">
        <v>2022</v>
      </c>
      <c r="AV389">
        <v>5</v>
      </c>
      <c r="AW389" t="s">
        <v>72</v>
      </c>
      <c r="AX389" t="s">
        <v>72</v>
      </c>
      <c r="AY389" t="s">
        <v>72</v>
      </c>
      <c r="AZ389" t="s">
        <v>72</v>
      </c>
      <c r="BA389" t="s">
        <v>72</v>
      </c>
      <c r="BB389" t="s">
        <v>72</v>
      </c>
      <c r="BC389" t="s">
        <v>72</v>
      </c>
      <c r="BD389">
        <v>886362</v>
      </c>
      <c r="BE389" t="s">
        <v>14557</v>
      </c>
      <c r="BF389" t="str">
        <f>HYPERLINK("http://dx.doi.org/10.3389/fdata.2022.886362","http://dx.doi.org/10.3389/fdata.2022.886362")</f>
        <v>http://dx.doi.org/10.3389/fdata.2022.886362</v>
      </c>
      <c r="BG389" t="s">
        <v>72</v>
      </c>
      <c r="BH389" t="s">
        <v>72</v>
      </c>
      <c r="BI389">
        <v>16</v>
      </c>
      <c r="BJ389" t="s">
        <v>10343</v>
      </c>
      <c r="BK389" t="s">
        <v>3596</v>
      </c>
      <c r="BL389" t="s">
        <v>14558</v>
      </c>
      <c r="BM389">
        <v>35600329</v>
      </c>
      <c r="BN389" t="s">
        <v>910</v>
      </c>
      <c r="BO389" t="s">
        <v>72</v>
      </c>
      <c r="BP389" t="s">
        <v>72</v>
      </c>
      <c r="BQ389" t="s">
        <v>100</v>
      </c>
      <c r="BR389" t="s">
        <v>14559</v>
      </c>
      <c r="BS389" t="str">
        <f>HYPERLINK("https%3A%2F%2Fwww.webofscience.com%2Fwos%2Fwoscc%2Ffull-record%2FWOS:000797774400001","View Full Record in Web of Science")</f>
        <v>View Full Record in Web of Science</v>
      </c>
    </row>
    <row r="390" spans="1:71" hidden="1" x14ac:dyDescent="0.2">
      <c r="A390" t="s">
        <v>70</v>
      </c>
      <c r="B390" t="s">
        <v>3710</v>
      </c>
      <c r="C390" t="s">
        <v>72</v>
      </c>
      <c r="D390" t="s">
        <v>72</v>
      </c>
      <c r="E390" t="s">
        <v>72</v>
      </c>
      <c r="F390" t="s">
        <v>3711</v>
      </c>
      <c r="G390" t="s">
        <v>72</v>
      </c>
      <c r="H390" t="s">
        <v>72</v>
      </c>
      <c r="I390" t="s">
        <v>3712</v>
      </c>
      <c r="J390" t="s">
        <v>3713</v>
      </c>
      <c r="K390" t="s">
        <v>72</v>
      </c>
      <c r="L390" t="s">
        <v>72</v>
      </c>
      <c r="M390" t="s">
        <v>76</v>
      </c>
      <c r="N390" t="s">
        <v>77</v>
      </c>
      <c r="O390" t="s">
        <v>72</v>
      </c>
      <c r="P390" t="s">
        <v>72</v>
      </c>
      <c r="Q390" t="s">
        <v>72</v>
      </c>
      <c r="R390" t="s">
        <v>72</v>
      </c>
      <c r="S390" t="s">
        <v>72</v>
      </c>
      <c r="T390" t="s">
        <v>3714</v>
      </c>
      <c r="U390" t="s">
        <v>3715</v>
      </c>
      <c r="V390" t="s">
        <v>3716</v>
      </c>
      <c r="W390" t="s">
        <v>3717</v>
      </c>
      <c r="X390" t="s">
        <v>3718</v>
      </c>
      <c r="Y390" t="s">
        <v>3719</v>
      </c>
      <c r="Z390" t="s">
        <v>3720</v>
      </c>
      <c r="AA390" t="s">
        <v>3721</v>
      </c>
      <c r="AB390" t="s">
        <v>3722</v>
      </c>
      <c r="AC390" t="s">
        <v>3723</v>
      </c>
      <c r="AD390" t="s">
        <v>3724</v>
      </c>
      <c r="AE390" t="s">
        <v>3725</v>
      </c>
      <c r="AF390" t="s">
        <v>72</v>
      </c>
      <c r="AG390">
        <v>54</v>
      </c>
      <c r="AH390">
        <v>14</v>
      </c>
      <c r="AI390">
        <v>14</v>
      </c>
      <c r="AJ390">
        <v>3</v>
      </c>
      <c r="AK390">
        <v>25</v>
      </c>
      <c r="AL390" t="s">
        <v>924</v>
      </c>
      <c r="AM390" t="s">
        <v>168</v>
      </c>
      <c r="AN390" t="s">
        <v>1850</v>
      </c>
      <c r="AO390" t="s">
        <v>3726</v>
      </c>
      <c r="AP390" t="s">
        <v>3727</v>
      </c>
      <c r="AQ390" t="s">
        <v>72</v>
      </c>
      <c r="AR390" t="s">
        <v>3728</v>
      </c>
      <c r="AS390" t="s">
        <v>3729</v>
      </c>
      <c r="AT390" t="s">
        <v>929</v>
      </c>
      <c r="AU390">
        <v>2020</v>
      </c>
      <c r="AV390">
        <v>120</v>
      </c>
      <c r="AW390" t="s">
        <v>72</v>
      </c>
      <c r="AX390" t="s">
        <v>72</v>
      </c>
      <c r="AY390" t="s">
        <v>72</v>
      </c>
      <c r="AZ390" t="s">
        <v>72</v>
      </c>
      <c r="BA390" t="s">
        <v>72</v>
      </c>
      <c r="BB390" t="s">
        <v>72</v>
      </c>
      <c r="BC390" t="s">
        <v>72</v>
      </c>
      <c r="BD390">
        <v>103362</v>
      </c>
      <c r="BE390" t="s">
        <v>3730</v>
      </c>
      <c r="BF390" t="str">
        <f>HYPERLINK("http://dx.doi.org/10.1016/j.autcon.2020.103362","http://dx.doi.org/10.1016/j.autcon.2020.103362")</f>
        <v>http://dx.doi.org/10.1016/j.autcon.2020.103362</v>
      </c>
      <c r="BG390" t="s">
        <v>72</v>
      </c>
      <c r="BH390" t="s">
        <v>72</v>
      </c>
      <c r="BI390">
        <v>11</v>
      </c>
      <c r="BJ390" t="s">
        <v>3731</v>
      </c>
      <c r="BK390" t="s">
        <v>3732</v>
      </c>
      <c r="BL390" t="s">
        <v>3733</v>
      </c>
      <c r="BM390" t="s">
        <v>72</v>
      </c>
      <c r="BN390" t="s">
        <v>72</v>
      </c>
      <c r="BO390" t="s">
        <v>72</v>
      </c>
      <c r="BP390" t="s">
        <v>72</v>
      </c>
      <c r="BQ390" t="s">
        <v>100</v>
      </c>
      <c r="BR390" t="s">
        <v>3734</v>
      </c>
      <c r="BS390" t="str">
        <f>HYPERLINK("https%3A%2F%2Fwww.webofscience.com%2Fwos%2Fwoscc%2Ffull-record%2FWOS:000594153000003","View Full Record in Web of Science")</f>
        <v>View Full Record in Web of Science</v>
      </c>
    </row>
    <row r="391" spans="1:71" hidden="1" x14ac:dyDescent="0.2">
      <c r="A391" t="s">
        <v>70</v>
      </c>
      <c r="B391" t="s">
        <v>10017</v>
      </c>
      <c r="C391" t="s">
        <v>72</v>
      </c>
      <c r="D391" t="s">
        <v>72</v>
      </c>
      <c r="E391" t="s">
        <v>72</v>
      </c>
      <c r="F391" t="s">
        <v>10018</v>
      </c>
      <c r="G391" t="s">
        <v>72</v>
      </c>
      <c r="H391" t="s">
        <v>72</v>
      </c>
      <c r="I391" t="s">
        <v>10019</v>
      </c>
      <c r="J391" t="s">
        <v>3713</v>
      </c>
      <c r="K391" t="s">
        <v>72</v>
      </c>
      <c r="L391" t="s">
        <v>72</v>
      </c>
      <c r="M391" t="s">
        <v>76</v>
      </c>
      <c r="N391" t="s">
        <v>77</v>
      </c>
      <c r="O391" t="s">
        <v>72</v>
      </c>
      <c r="P391" t="s">
        <v>72</v>
      </c>
      <c r="Q391" t="s">
        <v>72</v>
      </c>
      <c r="R391" t="s">
        <v>72</v>
      </c>
      <c r="S391" t="s">
        <v>72</v>
      </c>
      <c r="T391" t="s">
        <v>10020</v>
      </c>
      <c r="U391" t="s">
        <v>10021</v>
      </c>
      <c r="V391" t="s">
        <v>10022</v>
      </c>
      <c r="W391" t="s">
        <v>10023</v>
      </c>
      <c r="X391" t="s">
        <v>10024</v>
      </c>
      <c r="Y391" t="s">
        <v>10025</v>
      </c>
      <c r="Z391" t="s">
        <v>10026</v>
      </c>
      <c r="AA391" t="s">
        <v>10027</v>
      </c>
      <c r="AB391" t="s">
        <v>10028</v>
      </c>
      <c r="AC391" t="s">
        <v>10029</v>
      </c>
      <c r="AD391" t="s">
        <v>10030</v>
      </c>
      <c r="AE391" t="s">
        <v>10031</v>
      </c>
      <c r="AF391" t="s">
        <v>72</v>
      </c>
      <c r="AG391">
        <v>53</v>
      </c>
      <c r="AH391">
        <v>135</v>
      </c>
      <c r="AI391">
        <v>136</v>
      </c>
      <c r="AJ391">
        <v>11</v>
      </c>
      <c r="AK391">
        <v>138</v>
      </c>
      <c r="AL391" t="s">
        <v>924</v>
      </c>
      <c r="AM391" t="s">
        <v>168</v>
      </c>
      <c r="AN391" t="s">
        <v>925</v>
      </c>
      <c r="AO391" t="s">
        <v>3726</v>
      </c>
      <c r="AP391" t="s">
        <v>3727</v>
      </c>
      <c r="AQ391" t="s">
        <v>72</v>
      </c>
      <c r="AR391" t="s">
        <v>3728</v>
      </c>
      <c r="AS391" t="s">
        <v>3729</v>
      </c>
      <c r="AT391" t="s">
        <v>1602</v>
      </c>
      <c r="AU391">
        <v>2016</v>
      </c>
      <c r="AV391">
        <v>62</v>
      </c>
      <c r="AW391" t="s">
        <v>72</v>
      </c>
      <c r="AX391" t="s">
        <v>72</v>
      </c>
      <c r="AY391" t="s">
        <v>72</v>
      </c>
      <c r="AZ391" t="s">
        <v>72</v>
      </c>
      <c r="BA391" t="s">
        <v>72</v>
      </c>
      <c r="BB391">
        <v>45</v>
      </c>
      <c r="BC391">
        <v>56</v>
      </c>
      <c r="BD391" t="s">
        <v>72</v>
      </c>
      <c r="BE391" t="s">
        <v>10032</v>
      </c>
      <c r="BF391" t="str">
        <f>HYPERLINK("http://dx.doi.org/10.1016/j.autcon.2015.11.001","http://dx.doi.org/10.1016/j.autcon.2015.11.001")</f>
        <v>http://dx.doi.org/10.1016/j.autcon.2015.11.001</v>
      </c>
      <c r="BG391" t="s">
        <v>72</v>
      </c>
      <c r="BH391" t="s">
        <v>72</v>
      </c>
      <c r="BI391">
        <v>12</v>
      </c>
      <c r="BJ391" t="s">
        <v>3731</v>
      </c>
      <c r="BK391" t="s">
        <v>3732</v>
      </c>
      <c r="BL391" t="s">
        <v>10033</v>
      </c>
      <c r="BM391" t="s">
        <v>72</v>
      </c>
      <c r="BN391" t="s">
        <v>1497</v>
      </c>
      <c r="BO391" t="s">
        <v>72</v>
      </c>
      <c r="BP391" t="s">
        <v>72</v>
      </c>
      <c r="BQ391" t="s">
        <v>100</v>
      </c>
      <c r="BR391" t="s">
        <v>10034</v>
      </c>
      <c r="BS391" t="str">
        <f>HYPERLINK("https%3A%2F%2Fwww.webofscience.com%2Fwos%2Fwoscc%2Ffull-record%2FWOS:000370107300004","View Full Record in Web of Science")</f>
        <v>View Full Record in Web of Science</v>
      </c>
    </row>
    <row r="392" spans="1:71" hidden="1" x14ac:dyDescent="0.2">
      <c r="A392" t="s">
        <v>70</v>
      </c>
      <c r="B392" t="s">
        <v>16535</v>
      </c>
      <c r="C392" t="s">
        <v>72</v>
      </c>
      <c r="D392" t="s">
        <v>72</v>
      </c>
      <c r="E392" t="s">
        <v>72</v>
      </c>
      <c r="F392" t="s">
        <v>16536</v>
      </c>
      <c r="G392" t="s">
        <v>72</v>
      </c>
      <c r="H392" t="s">
        <v>72</v>
      </c>
      <c r="I392" t="s">
        <v>16537</v>
      </c>
      <c r="J392" t="s">
        <v>16538</v>
      </c>
      <c r="K392" t="s">
        <v>72</v>
      </c>
      <c r="L392" t="s">
        <v>72</v>
      </c>
      <c r="M392" t="s">
        <v>76</v>
      </c>
      <c r="N392" t="s">
        <v>77</v>
      </c>
      <c r="O392" t="s">
        <v>72</v>
      </c>
      <c r="P392" t="s">
        <v>72</v>
      </c>
      <c r="Q392" t="s">
        <v>72</v>
      </c>
      <c r="R392" t="s">
        <v>72</v>
      </c>
      <c r="S392" t="s">
        <v>72</v>
      </c>
      <c r="T392" t="s">
        <v>16539</v>
      </c>
      <c r="U392" t="s">
        <v>16540</v>
      </c>
      <c r="V392" t="s">
        <v>16541</v>
      </c>
      <c r="W392" t="s">
        <v>16542</v>
      </c>
      <c r="X392" t="s">
        <v>16543</v>
      </c>
      <c r="Y392" t="s">
        <v>16544</v>
      </c>
      <c r="Z392" t="s">
        <v>16545</v>
      </c>
      <c r="AA392" t="s">
        <v>16546</v>
      </c>
      <c r="AB392" t="s">
        <v>16547</v>
      </c>
      <c r="AC392" t="s">
        <v>16548</v>
      </c>
      <c r="AD392" t="s">
        <v>16549</v>
      </c>
      <c r="AE392" t="s">
        <v>16550</v>
      </c>
      <c r="AF392" t="s">
        <v>72</v>
      </c>
      <c r="AG392">
        <v>75</v>
      </c>
      <c r="AH392">
        <v>36</v>
      </c>
      <c r="AI392">
        <v>36</v>
      </c>
      <c r="AJ392">
        <v>5</v>
      </c>
      <c r="AK392">
        <v>52</v>
      </c>
      <c r="AL392" t="s">
        <v>16551</v>
      </c>
      <c r="AM392" t="s">
        <v>16552</v>
      </c>
      <c r="AN392" t="s">
        <v>16553</v>
      </c>
      <c r="AO392" t="s">
        <v>16554</v>
      </c>
      <c r="AP392" t="s">
        <v>16555</v>
      </c>
      <c r="AQ392" t="s">
        <v>72</v>
      </c>
      <c r="AR392" t="s">
        <v>16556</v>
      </c>
      <c r="AS392" t="s">
        <v>16557</v>
      </c>
      <c r="AT392" t="s">
        <v>639</v>
      </c>
      <c r="AU392">
        <v>2015</v>
      </c>
      <c r="AV392">
        <v>141</v>
      </c>
      <c r="AW392">
        <v>8</v>
      </c>
      <c r="AX392" t="s">
        <v>72</v>
      </c>
      <c r="AY392" t="s">
        <v>72</v>
      </c>
      <c r="AZ392" t="s">
        <v>72</v>
      </c>
      <c r="BA392" t="s">
        <v>72</v>
      </c>
      <c r="BB392" t="s">
        <v>72</v>
      </c>
      <c r="BC392" t="s">
        <v>72</v>
      </c>
      <c r="BD392">
        <v>4015021</v>
      </c>
      <c r="BE392" t="s">
        <v>16558</v>
      </c>
      <c r="BF392" t="str">
        <f>HYPERLINK("http://dx.doi.org/10.1061/(ASCE)CO.1943-7862.0000980","http://dx.doi.org/10.1061/(ASCE)CO.1943-7862.0000980")</f>
        <v>http://dx.doi.org/10.1061/(ASCE)CO.1943-7862.0000980</v>
      </c>
      <c r="BG392" t="s">
        <v>72</v>
      </c>
      <c r="BH392" t="s">
        <v>72</v>
      </c>
      <c r="BI392">
        <v>15</v>
      </c>
      <c r="BJ392" t="s">
        <v>16559</v>
      </c>
      <c r="BK392" t="s">
        <v>3732</v>
      </c>
      <c r="BL392" t="s">
        <v>16560</v>
      </c>
      <c r="BM392" t="s">
        <v>72</v>
      </c>
      <c r="BN392" t="s">
        <v>72</v>
      </c>
      <c r="BO392" t="s">
        <v>72</v>
      </c>
      <c r="BP392" t="s">
        <v>72</v>
      </c>
      <c r="BQ392" t="s">
        <v>100</v>
      </c>
      <c r="BR392" t="s">
        <v>16561</v>
      </c>
      <c r="BS392" t="str">
        <f>HYPERLINK("https%3A%2F%2Fwww.webofscience.com%2Fwos%2Fwoscc%2Ffull-record%2FWOS:000358181800001","View Full Record in Web of Science")</f>
        <v>View Full Record in Web of Science</v>
      </c>
    </row>
    <row r="393" spans="1:71" x14ac:dyDescent="0.2">
      <c r="A393" t="s">
        <v>70</v>
      </c>
      <c r="B393" t="s">
        <v>7998</v>
      </c>
      <c r="C393" t="s">
        <v>72</v>
      </c>
      <c r="D393" t="s">
        <v>72</v>
      </c>
      <c r="E393" t="s">
        <v>72</v>
      </c>
      <c r="F393" t="s">
        <v>7999</v>
      </c>
      <c r="G393" t="s">
        <v>72</v>
      </c>
      <c r="H393" t="s">
        <v>72</v>
      </c>
      <c r="I393" t="s">
        <v>8000</v>
      </c>
      <c r="J393" t="s">
        <v>8001</v>
      </c>
      <c r="K393" t="s">
        <v>72</v>
      </c>
      <c r="L393" t="s">
        <v>72</v>
      </c>
      <c r="M393" t="s">
        <v>76</v>
      </c>
      <c r="N393" t="s">
        <v>77</v>
      </c>
      <c r="O393" t="s">
        <v>72</v>
      </c>
      <c r="P393" t="s">
        <v>72</v>
      </c>
      <c r="Q393" t="s">
        <v>72</v>
      </c>
      <c r="R393" t="s">
        <v>72</v>
      </c>
      <c r="S393" t="s">
        <v>72</v>
      </c>
      <c r="T393" t="s">
        <v>8002</v>
      </c>
      <c r="U393" t="s">
        <v>8003</v>
      </c>
      <c r="V393" t="s">
        <v>8004</v>
      </c>
      <c r="W393" t="s">
        <v>8005</v>
      </c>
      <c r="X393" t="s">
        <v>8006</v>
      </c>
      <c r="Y393" t="s">
        <v>8007</v>
      </c>
      <c r="Z393" t="s">
        <v>3198</v>
      </c>
      <c r="AA393" t="s">
        <v>3180</v>
      </c>
      <c r="AB393" t="s">
        <v>3181</v>
      </c>
      <c r="AC393" t="s">
        <v>72</v>
      </c>
      <c r="AD393" t="s">
        <v>72</v>
      </c>
      <c r="AE393" t="s">
        <v>72</v>
      </c>
      <c r="AF393" t="s">
        <v>72</v>
      </c>
      <c r="AG393">
        <v>66</v>
      </c>
      <c r="AH393">
        <v>12</v>
      </c>
      <c r="AI393">
        <v>12</v>
      </c>
      <c r="AJ393">
        <v>3</v>
      </c>
      <c r="AK393">
        <v>9</v>
      </c>
      <c r="AL393" t="s">
        <v>364</v>
      </c>
      <c r="AM393" t="s">
        <v>365</v>
      </c>
      <c r="AN393" t="s">
        <v>366</v>
      </c>
      <c r="AO393" t="s">
        <v>8008</v>
      </c>
      <c r="AP393" t="s">
        <v>8009</v>
      </c>
      <c r="AQ393" t="s">
        <v>72</v>
      </c>
      <c r="AR393" t="s">
        <v>8010</v>
      </c>
      <c r="AS393" t="s">
        <v>8011</v>
      </c>
      <c r="AT393" t="s">
        <v>2756</v>
      </c>
      <c r="AU393">
        <v>2020</v>
      </c>
      <c r="AV393">
        <v>26</v>
      </c>
      <c r="AW393">
        <v>3</v>
      </c>
      <c r="AX393" t="s">
        <v>72</v>
      </c>
      <c r="AY393" t="s">
        <v>72</v>
      </c>
      <c r="AZ393" t="s">
        <v>72</v>
      </c>
      <c r="BA393" t="s">
        <v>72</v>
      </c>
      <c r="BB393">
        <v>287</v>
      </c>
      <c r="BC393">
        <v>310</v>
      </c>
      <c r="BD393" t="s">
        <v>72</v>
      </c>
      <c r="BE393" t="s">
        <v>8012</v>
      </c>
      <c r="BF393" t="str">
        <f>HYPERLINK("http://dx.doi.org/10.1080/1068316X.2019.1652751","http://dx.doi.org/10.1080/1068316X.2019.1652751")</f>
        <v>http://dx.doi.org/10.1080/1068316X.2019.1652751</v>
      </c>
      <c r="BG393" t="s">
        <v>72</v>
      </c>
      <c r="BH393" t="s">
        <v>3102</v>
      </c>
      <c r="BI393">
        <v>24</v>
      </c>
      <c r="BJ393" t="s">
        <v>8013</v>
      </c>
      <c r="BK393" s="1" t="s">
        <v>17619</v>
      </c>
      <c r="BL393" t="s">
        <v>8014</v>
      </c>
      <c r="BM393" t="s">
        <v>72</v>
      </c>
      <c r="BN393" t="s">
        <v>72</v>
      </c>
      <c r="BO393" t="s">
        <v>72</v>
      </c>
      <c r="BP393" t="s">
        <v>72</v>
      </c>
      <c r="BQ393" t="s">
        <v>100</v>
      </c>
      <c r="BR393" t="s">
        <v>8015</v>
      </c>
      <c r="BS393" t="str">
        <f>HYPERLINK("https%3A%2F%2Fwww.webofscience.com%2Fwos%2Fwoscc%2Ffull-record%2FWOS:000481299400001","View Full Record in Web of Science")</f>
        <v>View Full Record in Web of Science</v>
      </c>
    </row>
    <row r="394" spans="1:71" hidden="1" x14ac:dyDescent="0.2">
      <c r="A394" t="s">
        <v>70</v>
      </c>
      <c r="B394" t="s">
        <v>1406</v>
      </c>
      <c r="C394" t="s">
        <v>72</v>
      </c>
      <c r="D394" t="s">
        <v>72</v>
      </c>
      <c r="E394" t="s">
        <v>72</v>
      </c>
      <c r="F394" t="s">
        <v>1407</v>
      </c>
      <c r="G394" t="s">
        <v>72</v>
      </c>
      <c r="H394" t="s">
        <v>72</v>
      </c>
      <c r="I394" t="s">
        <v>1408</v>
      </c>
      <c r="J394" t="s">
        <v>1409</v>
      </c>
      <c r="K394" t="s">
        <v>72</v>
      </c>
      <c r="L394" t="s">
        <v>72</v>
      </c>
      <c r="M394" t="s">
        <v>76</v>
      </c>
      <c r="N394" t="s">
        <v>77</v>
      </c>
      <c r="O394" t="s">
        <v>72</v>
      </c>
      <c r="P394" t="s">
        <v>72</v>
      </c>
      <c r="Q394" t="s">
        <v>72</v>
      </c>
      <c r="R394" t="s">
        <v>72</v>
      </c>
      <c r="S394" t="s">
        <v>72</v>
      </c>
      <c r="T394" t="s">
        <v>72</v>
      </c>
      <c r="U394" t="s">
        <v>1410</v>
      </c>
      <c r="V394" t="s">
        <v>1411</v>
      </c>
      <c r="W394" t="s">
        <v>1412</v>
      </c>
      <c r="X394" t="s">
        <v>1413</v>
      </c>
      <c r="Y394" t="s">
        <v>1414</v>
      </c>
      <c r="Z394" t="s">
        <v>1415</v>
      </c>
      <c r="AA394" t="s">
        <v>72</v>
      </c>
      <c r="AB394" t="s">
        <v>72</v>
      </c>
      <c r="AC394" t="s">
        <v>72</v>
      </c>
      <c r="AD394" t="s">
        <v>72</v>
      </c>
      <c r="AE394" t="s">
        <v>72</v>
      </c>
      <c r="AF394" t="s">
        <v>72</v>
      </c>
      <c r="AG394">
        <v>50</v>
      </c>
      <c r="AH394">
        <v>14</v>
      </c>
      <c r="AI394">
        <v>14</v>
      </c>
      <c r="AJ394">
        <v>1</v>
      </c>
      <c r="AK394">
        <v>7</v>
      </c>
      <c r="AL394" t="s">
        <v>1416</v>
      </c>
      <c r="AM394" t="s">
        <v>1417</v>
      </c>
      <c r="AN394" t="s">
        <v>1418</v>
      </c>
      <c r="AO394" t="s">
        <v>1419</v>
      </c>
      <c r="AP394" t="s">
        <v>72</v>
      </c>
      <c r="AQ394" t="s">
        <v>72</v>
      </c>
      <c r="AR394" t="s">
        <v>1420</v>
      </c>
      <c r="AS394" t="s">
        <v>1421</v>
      </c>
      <c r="AT394" t="s">
        <v>1422</v>
      </c>
      <c r="AU394">
        <v>2017</v>
      </c>
      <c r="AV394">
        <v>37</v>
      </c>
      <c r="AW394" t="s">
        <v>72</v>
      </c>
      <c r="AX394" t="s">
        <v>72</v>
      </c>
      <c r="AY394" t="s">
        <v>72</v>
      </c>
      <c r="AZ394" t="s">
        <v>72</v>
      </c>
      <c r="BA394" t="s">
        <v>72</v>
      </c>
      <c r="BB394">
        <v>1351</v>
      </c>
      <c r="BC394">
        <v>1382</v>
      </c>
      <c r="BD394" t="s">
        <v>72</v>
      </c>
      <c r="BE394" t="s">
        <v>72</v>
      </c>
      <c r="BF394" t="s">
        <v>72</v>
      </c>
      <c r="BG394" t="s">
        <v>72</v>
      </c>
      <c r="BH394" t="s">
        <v>72</v>
      </c>
      <c r="BI394">
        <v>32</v>
      </c>
      <c r="BJ394" t="s">
        <v>1423</v>
      </c>
      <c r="BK394" t="s">
        <v>1423</v>
      </c>
      <c r="BL394" t="s">
        <v>1424</v>
      </c>
      <c r="BM394" t="s">
        <v>72</v>
      </c>
      <c r="BN394" t="s">
        <v>1425</v>
      </c>
      <c r="BO394" t="s">
        <v>72</v>
      </c>
      <c r="BP394" t="s">
        <v>72</v>
      </c>
      <c r="BQ394" t="s">
        <v>100</v>
      </c>
      <c r="BR394" t="s">
        <v>1426</v>
      </c>
      <c r="BS394" t="str">
        <f>HYPERLINK("https%3A%2F%2Fwww.webofscience.com%2Fwos%2Fwoscc%2Ffull-record%2FWOS:000414228100001","View Full Record in Web of Science")</f>
        <v>View Full Record in Web of Science</v>
      </c>
    </row>
    <row r="395" spans="1:71" hidden="1" x14ac:dyDescent="0.2">
      <c r="A395" t="s">
        <v>70</v>
      </c>
      <c r="B395" t="s">
        <v>11114</v>
      </c>
      <c r="C395" t="s">
        <v>72</v>
      </c>
      <c r="D395" t="s">
        <v>72</v>
      </c>
      <c r="E395" t="s">
        <v>72</v>
      </c>
      <c r="F395" t="s">
        <v>11115</v>
      </c>
      <c r="G395" t="s">
        <v>72</v>
      </c>
      <c r="H395" t="s">
        <v>72</v>
      </c>
      <c r="I395" t="s">
        <v>11116</v>
      </c>
      <c r="J395" t="s">
        <v>11117</v>
      </c>
      <c r="K395" t="s">
        <v>72</v>
      </c>
      <c r="L395" t="s">
        <v>72</v>
      </c>
      <c r="M395" t="s">
        <v>76</v>
      </c>
      <c r="N395" t="s">
        <v>77</v>
      </c>
      <c r="O395" t="s">
        <v>72</v>
      </c>
      <c r="P395" t="s">
        <v>72</v>
      </c>
      <c r="Q395" t="s">
        <v>72</v>
      </c>
      <c r="R395" t="s">
        <v>72</v>
      </c>
      <c r="S395" t="s">
        <v>72</v>
      </c>
      <c r="T395" t="s">
        <v>11118</v>
      </c>
      <c r="U395" t="s">
        <v>11119</v>
      </c>
      <c r="V395" t="s">
        <v>11120</v>
      </c>
      <c r="W395" t="s">
        <v>11121</v>
      </c>
      <c r="X395" t="s">
        <v>11122</v>
      </c>
      <c r="Y395" t="s">
        <v>11123</v>
      </c>
      <c r="Z395" t="s">
        <v>11124</v>
      </c>
      <c r="AA395" t="s">
        <v>11125</v>
      </c>
      <c r="AB395" t="s">
        <v>11126</v>
      </c>
      <c r="AC395" t="s">
        <v>3790</v>
      </c>
      <c r="AD395" t="s">
        <v>3791</v>
      </c>
      <c r="AE395" t="s">
        <v>11127</v>
      </c>
      <c r="AF395" t="s">
        <v>72</v>
      </c>
      <c r="AG395">
        <v>77</v>
      </c>
      <c r="AH395">
        <v>9</v>
      </c>
      <c r="AI395">
        <v>10</v>
      </c>
      <c r="AJ395">
        <v>1</v>
      </c>
      <c r="AK395">
        <v>4</v>
      </c>
      <c r="AL395" t="s">
        <v>364</v>
      </c>
      <c r="AM395" t="s">
        <v>365</v>
      </c>
      <c r="AN395" t="s">
        <v>366</v>
      </c>
      <c r="AO395" t="s">
        <v>11128</v>
      </c>
      <c r="AP395" t="s">
        <v>11129</v>
      </c>
      <c r="AQ395" t="s">
        <v>72</v>
      </c>
      <c r="AR395" t="s">
        <v>11130</v>
      </c>
      <c r="AS395" t="s">
        <v>11131</v>
      </c>
      <c r="AT395" t="s">
        <v>11132</v>
      </c>
      <c r="AU395">
        <v>2021</v>
      </c>
      <c r="AV395">
        <v>47</v>
      </c>
      <c r="AW395">
        <v>15</v>
      </c>
      <c r="AX395" t="s">
        <v>72</v>
      </c>
      <c r="AY395" t="s">
        <v>72</v>
      </c>
      <c r="AZ395" t="s">
        <v>72</v>
      </c>
      <c r="BA395" t="s">
        <v>72</v>
      </c>
      <c r="BB395">
        <v>3390</v>
      </c>
      <c r="BC395">
        <v>3408</v>
      </c>
      <c r="BD395" t="s">
        <v>72</v>
      </c>
      <c r="BE395" t="s">
        <v>11133</v>
      </c>
      <c r="BF395" t="str">
        <f>HYPERLINK("http://dx.doi.org/10.1080/1369183X.2020.1778454","http://dx.doi.org/10.1080/1369183X.2020.1778454")</f>
        <v>http://dx.doi.org/10.1080/1369183X.2020.1778454</v>
      </c>
      <c r="BG395" t="s">
        <v>72</v>
      </c>
      <c r="BH395" t="s">
        <v>2942</v>
      </c>
      <c r="BI395">
        <v>19</v>
      </c>
      <c r="BJ395" t="s">
        <v>11134</v>
      </c>
      <c r="BK395" t="s">
        <v>11134</v>
      </c>
      <c r="BL395" t="s">
        <v>11135</v>
      </c>
      <c r="BM395" t="s">
        <v>72</v>
      </c>
      <c r="BN395" t="s">
        <v>72</v>
      </c>
      <c r="BO395" t="s">
        <v>72</v>
      </c>
      <c r="BP395" t="s">
        <v>72</v>
      </c>
      <c r="BQ395" t="s">
        <v>100</v>
      </c>
      <c r="BR395" t="s">
        <v>11136</v>
      </c>
      <c r="BS395" t="str">
        <f>HYPERLINK("https%3A%2F%2Fwww.webofscience.com%2Fwos%2Fwoscc%2Ffull-record%2FWOS:000545330100001","View Full Record in Web of Science")</f>
        <v>View Full Record in Web of Science</v>
      </c>
    </row>
    <row r="396" spans="1:71" hidden="1" x14ac:dyDescent="0.2">
      <c r="A396" t="s">
        <v>70</v>
      </c>
      <c r="B396" t="s">
        <v>14020</v>
      </c>
      <c r="C396" t="s">
        <v>72</v>
      </c>
      <c r="D396" t="s">
        <v>72</v>
      </c>
      <c r="E396" t="s">
        <v>72</v>
      </c>
      <c r="F396" t="s">
        <v>14021</v>
      </c>
      <c r="G396" t="s">
        <v>72</v>
      </c>
      <c r="H396" t="s">
        <v>72</v>
      </c>
      <c r="I396" t="s">
        <v>14022</v>
      </c>
      <c r="J396" t="s">
        <v>11117</v>
      </c>
      <c r="K396" t="s">
        <v>72</v>
      </c>
      <c r="L396" t="s">
        <v>72</v>
      </c>
      <c r="M396" t="s">
        <v>76</v>
      </c>
      <c r="N396" t="s">
        <v>77</v>
      </c>
      <c r="O396" t="s">
        <v>72</v>
      </c>
      <c r="P396" t="s">
        <v>72</v>
      </c>
      <c r="Q396" t="s">
        <v>72</v>
      </c>
      <c r="R396" t="s">
        <v>72</v>
      </c>
      <c r="S396" t="s">
        <v>72</v>
      </c>
      <c r="T396" t="s">
        <v>14023</v>
      </c>
      <c r="U396" t="s">
        <v>14024</v>
      </c>
      <c r="V396" t="s">
        <v>14025</v>
      </c>
      <c r="W396" t="s">
        <v>14026</v>
      </c>
      <c r="X396" t="s">
        <v>11778</v>
      </c>
      <c r="Y396" t="s">
        <v>14027</v>
      </c>
      <c r="Z396" t="s">
        <v>14028</v>
      </c>
      <c r="AA396" t="s">
        <v>72</v>
      </c>
      <c r="AB396" t="s">
        <v>72</v>
      </c>
      <c r="AC396" t="s">
        <v>14029</v>
      </c>
      <c r="AD396" t="s">
        <v>14030</v>
      </c>
      <c r="AE396" t="s">
        <v>14031</v>
      </c>
      <c r="AF396" t="s">
        <v>72</v>
      </c>
      <c r="AG396">
        <v>55</v>
      </c>
      <c r="AH396">
        <v>41</v>
      </c>
      <c r="AI396">
        <v>41</v>
      </c>
      <c r="AJ396">
        <v>2</v>
      </c>
      <c r="AK396">
        <v>25</v>
      </c>
      <c r="AL396" t="s">
        <v>364</v>
      </c>
      <c r="AM396" t="s">
        <v>365</v>
      </c>
      <c r="AN396" t="s">
        <v>366</v>
      </c>
      <c r="AO396" t="s">
        <v>11128</v>
      </c>
      <c r="AP396" t="s">
        <v>11129</v>
      </c>
      <c r="AQ396" t="s">
        <v>72</v>
      </c>
      <c r="AR396" t="s">
        <v>11130</v>
      </c>
      <c r="AS396" t="s">
        <v>11131</v>
      </c>
      <c r="AT396" t="s">
        <v>14032</v>
      </c>
      <c r="AU396">
        <v>2015</v>
      </c>
      <c r="AV396">
        <v>41</v>
      </c>
      <c r="AW396">
        <v>6</v>
      </c>
      <c r="AX396" t="s">
        <v>72</v>
      </c>
      <c r="AY396" t="s">
        <v>72</v>
      </c>
      <c r="AZ396" t="s">
        <v>478</v>
      </c>
      <c r="BA396" t="s">
        <v>72</v>
      </c>
      <c r="BB396">
        <v>918</v>
      </c>
      <c r="BC396">
        <v>941</v>
      </c>
      <c r="BD396" t="s">
        <v>72</v>
      </c>
      <c r="BE396" t="s">
        <v>14033</v>
      </c>
      <c r="BF396" t="str">
        <f>HYPERLINK("http://dx.doi.org/10.1080/1369183X.2014.1001625","http://dx.doi.org/10.1080/1369183X.2014.1001625")</f>
        <v>http://dx.doi.org/10.1080/1369183X.2014.1001625</v>
      </c>
      <c r="BG396" t="s">
        <v>72</v>
      </c>
      <c r="BH396" t="s">
        <v>72</v>
      </c>
      <c r="BI396">
        <v>24</v>
      </c>
      <c r="BJ396" t="s">
        <v>11134</v>
      </c>
      <c r="BK396" t="s">
        <v>11134</v>
      </c>
      <c r="BL396" t="s">
        <v>14034</v>
      </c>
      <c r="BM396" t="s">
        <v>72</v>
      </c>
      <c r="BN396" t="s">
        <v>72</v>
      </c>
      <c r="BO396" t="s">
        <v>72</v>
      </c>
      <c r="BP396" t="s">
        <v>72</v>
      </c>
      <c r="BQ396" t="s">
        <v>100</v>
      </c>
      <c r="BR396" t="s">
        <v>14035</v>
      </c>
      <c r="BS396" t="str">
        <f>HYPERLINK("https%3A%2F%2Fwww.webofscience.com%2Fwos%2Fwoscc%2Ffull-record%2FWOS:000351902100004","View Full Record in Web of Science")</f>
        <v>View Full Record in Web of Science</v>
      </c>
    </row>
    <row r="397" spans="1:71" hidden="1" x14ac:dyDescent="0.2">
      <c r="A397" t="s">
        <v>70</v>
      </c>
      <c r="B397" t="s">
        <v>14246</v>
      </c>
      <c r="C397" t="s">
        <v>72</v>
      </c>
      <c r="D397" t="s">
        <v>72</v>
      </c>
      <c r="E397" t="s">
        <v>72</v>
      </c>
      <c r="F397" t="s">
        <v>14247</v>
      </c>
      <c r="G397" t="s">
        <v>72</v>
      </c>
      <c r="H397" t="s">
        <v>72</v>
      </c>
      <c r="I397" t="s">
        <v>14248</v>
      </c>
      <c r="J397" t="s">
        <v>11117</v>
      </c>
      <c r="K397" t="s">
        <v>72</v>
      </c>
      <c r="L397" t="s">
        <v>72</v>
      </c>
      <c r="M397" t="s">
        <v>76</v>
      </c>
      <c r="N397" t="s">
        <v>77</v>
      </c>
      <c r="O397" t="s">
        <v>72</v>
      </c>
      <c r="P397" t="s">
        <v>72</v>
      </c>
      <c r="Q397" t="s">
        <v>72</v>
      </c>
      <c r="R397" t="s">
        <v>72</v>
      </c>
      <c r="S397" t="s">
        <v>72</v>
      </c>
      <c r="T397" t="s">
        <v>14249</v>
      </c>
      <c r="U397" t="s">
        <v>14250</v>
      </c>
      <c r="V397" t="s">
        <v>14251</v>
      </c>
      <c r="W397" t="s">
        <v>14252</v>
      </c>
      <c r="X397" t="s">
        <v>2622</v>
      </c>
      <c r="Y397" t="s">
        <v>14253</v>
      </c>
      <c r="Z397" t="s">
        <v>14254</v>
      </c>
      <c r="AA397" t="s">
        <v>9331</v>
      </c>
      <c r="AB397" t="s">
        <v>14255</v>
      </c>
      <c r="AC397" t="s">
        <v>3790</v>
      </c>
      <c r="AD397" t="s">
        <v>3791</v>
      </c>
      <c r="AE397" t="s">
        <v>3792</v>
      </c>
      <c r="AF397" t="s">
        <v>72</v>
      </c>
      <c r="AG397">
        <v>82</v>
      </c>
      <c r="AH397">
        <v>17</v>
      </c>
      <c r="AI397">
        <v>17</v>
      </c>
      <c r="AJ397">
        <v>3</v>
      </c>
      <c r="AK397">
        <v>15</v>
      </c>
      <c r="AL397" t="s">
        <v>364</v>
      </c>
      <c r="AM397" t="s">
        <v>365</v>
      </c>
      <c r="AN397" t="s">
        <v>366</v>
      </c>
      <c r="AO397" t="s">
        <v>11128</v>
      </c>
      <c r="AP397" t="s">
        <v>11129</v>
      </c>
      <c r="AQ397" t="s">
        <v>72</v>
      </c>
      <c r="AR397" t="s">
        <v>11130</v>
      </c>
      <c r="AS397" t="s">
        <v>11131</v>
      </c>
      <c r="AT397" t="s">
        <v>14256</v>
      </c>
      <c r="AU397">
        <v>2020</v>
      </c>
      <c r="AV397">
        <v>46</v>
      </c>
      <c r="AW397">
        <v>7</v>
      </c>
      <c r="AX397" t="s">
        <v>72</v>
      </c>
      <c r="AY397" t="s">
        <v>72</v>
      </c>
      <c r="AZ397" t="s">
        <v>72</v>
      </c>
      <c r="BA397" t="s">
        <v>72</v>
      </c>
      <c r="BB397">
        <v>1261</v>
      </c>
      <c r="BC397">
        <v>1280</v>
      </c>
      <c r="BD397" t="s">
        <v>72</v>
      </c>
      <c r="BE397" t="s">
        <v>14257</v>
      </c>
      <c r="BF397" t="str">
        <f>HYPERLINK("http://dx.doi.org/10.1080/1369183X.2019.1665990","http://dx.doi.org/10.1080/1369183X.2019.1665990")</f>
        <v>http://dx.doi.org/10.1080/1369183X.2019.1665990</v>
      </c>
      <c r="BG397" t="s">
        <v>72</v>
      </c>
      <c r="BH397" t="s">
        <v>14258</v>
      </c>
      <c r="BI397">
        <v>20</v>
      </c>
      <c r="BJ397" t="s">
        <v>11134</v>
      </c>
      <c r="BK397" t="s">
        <v>11134</v>
      </c>
      <c r="BL397" t="s">
        <v>14259</v>
      </c>
      <c r="BM397" t="s">
        <v>72</v>
      </c>
      <c r="BN397" t="s">
        <v>346</v>
      </c>
      <c r="BO397" t="s">
        <v>72</v>
      </c>
      <c r="BP397" t="s">
        <v>72</v>
      </c>
      <c r="BQ397" t="s">
        <v>100</v>
      </c>
      <c r="BR397" t="s">
        <v>14260</v>
      </c>
      <c r="BS397" t="str">
        <f>HYPERLINK("https%3A%2F%2Fwww.webofscience.com%2Fwos%2Fwoscc%2Ffull-record%2FWOS:000489429400001","View Full Record in Web of Science")</f>
        <v>View Full Record in Web of Science</v>
      </c>
    </row>
    <row r="398" spans="1:71" hidden="1" x14ac:dyDescent="0.2">
      <c r="A398" t="s">
        <v>70</v>
      </c>
      <c r="B398" t="s">
        <v>15680</v>
      </c>
      <c r="C398" t="s">
        <v>72</v>
      </c>
      <c r="D398" t="s">
        <v>72</v>
      </c>
      <c r="E398" t="s">
        <v>72</v>
      </c>
      <c r="F398" t="s">
        <v>15681</v>
      </c>
      <c r="G398" t="s">
        <v>72</v>
      </c>
      <c r="H398" t="s">
        <v>72</v>
      </c>
      <c r="I398" t="s">
        <v>15682</v>
      </c>
      <c r="J398" t="s">
        <v>11117</v>
      </c>
      <c r="K398" t="s">
        <v>72</v>
      </c>
      <c r="L398" t="s">
        <v>72</v>
      </c>
      <c r="M398" t="s">
        <v>76</v>
      </c>
      <c r="N398" t="s">
        <v>77</v>
      </c>
      <c r="O398" t="s">
        <v>72</v>
      </c>
      <c r="P398" t="s">
        <v>72</v>
      </c>
      <c r="Q398" t="s">
        <v>72</v>
      </c>
      <c r="R398" t="s">
        <v>72</v>
      </c>
      <c r="S398" t="s">
        <v>72</v>
      </c>
      <c r="T398" t="s">
        <v>15683</v>
      </c>
      <c r="U398" t="s">
        <v>15684</v>
      </c>
      <c r="V398" t="s">
        <v>15685</v>
      </c>
      <c r="W398" t="s">
        <v>15686</v>
      </c>
      <c r="X398" t="s">
        <v>7195</v>
      </c>
      <c r="Y398" t="s">
        <v>15687</v>
      </c>
      <c r="Z398" t="s">
        <v>15688</v>
      </c>
      <c r="AA398" t="s">
        <v>72</v>
      </c>
      <c r="AB398" t="s">
        <v>15689</v>
      </c>
      <c r="AC398" t="s">
        <v>72</v>
      </c>
      <c r="AD398" t="s">
        <v>72</v>
      </c>
      <c r="AE398" t="s">
        <v>72</v>
      </c>
      <c r="AF398" t="s">
        <v>72</v>
      </c>
      <c r="AG398">
        <v>64</v>
      </c>
      <c r="AH398">
        <v>5</v>
      </c>
      <c r="AI398">
        <v>5</v>
      </c>
      <c r="AJ398">
        <v>0</v>
      </c>
      <c r="AK398">
        <v>6</v>
      </c>
      <c r="AL398" t="s">
        <v>364</v>
      </c>
      <c r="AM398" t="s">
        <v>365</v>
      </c>
      <c r="AN398" t="s">
        <v>366</v>
      </c>
      <c r="AO398" t="s">
        <v>11128</v>
      </c>
      <c r="AP398" t="s">
        <v>11129</v>
      </c>
      <c r="AQ398" t="s">
        <v>72</v>
      </c>
      <c r="AR398" t="s">
        <v>11130</v>
      </c>
      <c r="AS398" t="s">
        <v>11131</v>
      </c>
      <c r="AT398" t="s">
        <v>4808</v>
      </c>
      <c r="AU398">
        <v>2021</v>
      </c>
      <c r="AV398">
        <v>47</v>
      </c>
      <c r="AW398">
        <v>7</v>
      </c>
      <c r="AX398" t="s">
        <v>72</v>
      </c>
      <c r="AY398" t="s">
        <v>72</v>
      </c>
      <c r="AZ398" t="s">
        <v>72</v>
      </c>
      <c r="BA398" t="s">
        <v>72</v>
      </c>
      <c r="BB398">
        <v>1474</v>
      </c>
      <c r="BC398">
        <v>1497</v>
      </c>
      <c r="BD398" t="s">
        <v>72</v>
      </c>
      <c r="BE398" t="s">
        <v>15690</v>
      </c>
      <c r="BF398" t="str">
        <f>HYPERLINK("http://dx.doi.org/10.1080/1369183X.2020.1785852","http://dx.doi.org/10.1080/1369183X.2020.1785852")</f>
        <v>http://dx.doi.org/10.1080/1369183X.2020.1785852</v>
      </c>
      <c r="BG398" t="s">
        <v>72</v>
      </c>
      <c r="BH398" t="s">
        <v>2942</v>
      </c>
      <c r="BI398">
        <v>24</v>
      </c>
      <c r="BJ398" t="s">
        <v>11134</v>
      </c>
      <c r="BK398" t="s">
        <v>11134</v>
      </c>
      <c r="BL398" t="s">
        <v>15691</v>
      </c>
      <c r="BM398" t="s">
        <v>72</v>
      </c>
      <c r="BN398" t="s">
        <v>72</v>
      </c>
      <c r="BO398" t="s">
        <v>72</v>
      </c>
      <c r="BP398" t="s">
        <v>72</v>
      </c>
      <c r="BQ398" t="s">
        <v>100</v>
      </c>
      <c r="BR398" t="s">
        <v>15692</v>
      </c>
      <c r="BS398" t="str">
        <f>HYPERLINK("https%3A%2F%2Fwww.webofscience.com%2Fwos%2Fwoscc%2Ffull-record%2FWOS:000549516900001","View Full Record in Web of Science")</f>
        <v>View Full Record in Web of Science</v>
      </c>
    </row>
    <row r="399" spans="1:71" hidden="1" x14ac:dyDescent="0.2">
      <c r="A399" t="s">
        <v>70</v>
      </c>
      <c r="B399" t="s">
        <v>10202</v>
      </c>
      <c r="C399" t="s">
        <v>72</v>
      </c>
      <c r="D399" t="s">
        <v>72</v>
      </c>
      <c r="E399" t="s">
        <v>72</v>
      </c>
      <c r="F399" t="s">
        <v>10203</v>
      </c>
      <c r="G399" t="s">
        <v>72</v>
      </c>
      <c r="H399" t="s">
        <v>72</v>
      </c>
      <c r="I399" t="s">
        <v>10204</v>
      </c>
      <c r="J399" t="s">
        <v>10205</v>
      </c>
      <c r="K399" t="s">
        <v>72</v>
      </c>
      <c r="L399" t="s">
        <v>72</v>
      </c>
      <c r="M399" t="s">
        <v>76</v>
      </c>
      <c r="N399" t="s">
        <v>77</v>
      </c>
      <c r="O399" t="s">
        <v>72</v>
      </c>
      <c r="P399" t="s">
        <v>72</v>
      </c>
      <c r="Q399" t="s">
        <v>72</v>
      </c>
      <c r="R399" t="s">
        <v>72</v>
      </c>
      <c r="S399" t="s">
        <v>72</v>
      </c>
      <c r="T399" t="s">
        <v>10206</v>
      </c>
      <c r="U399" t="s">
        <v>10207</v>
      </c>
      <c r="V399" t="s">
        <v>10208</v>
      </c>
      <c r="W399" t="s">
        <v>10209</v>
      </c>
      <c r="X399" t="s">
        <v>10210</v>
      </c>
      <c r="Y399" t="s">
        <v>6284</v>
      </c>
      <c r="Z399" t="s">
        <v>10211</v>
      </c>
      <c r="AA399" t="s">
        <v>72</v>
      </c>
      <c r="AB399" t="s">
        <v>72</v>
      </c>
      <c r="AC399" t="s">
        <v>10212</v>
      </c>
      <c r="AD399" t="s">
        <v>10213</v>
      </c>
      <c r="AE399" t="s">
        <v>10214</v>
      </c>
      <c r="AF399" t="s">
        <v>72</v>
      </c>
      <c r="AG399">
        <v>54</v>
      </c>
      <c r="AH399">
        <v>3</v>
      </c>
      <c r="AI399">
        <v>3</v>
      </c>
      <c r="AJ399">
        <v>1</v>
      </c>
      <c r="AK399">
        <v>14</v>
      </c>
      <c r="AL399" t="s">
        <v>450</v>
      </c>
      <c r="AM399" t="s">
        <v>451</v>
      </c>
      <c r="AN399" t="s">
        <v>452</v>
      </c>
      <c r="AO399" t="s">
        <v>10215</v>
      </c>
      <c r="AP399" t="s">
        <v>72</v>
      </c>
      <c r="AQ399" t="s">
        <v>72</v>
      </c>
      <c r="AR399" t="s">
        <v>10216</v>
      </c>
      <c r="AS399" t="s">
        <v>10217</v>
      </c>
      <c r="AT399" t="s">
        <v>555</v>
      </c>
      <c r="AU399">
        <v>2019</v>
      </c>
      <c r="AV399">
        <v>115</v>
      </c>
      <c r="AW399" t="s">
        <v>72</v>
      </c>
      <c r="AX399" t="s">
        <v>72</v>
      </c>
      <c r="AY399" t="s">
        <v>72</v>
      </c>
      <c r="AZ399" t="s">
        <v>72</v>
      </c>
      <c r="BA399" t="s">
        <v>72</v>
      </c>
      <c r="BB399">
        <v>64</v>
      </c>
      <c r="BC399">
        <v>77</v>
      </c>
      <c r="BD399" t="s">
        <v>72</v>
      </c>
      <c r="BE399" t="s">
        <v>10218</v>
      </c>
      <c r="BF399" t="str">
        <f>HYPERLINK("http://dx.doi.org/10.1016/j.worlddev.2018.10.007","http://dx.doi.org/10.1016/j.worlddev.2018.10.007")</f>
        <v>http://dx.doi.org/10.1016/j.worlddev.2018.10.007</v>
      </c>
      <c r="BG399" t="s">
        <v>72</v>
      </c>
      <c r="BH399" t="s">
        <v>72</v>
      </c>
      <c r="BI399">
        <v>14</v>
      </c>
      <c r="BJ399" t="s">
        <v>10219</v>
      </c>
      <c r="BK399" t="s">
        <v>10220</v>
      </c>
      <c r="BL399" t="s">
        <v>10221</v>
      </c>
      <c r="BM399" t="s">
        <v>72</v>
      </c>
      <c r="BN399" t="s">
        <v>251</v>
      </c>
      <c r="BO399" t="s">
        <v>72</v>
      </c>
      <c r="BP399" t="s">
        <v>72</v>
      </c>
      <c r="BQ399" t="s">
        <v>100</v>
      </c>
      <c r="BR399" t="s">
        <v>10222</v>
      </c>
      <c r="BS399" t="str">
        <f>HYPERLINK("https%3A%2F%2Fwww.webofscience.com%2Fwos%2Fwoscc%2Ffull-record%2FWOS:000456352700005","View Full Record in Web of Science")</f>
        <v>View Full Record in Web of Science</v>
      </c>
    </row>
    <row r="400" spans="1:71" hidden="1" x14ac:dyDescent="0.2">
      <c r="A400" t="s">
        <v>70</v>
      </c>
      <c r="B400" t="s">
        <v>14720</v>
      </c>
      <c r="C400" t="s">
        <v>72</v>
      </c>
      <c r="D400" t="s">
        <v>72</v>
      </c>
      <c r="E400" t="s">
        <v>72</v>
      </c>
      <c r="F400" t="s">
        <v>14721</v>
      </c>
      <c r="G400" t="s">
        <v>72</v>
      </c>
      <c r="H400" t="s">
        <v>72</v>
      </c>
      <c r="I400" t="s">
        <v>14722</v>
      </c>
      <c r="J400" t="s">
        <v>14723</v>
      </c>
      <c r="K400" t="s">
        <v>72</v>
      </c>
      <c r="L400" t="s">
        <v>72</v>
      </c>
      <c r="M400" t="s">
        <v>76</v>
      </c>
      <c r="N400" t="s">
        <v>77</v>
      </c>
      <c r="O400" t="s">
        <v>72</v>
      </c>
      <c r="P400" t="s">
        <v>72</v>
      </c>
      <c r="Q400" t="s">
        <v>72</v>
      </c>
      <c r="R400" t="s">
        <v>72</v>
      </c>
      <c r="S400" t="s">
        <v>72</v>
      </c>
      <c r="T400" t="s">
        <v>14724</v>
      </c>
      <c r="U400" t="s">
        <v>14725</v>
      </c>
      <c r="V400" t="s">
        <v>14726</v>
      </c>
      <c r="W400" t="s">
        <v>14727</v>
      </c>
      <c r="X400" t="s">
        <v>72</v>
      </c>
      <c r="Y400" t="s">
        <v>14728</v>
      </c>
      <c r="Z400" t="s">
        <v>14729</v>
      </c>
      <c r="AA400" t="s">
        <v>72</v>
      </c>
      <c r="AB400" t="s">
        <v>72</v>
      </c>
      <c r="AC400" t="s">
        <v>72</v>
      </c>
      <c r="AD400" t="s">
        <v>72</v>
      </c>
      <c r="AE400" t="s">
        <v>72</v>
      </c>
      <c r="AF400" t="s">
        <v>72</v>
      </c>
      <c r="AG400">
        <v>70</v>
      </c>
      <c r="AH400">
        <v>15</v>
      </c>
      <c r="AI400">
        <v>15</v>
      </c>
      <c r="AJ400">
        <v>1</v>
      </c>
      <c r="AK400">
        <v>17</v>
      </c>
      <c r="AL400" t="s">
        <v>269</v>
      </c>
      <c r="AM400" t="s">
        <v>270</v>
      </c>
      <c r="AN400" t="s">
        <v>271</v>
      </c>
      <c r="AO400" t="s">
        <v>14730</v>
      </c>
      <c r="AP400" t="s">
        <v>14731</v>
      </c>
      <c r="AQ400" t="s">
        <v>72</v>
      </c>
      <c r="AR400" t="s">
        <v>14732</v>
      </c>
      <c r="AS400" t="s">
        <v>14733</v>
      </c>
      <c r="AT400" t="s">
        <v>72</v>
      </c>
      <c r="AU400">
        <v>2018</v>
      </c>
      <c r="AV400">
        <v>31</v>
      </c>
      <c r="AW400">
        <v>8</v>
      </c>
      <c r="AX400" t="s">
        <v>72</v>
      </c>
      <c r="AY400" t="s">
        <v>72</v>
      </c>
      <c r="AZ400" t="s">
        <v>72</v>
      </c>
      <c r="BA400" t="s">
        <v>72</v>
      </c>
      <c r="BB400">
        <v>977</v>
      </c>
      <c r="BC400">
        <v>993</v>
      </c>
      <c r="BD400" t="s">
        <v>72</v>
      </c>
      <c r="BE400" t="s">
        <v>14734</v>
      </c>
      <c r="BF400" t="str">
        <f>HYPERLINK("http://dx.doi.org/10.1080/08941920.2018.1450914","http://dx.doi.org/10.1080/08941920.2018.1450914")</f>
        <v>http://dx.doi.org/10.1080/08941920.2018.1450914</v>
      </c>
      <c r="BG400" t="s">
        <v>72</v>
      </c>
      <c r="BH400" t="s">
        <v>72</v>
      </c>
      <c r="BI400">
        <v>17</v>
      </c>
      <c r="BJ400" t="s">
        <v>14735</v>
      </c>
      <c r="BK400" t="s">
        <v>14736</v>
      </c>
      <c r="BL400" t="s">
        <v>14737</v>
      </c>
      <c r="BM400" t="s">
        <v>72</v>
      </c>
      <c r="BN400" t="s">
        <v>72</v>
      </c>
      <c r="BO400" t="s">
        <v>72</v>
      </c>
      <c r="BP400" t="s">
        <v>72</v>
      </c>
      <c r="BQ400" t="s">
        <v>100</v>
      </c>
      <c r="BR400" t="s">
        <v>14738</v>
      </c>
      <c r="BS400" t="str">
        <f>HYPERLINK("https%3A%2F%2Fwww.webofscience.com%2Fwos%2Fwoscc%2Ffull-record%2FWOS:000430432500007","View Full Record in Web of Science")</f>
        <v>View Full Record in Web of Science</v>
      </c>
    </row>
    <row r="401" spans="1:71" hidden="1" x14ac:dyDescent="0.2">
      <c r="A401" t="s">
        <v>70</v>
      </c>
      <c r="B401" t="s">
        <v>11294</v>
      </c>
      <c r="C401" t="s">
        <v>72</v>
      </c>
      <c r="D401" t="s">
        <v>72</v>
      </c>
      <c r="E401" t="s">
        <v>72</v>
      </c>
      <c r="F401" t="s">
        <v>11295</v>
      </c>
      <c r="G401" t="s">
        <v>72</v>
      </c>
      <c r="H401" t="s">
        <v>72</v>
      </c>
      <c r="I401" t="s">
        <v>11296</v>
      </c>
      <c r="J401" t="s">
        <v>11297</v>
      </c>
      <c r="K401" t="s">
        <v>72</v>
      </c>
      <c r="L401" t="s">
        <v>72</v>
      </c>
      <c r="M401" t="s">
        <v>76</v>
      </c>
      <c r="N401" t="s">
        <v>77</v>
      </c>
      <c r="O401" t="s">
        <v>72</v>
      </c>
      <c r="P401" t="s">
        <v>72</v>
      </c>
      <c r="Q401" t="s">
        <v>72</v>
      </c>
      <c r="R401" t="s">
        <v>72</v>
      </c>
      <c r="S401" t="s">
        <v>72</v>
      </c>
      <c r="T401" t="s">
        <v>11298</v>
      </c>
      <c r="U401" t="s">
        <v>11299</v>
      </c>
      <c r="V401" t="s">
        <v>11300</v>
      </c>
      <c r="W401" t="s">
        <v>11301</v>
      </c>
      <c r="X401" t="s">
        <v>11302</v>
      </c>
      <c r="Y401" t="s">
        <v>11303</v>
      </c>
      <c r="Z401" t="s">
        <v>11304</v>
      </c>
      <c r="AA401" t="s">
        <v>72</v>
      </c>
      <c r="AB401" t="s">
        <v>11305</v>
      </c>
      <c r="AC401" t="s">
        <v>72</v>
      </c>
      <c r="AD401" t="s">
        <v>72</v>
      </c>
      <c r="AE401" t="s">
        <v>72</v>
      </c>
      <c r="AF401" t="s">
        <v>72</v>
      </c>
      <c r="AG401">
        <v>75</v>
      </c>
      <c r="AH401">
        <v>8</v>
      </c>
      <c r="AI401">
        <v>8</v>
      </c>
      <c r="AJ401">
        <v>0</v>
      </c>
      <c r="AK401">
        <v>8</v>
      </c>
      <c r="AL401" t="s">
        <v>1260</v>
      </c>
      <c r="AM401" t="s">
        <v>964</v>
      </c>
      <c r="AN401" t="s">
        <v>965</v>
      </c>
      <c r="AO401" t="s">
        <v>11306</v>
      </c>
      <c r="AP401" t="s">
        <v>11307</v>
      </c>
      <c r="AQ401" t="s">
        <v>72</v>
      </c>
      <c r="AR401" t="s">
        <v>11308</v>
      </c>
      <c r="AS401" t="s">
        <v>11309</v>
      </c>
      <c r="AT401" t="s">
        <v>8088</v>
      </c>
      <c r="AU401">
        <v>2017</v>
      </c>
      <c r="AV401">
        <v>25</v>
      </c>
      <c r="AW401">
        <v>5</v>
      </c>
      <c r="AX401" t="s">
        <v>72</v>
      </c>
      <c r="AY401" t="s">
        <v>72</v>
      </c>
      <c r="AZ401" t="s">
        <v>72</v>
      </c>
      <c r="BA401" t="s">
        <v>72</v>
      </c>
      <c r="BB401">
        <v>431</v>
      </c>
      <c r="BC401">
        <v>442</v>
      </c>
      <c r="BD401" t="s">
        <v>72</v>
      </c>
      <c r="BE401" t="s">
        <v>11310</v>
      </c>
      <c r="BF401" t="str">
        <f>HYPERLINK("http://dx.doi.org/10.1002/sd.1672","http://dx.doi.org/10.1002/sd.1672")</f>
        <v>http://dx.doi.org/10.1002/sd.1672</v>
      </c>
      <c r="BG401" t="s">
        <v>72</v>
      </c>
      <c r="BH401" t="s">
        <v>72</v>
      </c>
      <c r="BI401">
        <v>12</v>
      </c>
      <c r="BJ401" t="s">
        <v>11311</v>
      </c>
      <c r="BK401" t="s">
        <v>11312</v>
      </c>
      <c r="BL401" t="s">
        <v>11313</v>
      </c>
      <c r="BM401" t="s">
        <v>72</v>
      </c>
      <c r="BN401" t="s">
        <v>72</v>
      </c>
      <c r="BO401" t="s">
        <v>72</v>
      </c>
      <c r="BP401" t="s">
        <v>72</v>
      </c>
      <c r="BQ401" t="s">
        <v>100</v>
      </c>
      <c r="BR401" t="s">
        <v>11314</v>
      </c>
      <c r="BS401" t="str">
        <f>HYPERLINK("https%3A%2F%2Fwww.webofscience.com%2Fwos%2Fwoscc%2Ffull-record%2FWOS:000412685000006","View Full Record in Web of Science")</f>
        <v>View Full Record in Web of Science</v>
      </c>
    </row>
    <row r="402" spans="1:71" hidden="1" x14ac:dyDescent="0.2">
      <c r="A402" t="s">
        <v>70</v>
      </c>
      <c r="B402" t="s">
        <v>3390</v>
      </c>
      <c r="C402" t="s">
        <v>72</v>
      </c>
      <c r="D402" t="s">
        <v>72</v>
      </c>
      <c r="E402" t="s">
        <v>72</v>
      </c>
      <c r="F402" t="s">
        <v>3391</v>
      </c>
      <c r="G402" t="s">
        <v>72</v>
      </c>
      <c r="H402" t="s">
        <v>72</v>
      </c>
      <c r="I402" t="s">
        <v>3392</v>
      </c>
      <c r="J402" t="s">
        <v>3393</v>
      </c>
      <c r="K402" t="s">
        <v>72</v>
      </c>
      <c r="L402" t="s">
        <v>72</v>
      </c>
      <c r="M402" t="s">
        <v>542</v>
      </c>
      <c r="N402" t="s">
        <v>77</v>
      </c>
      <c r="O402" t="s">
        <v>72</v>
      </c>
      <c r="P402" t="s">
        <v>72</v>
      </c>
      <c r="Q402" t="s">
        <v>72</v>
      </c>
      <c r="R402" t="s">
        <v>72</v>
      </c>
      <c r="S402" t="s">
        <v>72</v>
      </c>
      <c r="T402" t="s">
        <v>3394</v>
      </c>
      <c r="U402" t="s">
        <v>3395</v>
      </c>
      <c r="V402" t="s">
        <v>3396</v>
      </c>
      <c r="W402" t="s">
        <v>3397</v>
      </c>
      <c r="X402" t="s">
        <v>3398</v>
      </c>
      <c r="Y402" t="s">
        <v>3399</v>
      </c>
      <c r="Z402" t="s">
        <v>3400</v>
      </c>
      <c r="AA402" t="s">
        <v>3401</v>
      </c>
      <c r="AB402" t="s">
        <v>72</v>
      </c>
      <c r="AC402" t="s">
        <v>2227</v>
      </c>
      <c r="AD402" t="s">
        <v>2227</v>
      </c>
      <c r="AE402" t="s">
        <v>3402</v>
      </c>
      <c r="AF402" t="s">
        <v>72</v>
      </c>
      <c r="AG402">
        <v>61</v>
      </c>
      <c r="AH402">
        <v>2</v>
      </c>
      <c r="AI402">
        <v>2</v>
      </c>
      <c r="AJ402">
        <v>1</v>
      </c>
      <c r="AK402">
        <v>3</v>
      </c>
      <c r="AL402" t="s">
        <v>2229</v>
      </c>
      <c r="AM402" t="s">
        <v>2230</v>
      </c>
      <c r="AN402" t="s">
        <v>2231</v>
      </c>
      <c r="AO402" t="s">
        <v>3403</v>
      </c>
      <c r="AP402" t="s">
        <v>3404</v>
      </c>
      <c r="AQ402" t="s">
        <v>72</v>
      </c>
      <c r="AR402" t="s">
        <v>3405</v>
      </c>
      <c r="AS402" t="s">
        <v>3406</v>
      </c>
      <c r="AT402" t="s">
        <v>299</v>
      </c>
      <c r="AU402">
        <v>2021</v>
      </c>
      <c r="AV402">
        <v>24</v>
      </c>
      <c r="AW402">
        <v>3</v>
      </c>
      <c r="AX402" t="s">
        <v>72</v>
      </c>
      <c r="AY402" t="s">
        <v>72</v>
      </c>
      <c r="AZ402" t="s">
        <v>72</v>
      </c>
      <c r="BA402" t="s">
        <v>72</v>
      </c>
      <c r="BB402">
        <v>641</v>
      </c>
      <c r="BC402">
        <v>669</v>
      </c>
      <c r="BD402" t="s">
        <v>72</v>
      </c>
      <c r="BE402" t="s">
        <v>3407</v>
      </c>
      <c r="BF402" t="str">
        <f>HYPERLINK("http://dx.doi.org/10.1007/s11618-021-01008-5","http://dx.doi.org/10.1007/s11618-021-01008-5")</f>
        <v>http://dx.doi.org/10.1007/s11618-021-01008-5</v>
      </c>
      <c r="BG402" t="s">
        <v>72</v>
      </c>
      <c r="BH402" t="s">
        <v>397</v>
      </c>
      <c r="BI402">
        <v>29</v>
      </c>
      <c r="BJ402" t="s">
        <v>3408</v>
      </c>
      <c r="BK402" t="s">
        <v>3408</v>
      </c>
      <c r="BL402" t="s">
        <v>3409</v>
      </c>
      <c r="BM402" t="s">
        <v>72</v>
      </c>
      <c r="BN402" t="s">
        <v>280</v>
      </c>
      <c r="BO402" t="s">
        <v>72</v>
      </c>
      <c r="BP402" t="s">
        <v>72</v>
      </c>
      <c r="BQ402" t="s">
        <v>100</v>
      </c>
      <c r="BR402" t="s">
        <v>3410</v>
      </c>
      <c r="BS402" t="str">
        <f>HYPERLINK("https%3A%2F%2Fwww.webofscience.com%2Fwos%2Fwoscc%2Ffull-record%2FWOS:000635068100001","View Full Record in Web of Science")</f>
        <v>View Full Record in Web of Science</v>
      </c>
    </row>
    <row r="403" spans="1:71" hidden="1" x14ac:dyDescent="0.2">
      <c r="A403" t="s">
        <v>70</v>
      </c>
      <c r="B403" t="s">
        <v>4056</v>
      </c>
      <c r="C403" t="s">
        <v>72</v>
      </c>
      <c r="D403" t="s">
        <v>72</v>
      </c>
      <c r="E403" t="s">
        <v>72</v>
      </c>
      <c r="F403" t="s">
        <v>4057</v>
      </c>
      <c r="G403" t="s">
        <v>72</v>
      </c>
      <c r="H403" t="s">
        <v>72</v>
      </c>
      <c r="I403" t="s">
        <v>4058</v>
      </c>
      <c r="J403" t="s">
        <v>4059</v>
      </c>
      <c r="K403" t="s">
        <v>72</v>
      </c>
      <c r="L403" t="s">
        <v>72</v>
      </c>
      <c r="M403" t="s">
        <v>76</v>
      </c>
      <c r="N403" t="s">
        <v>77</v>
      </c>
      <c r="O403" t="s">
        <v>72</v>
      </c>
      <c r="P403" t="s">
        <v>72</v>
      </c>
      <c r="Q403" t="s">
        <v>72</v>
      </c>
      <c r="R403" t="s">
        <v>72</v>
      </c>
      <c r="S403" t="s">
        <v>72</v>
      </c>
      <c r="T403" t="s">
        <v>4060</v>
      </c>
      <c r="U403" t="s">
        <v>4061</v>
      </c>
      <c r="V403" t="s">
        <v>4062</v>
      </c>
      <c r="W403" t="s">
        <v>4063</v>
      </c>
      <c r="X403" t="s">
        <v>4064</v>
      </c>
      <c r="Y403" t="s">
        <v>4065</v>
      </c>
      <c r="Z403" t="s">
        <v>4066</v>
      </c>
      <c r="AA403" t="s">
        <v>72</v>
      </c>
      <c r="AB403" t="s">
        <v>4067</v>
      </c>
      <c r="AC403" t="s">
        <v>4068</v>
      </c>
      <c r="AD403" t="s">
        <v>4068</v>
      </c>
      <c r="AE403" t="s">
        <v>4069</v>
      </c>
      <c r="AF403" t="s">
        <v>72</v>
      </c>
      <c r="AG403">
        <v>109</v>
      </c>
      <c r="AH403">
        <v>3</v>
      </c>
      <c r="AI403">
        <v>3</v>
      </c>
      <c r="AJ403">
        <v>5</v>
      </c>
      <c r="AK403">
        <v>14</v>
      </c>
      <c r="AL403" t="s">
        <v>190</v>
      </c>
      <c r="AM403" t="s">
        <v>191</v>
      </c>
      <c r="AN403" t="s">
        <v>192</v>
      </c>
      <c r="AO403" t="s">
        <v>4070</v>
      </c>
      <c r="AP403" t="s">
        <v>4071</v>
      </c>
      <c r="AQ403" t="s">
        <v>72</v>
      </c>
      <c r="AR403" t="s">
        <v>4072</v>
      </c>
      <c r="AS403" t="s">
        <v>4073</v>
      </c>
      <c r="AT403" t="s">
        <v>929</v>
      </c>
      <c r="AU403">
        <v>2021</v>
      </c>
      <c r="AV403">
        <v>43</v>
      </c>
      <c r="AW403">
        <v>4</v>
      </c>
      <c r="AX403" t="s">
        <v>72</v>
      </c>
      <c r="AY403" t="s">
        <v>72</v>
      </c>
      <c r="AZ403" t="s">
        <v>72</v>
      </c>
      <c r="BA403" t="s">
        <v>72</v>
      </c>
      <c r="BB403">
        <v>587</v>
      </c>
      <c r="BC403">
        <v>614</v>
      </c>
      <c r="BD403">
        <v>1623737211009267</v>
      </c>
      <c r="BE403" t="s">
        <v>4074</v>
      </c>
      <c r="BF403" t="str">
        <f>HYPERLINK("http://dx.doi.org/10.3102/01623737211009267","http://dx.doi.org/10.3102/01623737211009267")</f>
        <v>http://dx.doi.org/10.3102/01623737211009267</v>
      </c>
      <c r="BG403" t="s">
        <v>72</v>
      </c>
      <c r="BH403" t="s">
        <v>4075</v>
      </c>
      <c r="BI403">
        <v>28</v>
      </c>
      <c r="BJ403" t="s">
        <v>3408</v>
      </c>
      <c r="BK403" t="s">
        <v>3408</v>
      </c>
      <c r="BL403" t="s">
        <v>4076</v>
      </c>
      <c r="BM403" t="s">
        <v>72</v>
      </c>
      <c r="BN403" t="s">
        <v>72</v>
      </c>
      <c r="BO403" t="s">
        <v>72</v>
      </c>
      <c r="BP403" t="s">
        <v>72</v>
      </c>
      <c r="BQ403" t="s">
        <v>100</v>
      </c>
      <c r="BR403" t="s">
        <v>4077</v>
      </c>
      <c r="BS403" t="str">
        <f>HYPERLINK("https%3A%2F%2Fwww.webofscience.com%2Fwos%2Fwoscc%2Ffull-record%2FWOS:000654539500001","View Full Record in Web of Science")</f>
        <v>View Full Record in Web of Science</v>
      </c>
    </row>
    <row r="404" spans="1:71" hidden="1" x14ac:dyDescent="0.2">
      <c r="A404" t="s">
        <v>70</v>
      </c>
      <c r="B404" t="s">
        <v>5107</v>
      </c>
      <c r="C404" t="s">
        <v>72</v>
      </c>
      <c r="D404" t="s">
        <v>72</v>
      </c>
      <c r="E404" t="s">
        <v>72</v>
      </c>
      <c r="F404" t="s">
        <v>5108</v>
      </c>
      <c r="G404" t="s">
        <v>72</v>
      </c>
      <c r="H404" t="s">
        <v>72</v>
      </c>
      <c r="I404" t="s">
        <v>5109</v>
      </c>
      <c r="J404" t="s">
        <v>5110</v>
      </c>
      <c r="K404" t="s">
        <v>72</v>
      </c>
      <c r="L404" t="s">
        <v>72</v>
      </c>
      <c r="M404" t="s">
        <v>76</v>
      </c>
      <c r="N404" t="s">
        <v>77</v>
      </c>
      <c r="O404" t="s">
        <v>72</v>
      </c>
      <c r="P404" t="s">
        <v>72</v>
      </c>
      <c r="Q404" t="s">
        <v>72</v>
      </c>
      <c r="R404" t="s">
        <v>72</v>
      </c>
      <c r="S404" t="s">
        <v>72</v>
      </c>
      <c r="T404" t="s">
        <v>5111</v>
      </c>
      <c r="U404" t="s">
        <v>5112</v>
      </c>
      <c r="V404" t="s">
        <v>5113</v>
      </c>
      <c r="W404" t="s">
        <v>5114</v>
      </c>
      <c r="X404" t="s">
        <v>5115</v>
      </c>
      <c r="Y404" t="s">
        <v>5116</v>
      </c>
      <c r="Z404" t="s">
        <v>5117</v>
      </c>
      <c r="AA404" t="s">
        <v>72</v>
      </c>
      <c r="AB404" t="s">
        <v>72</v>
      </c>
      <c r="AC404" t="s">
        <v>5118</v>
      </c>
      <c r="AD404" t="s">
        <v>5118</v>
      </c>
      <c r="AE404" t="s">
        <v>5119</v>
      </c>
      <c r="AF404" t="s">
        <v>72</v>
      </c>
      <c r="AG404">
        <v>113</v>
      </c>
      <c r="AH404">
        <v>20</v>
      </c>
      <c r="AI404">
        <v>20</v>
      </c>
      <c r="AJ404">
        <v>0</v>
      </c>
      <c r="AK404">
        <v>12</v>
      </c>
      <c r="AL404" t="s">
        <v>364</v>
      </c>
      <c r="AM404" t="s">
        <v>365</v>
      </c>
      <c r="AN404" t="s">
        <v>366</v>
      </c>
      <c r="AO404" t="s">
        <v>5120</v>
      </c>
      <c r="AP404" t="s">
        <v>5121</v>
      </c>
      <c r="AQ404" t="s">
        <v>72</v>
      </c>
      <c r="AR404" t="s">
        <v>5122</v>
      </c>
      <c r="AS404" t="s">
        <v>5123</v>
      </c>
      <c r="AT404" t="s">
        <v>72</v>
      </c>
      <c r="AU404">
        <v>2016</v>
      </c>
      <c r="AV404">
        <v>23</v>
      </c>
      <c r="AW404">
        <v>4</v>
      </c>
      <c r="AX404" t="s">
        <v>72</v>
      </c>
      <c r="AY404" t="s">
        <v>72</v>
      </c>
      <c r="AZ404" t="s">
        <v>72</v>
      </c>
      <c r="BA404" t="s">
        <v>72</v>
      </c>
      <c r="BB404">
        <v>427</v>
      </c>
      <c r="BC404">
        <v>455</v>
      </c>
      <c r="BD404" t="s">
        <v>72</v>
      </c>
      <c r="BE404" t="s">
        <v>5124</v>
      </c>
      <c r="BF404" t="str">
        <f>HYPERLINK("http://dx.doi.org/10.1080/0969594X.2016.1218323","http://dx.doi.org/10.1080/0969594X.2016.1218323")</f>
        <v>http://dx.doi.org/10.1080/0969594X.2016.1218323</v>
      </c>
      <c r="BG404" t="s">
        <v>72</v>
      </c>
      <c r="BH404" t="s">
        <v>72</v>
      </c>
      <c r="BI404">
        <v>29</v>
      </c>
      <c r="BJ404" t="s">
        <v>3408</v>
      </c>
      <c r="BK404" t="s">
        <v>3408</v>
      </c>
      <c r="BL404" t="s">
        <v>5125</v>
      </c>
      <c r="BM404" t="s">
        <v>72</v>
      </c>
      <c r="BN404" t="s">
        <v>251</v>
      </c>
      <c r="BO404" t="s">
        <v>72</v>
      </c>
      <c r="BP404" t="s">
        <v>72</v>
      </c>
      <c r="BQ404" t="s">
        <v>100</v>
      </c>
      <c r="BR404" t="s">
        <v>5126</v>
      </c>
      <c r="BS404" t="str">
        <f>HYPERLINK("https%3A%2F%2Fwww.webofscience.com%2Fwos%2Fwoscc%2Ffull-record%2FWOS:000392928900002","View Full Record in Web of Science")</f>
        <v>View Full Record in Web of Science</v>
      </c>
    </row>
    <row r="405" spans="1:71" hidden="1" x14ac:dyDescent="0.2">
      <c r="A405" t="s">
        <v>70</v>
      </c>
      <c r="B405" t="s">
        <v>5173</v>
      </c>
      <c r="C405" t="s">
        <v>72</v>
      </c>
      <c r="D405" t="s">
        <v>72</v>
      </c>
      <c r="E405" t="s">
        <v>72</v>
      </c>
      <c r="F405" t="s">
        <v>5174</v>
      </c>
      <c r="G405" t="s">
        <v>72</v>
      </c>
      <c r="H405" t="s">
        <v>72</v>
      </c>
      <c r="I405" t="s">
        <v>5175</v>
      </c>
      <c r="J405" t="s">
        <v>5176</v>
      </c>
      <c r="K405" t="s">
        <v>72</v>
      </c>
      <c r="L405" t="s">
        <v>72</v>
      </c>
      <c r="M405" t="s">
        <v>76</v>
      </c>
      <c r="N405" t="s">
        <v>77</v>
      </c>
      <c r="O405" t="s">
        <v>72</v>
      </c>
      <c r="P405" t="s">
        <v>72</v>
      </c>
      <c r="Q405" t="s">
        <v>72</v>
      </c>
      <c r="R405" t="s">
        <v>72</v>
      </c>
      <c r="S405" t="s">
        <v>72</v>
      </c>
      <c r="T405" t="s">
        <v>5177</v>
      </c>
      <c r="U405" t="s">
        <v>72</v>
      </c>
      <c r="V405" t="s">
        <v>5178</v>
      </c>
      <c r="W405" t="s">
        <v>5179</v>
      </c>
      <c r="X405" t="s">
        <v>5180</v>
      </c>
      <c r="Y405" t="s">
        <v>5181</v>
      </c>
      <c r="Z405" t="s">
        <v>5182</v>
      </c>
      <c r="AA405" t="s">
        <v>72</v>
      </c>
      <c r="AB405" t="s">
        <v>5183</v>
      </c>
      <c r="AC405" t="s">
        <v>72</v>
      </c>
      <c r="AD405" t="s">
        <v>72</v>
      </c>
      <c r="AE405" t="s">
        <v>72</v>
      </c>
      <c r="AF405" t="s">
        <v>72</v>
      </c>
      <c r="AG405">
        <v>21</v>
      </c>
      <c r="AH405">
        <v>14</v>
      </c>
      <c r="AI405">
        <v>14</v>
      </c>
      <c r="AJ405">
        <v>4</v>
      </c>
      <c r="AK405">
        <v>16</v>
      </c>
      <c r="AL405" t="s">
        <v>88</v>
      </c>
      <c r="AM405" t="s">
        <v>707</v>
      </c>
      <c r="AN405" t="s">
        <v>5184</v>
      </c>
      <c r="AO405" t="s">
        <v>5185</v>
      </c>
      <c r="AP405" t="s">
        <v>5186</v>
      </c>
      <c r="AQ405" t="s">
        <v>72</v>
      </c>
      <c r="AR405" t="s">
        <v>5187</v>
      </c>
      <c r="AS405" t="s">
        <v>5188</v>
      </c>
      <c r="AT405" t="s">
        <v>929</v>
      </c>
      <c r="AU405">
        <v>2017</v>
      </c>
      <c r="AV405">
        <v>29</v>
      </c>
      <c r="AW405">
        <v>3</v>
      </c>
      <c r="AX405" t="s">
        <v>72</v>
      </c>
      <c r="AY405" t="s">
        <v>72</v>
      </c>
      <c r="AZ405" t="s">
        <v>478</v>
      </c>
      <c r="BA405" t="s">
        <v>72</v>
      </c>
      <c r="BB405">
        <v>434</v>
      </c>
      <c r="BC405">
        <v>450</v>
      </c>
      <c r="BD405" t="s">
        <v>72</v>
      </c>
      <c r="BE405" t="s">
        <v>5189</v>
      </c>
      <c r="BF405" t="str">
        <f>HYPERLINK("http://dx.doi.org/10.1007/s12528-017-9151-3","http://dx.doi.org/10.1007/s12528-017-9151-3")</f>
        <v>http://dx.doi.org/10.1007/s12528-017-9151-3</v>
      </c>
      <c r="BG405" t="s">
        <v>72</v>
      </c>
      <c r="BH405" t="s">
        <v>72</v>
      </c>
      <c r="BI405">
        <v>17</v>
      </c>
      <c r="BJ405" t="s">
        <v>3408</v>
      </c>
      <c r="BK405" t="s">
        <v>3408</v>
      </c>
      <c r="BL405" t="s">
        <v>5190</v>
      </c>
      <c r="BM405" t="s">
        <v>72</v>
      </c>
      <c r="BN405" t="s">
        <v>72</v>
      </c>
      <c r="BO405" t="s">
        <v>72</v>
      </c>
      <c r="BP405" t="s">
        <v>72</v>
      </c>
      <c r="BQ405" t="s">
        <v>100</v>
      </c>
      <c r="BR405" t="s">
        <v>5191</v>
      </c>
      <c r="BS405" t="str">
        <f>HYPERLINK("https%3A%2F%2Fwww.webofscience.com%2Fwos%2Fwoscc%2Ffull-record%2FWOS:000415756100003","View Full Record in Web of Science")</f>
        <v>View Full Record in Web of Science</v>
      </c>
    </row>
    <row r="406" spans="1:71" hidden="1" x14ac:dyDescent="0.2">
      <c r="A406" t="s">
        <v>70</v>
      </c>
      <c r="B406" t="s">
        <v>6065</v>
      </c>
      <c r="C406" t="s">
        <v>72</v>
      </c>
      <c r="D406" t="s">
        <v>72</v>
      </c>
      <c r="E406" t="s">
        <v>72</v>
      </c>
      <c r="F406" t="s">
        <v>6066</v>
      </c>
      <c r="G406" t="s">
        <v>72</v>
      </c>
      <c r="H406" t="s">
        <v>72</v>
      </c>
      <c r="I406" t="s">
        <v>6067</v>
      </c>
      <c r="J406" t="s">
        <v>6068</v>
      </c>
      <c r="K406" t="s">
        <v>72</v>
      </c>
      <c r="L406" t="s">
        <v>72</v>
      </c>
      <c r="M406" t="s">
        <v>76</v>
      </c>
      <c r="N406" t="s">
        <v>77</v>
      </c>
      <c r="O406" t="s">
        <v>72</v>
      </c>
      <c r="P406" t="s">
        <v>72</v>
      </c>
      <c r="Q406" t="s">
        <v>72</v>
      </c>
      <c r="R406" t="s">
        <v>72</v>
      </c>
      <c r="S406" t="s">
        <v>72</v>
      </c>
      <c r="T406" t="s">
        <v>6069</v>
      </c>
      <c r="U406" t="s">
        <v>72</v>
      </c>
      <c r="V406" t="s">
        <v>6070</v>
      </c>
      <c r="W406" t="s">
        <v>6071</v>
      </c>
      <c r="X406" t="s">
        <v>6072</v>
      </c>
      <c r="Y406" t="s">
        <v>6073</v>
      </c>
      <c r="Z406" t="s">
        <v>6074</v>
      </c>
      <c r="AA406" t="s">
        <v>72</v>
      </c>
      <c r="AB406" t="s">
        <v>6075</v>
      </c>
      <c r="AC406" t="s">
        <v>6076</v>
      </c>
      <c r="AD406" t="s">
        <v>6077</v>
      </c>
      <c r="AE406" t="s">
        <v>6078</v>
      </c>
      <c r="AF406" t="s">
        <v>72</v>
      </c>
      <c r="AG406">
        <v>0</v>
      </c>
      <c r="AH406">
        <v>10</v>
      </c>
      <c r="AI406">
        <v>10</v>
      </c>
      <c r="AJ406">
        <v>3</v>
      </c>
      <c r="AK406">
        <v>6</v>
      </c>
      <c r="AL406" t="s">
        <v>364</v>
      </c>
      <c r="AM406" t="s">
        <v>365</v>
      </c>
      <c r="AN406" t="s">
        <v>366</v>
      </c>
      <c r="AO406" t="s">
        <v>6079</v>
      </c>
      <c r="AP406" t="s">
        <v>6080</v>
      </c>
      <c r="AQ406" t="s">
        <v>72</v>
      </c>
      <c r="AR406" t="s">
        <v>6081</v>
      </c>
      <c r="AS406" t="s">
        <v>6082</v>
      </c>
      <c r="AT406" t="s">
        <v>72</v>
      </c>
      <c r="AU406">
        <v>2019</v>
      </c>
      <c r="AV406">
        <v>12</v>
      </c>
      <c r="AW406">
        <v>4</v>
      </c>
      <c r="AX406" t="s">
        <v>72</v>
      </c>
      <c r="AY406" t="s">
        <v>72</v>
      </c>
      <c r="AZ406" t="s">
        <v>72</v>
      </c>
      <c r="BA406" t="s">
        <v>72</v>
      </c>
      <c r="BB406">
        <v>707</v>
      </c>
      <c r="BC406">
        <v>727</v>
      </c>
      <c r="BD406" t="s">
        <v>72</v>
      </c>
      <c r="BE406" t="s">
        <v>6083</v>
      </c>
      <c r="BF406" t="str">
        <f>HYPERLINK("http://dx.doi.org/10.1080/19345747.2019.1634168","http://dx.doi.org/10.1080/19345747.2019.1634168")</f>
        <v>http://dx.doi.org/10.1080/19345747.2019.1634168</v>
      </c>
      <c r="BG406" t="s">
        <v>72</v>
      </c>
      <c r="BH406" t="s">
        <v>72</v>
      </c>
      <c r="BI406">
        <v>21</v>
      </c>
      <c r="BJ406" t="s">
        <v>3408</v>
      </c>
      <c r="BK406" t="s">
        <v>3408</v>
      </c>
      <c r="BL406" t="s">
        <v>6084</v>
      </c>
      <c r="BM406" t="s">
        <v>72</v>
      </c>
      <c r="BN406" t="s">
        <v>72</v>
      </c>
      <c r="BO406" t="s">
        <v>72</v>
      </c>
      <c r="BP406" t="s">
        <v>72</v>
      </c>
      <c r="BQ406" t="s">
        <v>100</v>
      </c>
      <c r="BR406" t="s">
        <v>6085</v>
      </c>
      <c r="BS406" t="str">
        <f>HYPERLINK("https%3A%2F%2Fwww.webofscience.com%2Fwos%2Fwoscc%2Ffull-record%2FWOS:000620703800008","View Full Record in Web of Science")</f>
        <v>View Full Record in Web of Science</v>
      </c>
    </row>
    <row r="407" spans="1:71" hidden="1" x14ac:dyDescent="0.2">
      <c r="A407" t="s">
        <v>70</v>
      </c>
      <c r="B407" t="s">
        <v>6349</v>
      </c>
      <c r="C407" t="s">
        <v>72</v>
      </c>
      <c r="D407" t="s">
        <v>72</v>
      </c>
      <c r="E407" t="s">
        <v>72</v>
      </c>
      <c r="F407" t="s">
        <v>6350</v>
      </c>
      <c r="G407" t="s">
        <v>72</v>
      </c>
      <c r="H407" t="s">
        <v>72</v>
      </c>
      <c r="I407" t="s">
        <v>6351</v>
      </c>
      <c r="J407" t="s">
        <v>4059</v>
      </c>
      <c r="K407" t="s">
        <v>72</v>
      </c>
      <c r="L407" t="s">
        <v>72</v>
      </c>
      <c r="M407" t="s">
        <v>76</v>
      </c>
      <c r="N407" t="s">
        <v>77</v>
      </c>
      <c r="O407" t="s">
        <v>72</v>
      </c>
      <c r="P407" t="s">
        <v>72</v>
      </c>
      <c r="Q407" t="s">
        <v>72</v>
      </c>
      <c r="R407" t="s">
        <v>72</v>
      </c>
      <c r="S407" t="s">
        <v>72</v>
      </c>
      <c r="T407" t="s">
        <v>6352</v>
      </c>
      <c r="U407" t="s">
        <v>6353</v>
      </c>
      <c r="V407" t="s">
        <v>6354</v>
      </c>
      <c r="W407" t="s">
        <v>6355</v>
      </c>
      <c r="X407" t="s">
        <v>6356</v>
      </c>
      <c r="Y407" t="s">
        <v>6357</v>
      </c>
      <c r="Z407" t="s">
        <v>72</v>
      </c>
      <c r="AA407" t="s">
        <v>72</v>
      </c>
      <c r="AB407" t="s">
        <v>4067</v>
      </c>
      <c r="AC407" t="s">
        <v>6358</v>
      </c>
      <c r="AD407" t="s">
        <v>6358</v>
      </c>
      <c r="AE407" t="s">
        <v>6359</v>
      </c>
      <c r="AF407" t="s">
        <v>72</v>
      </c>
      <c r="AG407">
        <v>63</v>
      </c>
      <c r="AH407">
        <v>11</v>
      </c>
      <c r="AI407">
        <v>11</v>
      </c>
      <c r="AJ407">
        <v>4</v>
      </c>
      <c r="AK407">
        <v>20</v>
      </c>
      <c r="AL407" t="s">
        <v>190</v>
      </c>
      <c r="AM407" t="s">
        <v>191</v>
      </c>
      <c r="AN407" t="s">
        <v>192</v>
      </c>
      <c r="AO407" t="s">
        <v>4070</v>
      </c>
      <c r="AP407" t="s">
        <v>4071</v>
      </c>
      <c r="AQ407" t="s">
        <v>72</v>
      </c>
      <c r="AR407" t="s">
        <v>4072</v>
      </c>
      <c r="AS407" t="s">
        <v>4073</v>
      </c>
      <c r="AT407" t="s">
        <v>929</v>
      </c>
      <c r="AU407">
        <v>2019</v>
      </c>
      <c r="AV407">
        <v>41</v>
      </c>
      <c r="AW407">
        <v>4</v>
      </c>
      <c r="AX407" t="s">
        <v>72</v>
      </c>
      <c r="AY407" t="s">
        <v>72</v>
      </c>
      <c r="AZ407" t="s">
        <v>72</v>
      </c>
      <c r="BA407" t="s">
        <v>72</v>
      </c>
      <c r="BB407">
        <v>510</v>
      </c>
      <c r="BC407">
        <v>536</v>
      </c>
      <c r="BD407">
        <v>162373719869318</v>
      </c>
      <c r="BE407" t="s">
        <v>6360</v>
      </c>
      <c r="BF407" t="str">
        <f>HYPERLINK("http://dx.doi.org/10.3102/0162373719869318","http://dx.doi.org/10.3102/0162373719869318")</f>
        <v>http://dx.doi.org/10.3102/0162373719869318</v>
      </c>
      <c r="BG407" t="s">
        <v>72</v>
      </c>
      <c r="BH407" t="s">
        <v>3102</v>
      </c>
      <c r="BI407">
        <v>27</v>
      </c>
      <c r="BJ407" t="s">
        <v>3408</v>
      </c>
      <c r="BK407" t="s">
        <v>3408</v>
      </c>
      <c r="BL407" t="s">
        <v>6361</v>
      </c>
      <c r="BM407" t="s">
        <v>72</v>
      </c>
      <c r="BN407" t="s">
        <v>72</v>
      </c>
      <c r="BO407" t="s">
        <v>72</v>
      </c>
      <c r="BP407" t="s">
        <v>72</v>
      </c>
      <c r="BQ407" t="s">
        <v>100</v>
      </c>
      <c r="BR407" t="s">
        <v>6362</v>
      </c>
      <c r="BS407" t="str">
        <f>HYPERLINK("https%3A%2F%2Fwww.webofscience.com%2Fwos%2Fwoscc%2Ffull-record%2FWOS:000484077300001","View Full Record in Web of Science")</f>
        <v>View Full Record in Web of Science</v>
      </c>
    </row>
    <row r="408" spans="1:71" hidden="1" x14ac:dyDescent="0.2">
      <c r="A408" t="s">
        <v>70</v>
      </c>
      <c r="B408" t="s">
        <v>6931</v>
      </c>
      <c r="C408" t="s">
        <v>72</v>
      </c>
      <c r="D408" t="s">
        <v>72</v>
      </c>
      <c r="E408" t="s">
        <v>72</v>
      </c>
      <c r="F408" t="s">
        <v>6932</v>
      </c>
      <c r="G408" t="s">
        <v>72</v>
      </c>
      <c r="H408" t="s">
        <v>72</v>
      </c>
      <c r="I408" t="s">
        <v>6933</v>
      </c>
      <c r="J408" t="s">
        <v>6934</v>
      </c>
      <c r="K408" t="s">
        <v>72</v>
      </c>
      <c r="L408" t="s">
        <v>72</v>
      </c>
      <c r="M408" t="s">
        <v>76</v>
      </c>
      <c r="N408" t="s">
        <v>77</v>
      </c>
      <c r="O408" t="s">
        <v>72</v>
      </c>
      <c r="P408" t="s">
        <v>72</v>
      </c>
      <c r="Q408" t="s">
        <v>72</v>
      </c>
      <c r="R408" t="s">
        <v>72</v>
      </c>
      <c r="S408" t="s">
        <v>72</v>
      </c>
      <c r="T408" t="s">
        <v>6935</v>
      </c>
      <c r="U408" t="s">
        <v>6936</v>
      </c>
      <c r="V408" t="s">
        <v>6937</v>
      </c>
      <c r="W408" t="s">
        <v>6938</v>
      </c>
      <c r="X408" t="s">
        <v>6939</v>
      </c>
      <c r="Y408" t="s">
        <v>6940</v>
      </c>
      <c r="Z408" t="s">
        <v>6941</v>
      </c>
      <c r="AA408" t="s">
        <v>72</v>
      </c>
      <c r="AB408" t="s">
        <v>6942</v>
      </c>
      <c r="AC408" t="s">
        <v>72</v>
      </c>
      <c r="AD408" t="s">
        <v>72</v>
      </c>
      <c r="AE408" t="s">
        <v>72</v>
      </c>
      <c r="AF408" t="s">
        <v>72</v>
      </c>
      <c r="AG408">
        <v>48</v>
      </c>
      <c r="AH408">
        <v>0</v>
      </c>
      <c r="AI408">
        <v>0</v>
      </c>
      <c r="AJ408">
        <v>0</v>
      </c>
      <c r="AK408">
        <v>1</v>
      </c>
      <c r="AL408" t="s">
        <v>364</v>
      </c>
      <c r="AM408" t="s">
        <v>365</v>
      </c>
      <c r="AN408" t="s">
        <v>366</v>
      </c>
      <c r="AO408" t="s">
        <v>6943</v>
      </c>
      <c r="AP408" t="s">
        <v>6944</v>
      </c>
      <c r="AQ408" t="s">
        <v>72</v>
      </c>
      <c r="AR408" t="s">
        <v>6945</v>
      </c>
      <c r="AS408" t="s">
        <v>6946</v>
      </c>
      <c r="AT408" t="s">
        <v>1172</v>
      </c>
      <c r="AU408">
        <v>2022</v>
      </c>
      <c r="AV408">
        <v>16</v>
      </c>
      <c r="AW408">
        <v>1</v>
      </c>
      <c r="AX408" t="s">
        <v>72</v>
      </c>
      <c r="AY408" t="s">
        <v>72</v>
      </c>
      <c r="AZ408" t="s">
        <v>72</v>
      </c>
      <c r="BA408" t="s">
        <v>72</v>
      </c>
      <c r="BB408">
        <v>45</v>
      </c>
      <c r="BC408">
        <v>65</v>
      </c>
      <c r="BD408" t="s">
        <v>72</v>
      </c>
      <c r="BE408" t="s">
        <v>6947</v>
      </c>
      <c r="BF408" t="str">
        <f>HYPERLINK("http://dx.doi.org/10.1080/19357397.2022.2026111","http://dx.doi.org/10.1080/19357397.2022.2026111")</f>
        <v>http://dx.doi.org/10.1080/19357397.2022.2026111</v>
      </c>
      <c r="BG408" t="s">
        <v>72</v>
      </c>
      <c r="BH408" t="s">
        <v>1832</v>
      </c>
      <c r="BI408">
        <v>21</v>
      </c>
      <c r="BJ408" t="s">
        <v>3408</v>
      </c>
      <c r="BK408" t="s">
        <v>3408</v>
      </c>
      <c r="BL408" t="s">
        <v>6948</v>
      </c>
      <c r="BM408" t="s">
        <v>72</v>
      </c>
      <c r="BN408" t="s">
        <v>72</v>
      </c>
      <c r="BO408" t="s">
        <v>72</v>
      </c>
      <c r="BP408" t="s">
        <v>72</v>
      </c>
      <c r="BQ408" t="s">
        <v>100</v>
      </c>
      <c r="BR408" t="s">
        <v>6949</v>
      </c>
      <c r="BS408" t="str">
        <f>HYPERLINK("https%3A%2F%2Fwww.webofscience.com%2Fwos%2Fwoscc%2Ffull-record%2FWOS:000741797200001","View Full Record in Web of Science")</f>
        <v>View Full Record in Web of Science</v>
      </c>
    </row>
    <row r="409" spans="1:71" hidden="1" x14ac:dyDescent="0.2">
      <c r="A409" t="s">
        <v>70</v>
      </c>
      <c r="B409" t="s">
        <v>8093</v>
      </c>
      <c r="C409" t="s">
        <v>72</v>
      </c>
      <c r="D409" t="s">
        <v>72</v>
      </c>
      <c r="E409" t="s">
        <v>72</v>
      </c>
      <c r="F409" t="s">
        <v>8094</v>
      </c>
      <c r="G409" t="s">
        <v>72</v>
      </c>
      <c r="H409" t="s">
        <v>72</v>
      </c>
      <c r="I409" t="s">
        <v>8095</v>
      </c>
      <c r="J409" t="s">
        <v>8096</v>
      </c>
      <c r="K409" t="s">
        <v>72</v>
      </c>
      <c r="L409" t="s">
        <v>72</v>
      </c>
      <c r="M409" t="s">
        <v>76</v>
      </c>
      <c r="N409" t="s">
        <v>77</v>
      </c>
      <c r="O409" t="s">
        <v>72</v>
      </c>
      <c r="P409" t="s">
        <v>72</v>
      </c>
      <c r="Q409" t="s">
        <v>72</v>
      </c>
      <c r="R409" t="s">
        <v>72</v>
      </c>
      <c r="S409" t="s">
        <v>72</v>
      </c>
      <c r="T409" t="s">
        <v>8097</v>
      </c>
      <c r="U409" t="s">
        <v>8098</v>
      </c>
      <c r="V409" t="s">
        <v>8099</v>
      </c>
      <c r="W409" t="s">
        <v>8100</v>
      </c>
      <c r="X409" t="s">
        <v>8101</v>
      </c>
      <c r="Y409" t="s">
        <v>8102</v>
      </c>
      <c r="Z409" t="s">
        <v>8103</v>
      </c>
      <c r="AA409" t="s">
        <v>8104</v>
      </c>
      <c r="AB409" t="s">
        <v>8105</v>
      </c>
      <c r="AC409" t="s">
        <v>72</v>
      </c>
      <c r="AD409" t="s">
        <v>72</v>
      </c>
      <c r="AE409" t="s">
        <v>72</v>
      </c>
      <c r="AF409" t="s">
        <v>72</v>
      </c>
      <c r="AG409">
        <v>63</v>
      </c>
      <c r="AH409">
        <v>24</v>
      </c>
      <c r="AI409">
        <v>24</v>
      </c>
      <c r="AJ409">
        <v>5</v>
      </c>
      <c r="AK409">
        <v>72</v>
      </c>
      <c r="AL409" t="s">
        <v>364</v>
      </c>
      <c r="AM409" t="s">
        <v>365</v>
      </c>
      <c r="AN409" t="s">
        <v>366</v>
      </c>
      <c r="AO409" t="s">
        <v>8106</v>
      </c>
      <c r="AP409" t="s">
        <v>8107</v>
      </c>
      <c r="AQ409" t="s">
        <v>72</v>
      </c>
      <c r="AR409" t="s">
        <v>8108</v>
      </c>
      <c r="AS409" t="s">
        <v>8109</v>
      </c>
      <c r="AT409" t="s">
        <v>3797</v>
      </c>
      <c r="AU409">
        <v>2019</v>
      </c>
      <c r="AV409">
        <v>27</v>
      </c>
      <c r="AW409" t="s">
        <v>5524</v>
      </c>
      <c r="AX409" t="s">
        <v>72</v>
      </c>
      <c r="AY409" t="s">
        <v>72</v>
      </c>
      <c r="AZ409" t="s">
        <v>478</v>
      </c>
      <c r="BA409" t="s">
        <v>72</v>
      </c>
      <c r="BB409">
        <v>655</v>
      </c>
      <c r="BC409">
        <v>669</v>
      </c>
      <c r="BD409" t="s">
        <v>72</v>
      </c>
      <c r="BE409" t="s">
        <v>8110</v>
      </c>
      <c r="BF409" t="str">
        <f>HYPERLINK("http://dx.doi.org/10.1080/10494820.2019.1610453","http://dx.doi.org/10.1080/10494820.2019.1610453")</f>
        <v>http://dx.doi.org/10.1080/10494820.2019.1610453</v>
      </c>
      <c r="BG409" t="s">
        <v>72</v>
      </c>
      <c r="BH409" t="s">
        <v>8111</v>
      </c>
      <c r="BI409">
        <v>15</v>
      </c>
      <c r="BJ409" t="s">
        <v>3408</v>
      </c>
      <c r="BK409" t="s">
        <v>3408</v>
      </c>
      <c r="BL409" t="s">
        <v>8112</v>
      </c>
      <c r="BM409" t="s">
        <v>72</v>
      </c>
      <c r="BN409" t="s">
        <v>251</v>
      </c>
      <c r="BO409" t="s">
        <v>72</v>
      </c>
      <c r="BP409" t="s">
        <v>72</v>
      </c>
      <c r="BQ409" t="s">
        <v>100</v>
      </c>
      <c r="BR409" t="s">
        <v>8113</v>
      </c>
      <c r="BS409" t="str">
        <f>HYPERLINK("https%3A%2F%2Fwww.webofscience.com%2Fwos%2Fwoscc%2Ffull-record%2FWOS:000470487600001","View Full Record in Web of Science")</f>
        <v>View Full Record in Web of Science</v>
      </c>
    </row>
    <row r="410" spans="1:71" hidden="1" x14ac:dyDescent="0.2">
      <c r="A410" t="s">
        <v>70</v>
      </c>
      <c r="B410" t="s">
        <v>8146</v>
      </c>
      <c r="C410" t="s">
        <v>72</v>
      </c>
      <c r="D410" t="s">
        <v>72</v>
      </c>
      <c r="E410" t="s">
        <v>72</v>
      </c>
      <c r="F410" t="s">
        <v>8147</v>
      </c>
      <c r="G410" t="s">
        <v>72</v>
      </c>
      <c r="H410" t="s">
        <v>72</v>
      </c>
      <c r="I410" t="s">
        <v>8148</v>
      </c>
      <c r="J410" t="s">
        <v>8149</v>
      </c>
      <c r="K410" t="s">
        <v>72</v>
      </c>
      <c r="L410" t="s">
        <v>72</v>
      </c>
      <c r="M410" t="s">
        <v>76</v>
      </c>
      <c r="N410" t="s">
        <v>77</v>
      </c>
      <c r="O410" t="s">
        <v>72</v>
      </c>
      <c r="P410" t="s">
        <v>72</v>
      </c>
      <c r="Q410" t="s">
        <v>72</v>
      </c>
      <c r="R410" t="s">
        <v>72</v>
      </c>
      <c r="S410" t="s">
        <v>72</v>
      </c>
      <c r="T410" t="s">
        <v>72</v>
      </c>
      <c r="U410" t="s">
        <v>8150</v>
      </c>
      <c r="V410" t="s">
        <v>8151</v>
      </c>
      <c r="W410" t="s">
        <v>8152</v>
      </c>
      <c r="X410" t="s">
        <v>8153</v>
      </c>
      <c r="Y410" t="s">
        <v>8154</v>
      </c>
      <c r="Z410" t="s">
        <v>8155</v>
      </c>
      <c r="AA410" t="s">
        <v>8156</v>
      </c>
      <c r="AB410" t="s">
        <v>8157</v>
      </c>
      <c r="AC410" t="s">
        <v>72</v>
      </c>
      <c r="AD410" t="s">
        <v>72</v>
      </c>
      <c r="AE410" t="s">
        <v>72</v>
      </c>
      <c r="AF410" t="s">
        <v>72</v>
      </c>
      <c r="AG410">
        <v>59</v>
      </c>
      <c r="AH410">
        <v>13</v>
      </c>
      <c r="AI410">
        <v>13</v>
      </c>
      <c r="AJ410">
        <v>2</v>
      </c>
      <c r="AK410">
        <v>20</v>
      </c>
      <c r="AL410" t="s">
        <v>1260</v>
      </c>
      <c r="AM410" t="s">
        <v>964</v>
      </c>
      <c r="AN410" t="s">
        <v>965</v>
      </c>
      <c r="AO410" t="s">
        <v>8158</v>
      </c>
      <c r="AP410" t="s">
        <v>8159</v>
      </c>
      <c r="AQ410" t="s">
        <v>72</v>
      </c>
      <c r="AR410" t="s">
        <v>8160</v>
      </c>
      <c r="AS410" t="s">
        <v>8161</v>
      </c>
      <c r="AT410" t="s">
        <v>247</v>
      </c>
      <c r="AU410">
        <v>2021</v>
      </c>
      <c r="AV410">
        <v>52</v>
      </c>
      <c r="AW410">
        <v>1</v>
      </c>
      <c r="AX410" t="s">
        <v>72</v>
      </c>
      <c r="AY410" t="s">
        <v>72</v>
      </c>
      <c r="AZ410" t="s">
        <v>72</v>
      </c>
      <c r="BA410" t="s">
        <v>72</v>
      </c>
      <c r="BB410">
        <v>482</v>
      </c>
      <c r="BC410">
        <v>497</v>
      </c>
      <c r="BD410" t="s">
        <v>72</v>
      </c>
      <c r="BE410" t="s">
        <v>8162</v>
      </c>
      <c r="BF410" t="str">
        <f>HYPERLINK("http://dx.doi.org/10.1111/bjet.13033","http://dx.doi.org/10.1111/bjet.13033")</f>
        <v>http://dx.doi.org/10.1111/bjet.13033</v>
      </c>
      <c r="BG410" t="s">
        <v>72</v>
      </c>
      <c r="BH410" t="s">
        <v>5788</v>
      </c>
      <c r="BI410">
        <v>16</v>
      </c>
      <c r="BJ410" t="s">
        <v>3408</v>
      </c>
      <c r="BK410" t="s">
        <v>3408</v>
      </c>
      <c r="BL410" t="s">
        <v>8163</v>
      </c>
      <c r="BM410" t="s">
        <v>72</v>
      </c>
      <c r="BN410" t="s">
        <v>1128</v>
      </c>
      <c r="BO410" t="s">
        <v>72</v>
      </c>
      <c r="BP410" t="s">
        <v>72</v>
      </c>
      <c r="BQ410" t="s">
        <v>100</v>
      </c>
      <c r="BR410" t="s">
        <v>8164</v>
      </c>
      <c r="BS410" t="str">
        <f>HYPERLINK("https%3A%2F%2Fwww.webofscience.com%2Fwos%2Fwoscc%2Ffull-record%2FWOS:000574178600001","View Full Record in Web of Science")</f>
        <v>View Full Record in Web of Science</v>
      </c>
    </row>
    <row r="411" spans="1:71" hidden="1" x14ac:dyDescent="0.2">
      <c r="A411" t="s">
        <v>305</v>
      </c>
      <c r="B411" t="s">
        <v>9187</v>
      </c>
      <c r="C411" t="s">
        <v>72</v>
      </c>
      <c r="D411" t="s">
        <v>9188</v>
      </c>
      <c r="E411" t="s">
        <v>72</v>
      </c>
      <c r="F411" t="s">
        <v>9189</v>
      </c>
      <c r="G411" t="s">
        <v>72</v>
      </c>
      <c r="H411" t="s">
        <v>72</v>
      </c>
      <c r="I411" t="s">
        <v>9190</v>
      </c>
      <c r="J411" t="s">
        <v>9191</v>
      </c>
      <c r="K411" t="s">
        <v>9192</v>
      </c>
      <c r="L411" t="s">
        <v>72</v>
      </c>
      <c r="M411" t="s">
        <v>76</v>
      </c>
      <c r="N411" t="s">
        <v>312</v>
      </c>
      <c r="O411" t="s">
        <v>9193</v>
      </c>
      <c r="P411" t="s">
        <v>9194</v>
      </c>
      <c r="Q411" t="s">
        <v>9195</v>
      </c>
      <c r="R411" t="s">
        <v>72</v>
      </c>
      <c r="S411" t="s">
        <v>72</v>
      </c>
      <c r="T411" t="s">
        <v>9196</v>
      </c>
      <c r="U411" t="s">
        <v>72</v>
      </c>
      <c r="V411" t="s">
        <v>9197</v>
      </c>
      <c r="W411" t="s">
        <v>9198</v>
      </c>
      <c r="X411" t="s">
        <v>9199</v>
      </c>
      <c r="Y411" t="s">
        <v>9200</v>
      </c>
      <c r="Z411" t="s">
        <v>72</v>
      </c>
      <c r="AA411" t="s">
        <v>9201</v>
      </c>
      <c r="AB411" t="s">
        <v>9202</v>
      </c>
      <c r="AC411" t="s">
        <v>9203</v>
      </c>
      <c r="AD411" t="s">
        <v>9204</v>
      </c>
      <c r="AE411" t="s">
        <v>9205</v>
      </c>
      <c r="AF411" t="s">
        <v>72</v>
      </c>
      <c r="AG411">
        <v>43</v>
      </c>
      <c r="AH411">
        <v>8</v>
      </c>
      <c r="AI411">
        <v>8</v>
      </c>
      <c r="AJ411">
        <v>0</v>
      </c>
      <c r="AK411">
        <v>5</v>
      </c>
      <c r="AL411" t="s">
        <v>9206</v>
      </c>
      <c r="AM411" t="s">
        <v>9207</v>
      </c>
      <c r="AN411" t="s">
        <v>9208</v>
      </c>
      <c r="AO411" t="s">
        <v>9209</v>
      </c>
      <c r="AP411" t="s">
        <v>72</v>
      </c>
      <c r="AQ411" t="s">
        <v>9210</v>
      </c>
      <c r="AR411" t="s">
        <v>9211</v>
      </c>
      <c r="AS411" t="s">
        <v>72</v>
      </c>
      <c r="AT411" t="s">
        <v>72</v>
      </c>
      <c r="AU411">
        <v>2016</v>
      </c>
      <c r="AV411" t="s">
        <v>72</v>
      </c>
      <c r="AW411" t="s">
        <v>72</v>
      </c>
      <c r="AX411" t="s">
        <v>72</v>
      </c>
      <c r="AY411" t="s">
        <v>72</v>
      </c>
      <c r="AZ411" t="s">
        <v>72</v>
      </c>
      <c r="BA411" t="s">
        <v>72</v>
      </c>
      <c r="BB411">
        <v>5269</v>
      </c>
      <c r="BC411">
        <v>5279</v>
      </c>
      <c r="BD411" t="s">
        <v>72</v>
      </c>
      <c r="BE411" t="s">
        <v>72</v>
      </c>
      <c r="BF411" t="s">
        <v>72</v>
      </c>
      <c r="BG411" t="s">
        <v>72</v>
      </c>
      <c r="BH411" t="s">
        <v>72</v>
      </c>
      <c r="BI411">
        <v>11</v>
      </c>
      <c r="BJ411" t="s">
        <v>9212</v>
      </c>
      <c r="BK411" t="s">
        <v>3408</v>
      </c>
      <c r="BL411" t="s">
        <v>9213</v>
      </c>
      <c r="BM411" t="s">
        <v>72</v>
      </c>
      <c r="BN411" t="s">
        <v>72</v>
      </c>
      <c r="BO411" t="s">
        <v>72</v>
      </c>
      <c r="BP411" t="s">
        <v>72</v>
      </c>
      <c r="BQ411" t="s">
        <v>100</v>
      </c>
      <c r="BR411" t="s">
        <v>9214</v>
      </c>
      <c r="BS411" t="str">
        <f>HYPERLINK("https%3A%2F%2Fwww.webofscience.com%2Fwos%2Fwoscc%2Ffull-record%2FWOS:000402955905042","View Full Record in Web of Science")</f>
        <v>View Full Record in Web of Science</v>
      </c>
    </row>
    <row r="412" spans="1:71" hidden="1" x14ac:dyDescent="0.2">
      <c r="A412" t="s">
        <v>70</v>
      </c>
      <c r="B412" t="s">
        <v>10035</v>
      </c>
      <c r="C412" t="s">
        <v>72</v>
      </c>
      <c r="D412" t="s">
        <v>72</v>
      </c>
      <c r="E412" t="s">
        <v>72</v>
      </c>
      <c r="F412" t="s">
        <v>10036</v>
      </c>
      <c r="G412" t="s">
        <v>72</v>
      </c>
      <c r="H412" t="s">
        <v>72</v>
      </c>
      <c r="I412" t="s">
        <v>10037</v>
      </c>
      <c r="J412" t="s">
        <v>10038</v>
      </c>
      <c r="K412" t="s">
        <v>72</v>
      </c>
      <c r="L412" t="s">
        <v>72</v>
      </c>
      <c r="M412" t="s">
        <v>76</v>
      </c>
      <c r="N412" t="s">
        <v>77</v>
      </c>
      <c r="O412" t="s">
        <v>72</v>
      </c>
      <c r="P412" t="s">
        <v>72</v>
      </c>
      <c r="Q412" t="s">
        <v>72</v>
      </c>
      <c r="R412" t="s">
        <v>72</v>
      </c>
      <c r="S412" t="s">
        <v>72</v>
      </c>
      <c r="T412" t="s">
        <v>10039</v>
      </c>
      <c r="U412" t="s">
        <v>10040</v>
      </c>
      <c r="V412" t="s">
        <v>10041</v>
      </c>
      <c r="W412" t="s">
        <v>10042</v>
      </c>
      <c r="X412" t="s">
        <v>10043</v>
      </c>
      <c r="Y412" t="s">
        <v>10044</v>
      </c>
      <c r="Z412" t="s">
        <v>10045</v>
      </c>
      <c r="AA412" t="s">
        <v>72</v>
      </c>
      <c r="AB412" t="s">
        <v>72</v>
      </c>
      <c r="AC412" t="s">
        <v>72</v>
      </c>
      <c r="AD412" t="s">
        <v>72</v>
      </c>
      <c r="AE412" t="s">
        <v>72</v>
      </c>
      <c r="AF412" t="s">
        <v>72</v>
      </c>
      <c r="AG412">
        <v>70</v>
      </c>
      <c r="AH412">
        <v>2</v>
      </c>
      <c r="AI412">
        <v>2</v>
      </c>
      <c r="AJ412">
        <v>1</v>
      </c>
      <c r="AK412">
        <v>6</v>
      </c>
      <c r="AL412" t="s">
        <v>364</v>
      </c>
      <c r="AM412" t="s">
        <v>365</v>
      </c>
      <c r="AN412" t="s">
        <v>366</v>
      </c>
      <c r="AO412" t="s">
        <v>10046</v>
      </c>
      <c r="AP412" t="s">
        <v>72</v>
      </c>
      <c r="AQ412" t="s">
        <v>72</v>
      </c>
      <c r="AR412" t="s">
        <v>10047</v>
      </c>
      <c r="AS412" t="s">
        <v>10048</v>
      </c>
      <c r="AT412" t="s">
        <v>3888</v>
      </c>
      <c r="AU412">
        <v>2019</v>
      </c>
      <c r="AV412">
        <v>27</v>
      </c>
      <c r="AW412">
        <v>3</v>
      </c>
      <c r="AX412" t="s">
        <v>72</v>
      </c>
      <c r="AY412" t="s">
        <v>72</v>
      </c>
      <c r="AZ412" t="s">
        <v>72</v>
      </c>
      <c r="BA412" t="s">
        <v>72</v>
      </c>
      <c r="BB412">
        <v>253</v>
      </c>
      <c r="BC412">
        <v>264</v>
      </c>
      <c r="BD412" t="s">
        <v>72</v>
      </c>
      <c r="BE412" t="s">
        <v>10049</v>
      </c>
      <c r="BF412" t="str">
        <f>HYPERLINK("http://dx.doi.org/10.1080/10691898.2019.1687369","http://dx.doi.org/10.1080/10691898.2019.1687369")</f>
        <v>http://dx.doi.org/10.1080/10691898.2019.1687369</v>
      </c>
      <c r="BG412" t="s">
        <v>72</v>
      </c>
      <c r="BH412" t="s">
        <v>3966</v>
      </c>
      <c r="BI412">
        <v>12</v>
      </c>
      <c r="BJ412" t="s">
        <v>10050</v>
      </c>
      <c r="BK412" t="s">
        <v>3408</v>
      </c>
      <c r="BL412" t="s">
        <v>10051</v>
      </c>
      <c r="BM412" t="s">
        <v>72</v>
      </c>
      <c r="BN412" t="s">
        <v>222</v>
      </c>
      <c r="BO412" t="s">
        <v>72</v>
      </c>
      <c r="BP412" t="s">
        <v>72</v>
      </c>
      <c r="BQ412" t="s">
        <v>100</v>
      </c>
      <c r="BR412" t="s">
        <v>10052</v>
      </c>
      <c r="BS412" t="str">
        <f>HYPERLINK("https%3A%2F%2Fwww.webofscience.com%2Fwos%2Fwoscc%2Ffull-record%2FWOS:000500382000001","View Full Record in Web of Science")</f>
        <v>View Full Record in Web of Science</v>
      </c>
    </row>
    <row r="413" spans="1:71" hidden="1" x14ac:dyDescent="0.2">
      <c r="A413" t="s">
        <v>70</v>
      </c>
      <c r="B413" t="s">
        <v>10523</v>
      </c>
      <c r="C413" t="s">
        <v>72</v>
      </c>
      <c r="D413" t="s">
        <v>72</v>
      </c>
      <c r="E413" t="s">
        <v>72</v>
      </c>
      <c r="F413" t="s">
        <v>10524</v>
      </c>
      <c r="G413" t="s">
        <v>72</v>
      </c>
      <c r="H413" t="s">
        <v>72</v>
      </c>
      <c r="I413" t="s">
        <v>10525</v>
      </c>
      <c r="J413" t="s">
        <v>10526</v>
      </c>
      <c r="K413" t="s">
        <v>72</v>
      </c>
      <c r="L413" t="s">
        <v>72</v>
      </c>
      <c r="M413" t="s">
        <v>76</v>
      </c>
      <c r="N413" t="s">
        <v>77</v>
      </c>
      <c r="O413" t="s">
        <v>72</v>
      </c>
      <c r="P413" t="s">
        <v>72</v>
      </c>
      <c r="Q413" t="s">
        <v>72</v>
      </c>
      <c r="R413" t="s">
        <v>72</v>
      </c>
      <c r="S413" t="s">
        <v>72</v>
      </c>
      <c r="T413" t="s">
        <v>10527</v>
      </c>
      <c r="U413" t="s">
        <v>10528</v>
      </c>
      <c r="V413" t="s">
        <v>10529</v>
      </c>
      <c r="W413" t="s">
        <v>10530</v>
      </c>
      <c r="X413" t="s">
        <v>10531</v>
      </c>
      <c r="Y413" t="s">
        <v>10532</v>
      </c>
      <c r="Z413" t="s">
        <v>10533</v>
      </c>
      <c r="AA413" t="s">
        <v>72</v>
      </c>
      <c r="AB413" t="s">
        <v>72</v>
      </c>
      <c r="AC413" t="s">
        <v>72</v>
      </c>
      <c r="AD413" t="s">
        <v>72</v>
      </c>
      <c r="AE413" t="s">
        <v>72</v>
      </c>
      <c r="AF413" t="s">
        <v>72</v>
      </c>
      <c r="AG413">
        <v>29</v>
      </c>
      <c r="AH413">
        <v>11</v>
      </c>
      <c r="AI413">
        <v>11</v>
      </c>
      <c r="AJ413">
        <v>0</v>
      </c>
      <c r="AK413">
        <v>6</v>
      </c>
      <c r="AL413" t="s">
        <v>1165</v>
      </c>
      <c r="AM413" t="s">
        <v>1166</v>
      </c>
      <c r="AN413" t="s">
        <v>1167</v>
      </c>
      <c r="AO413" t="s">
        <v>10534</v>
      </c>
      <c r="AP413" t="s">
        <v>10535</v>
      </c>
      <c r="AQ413" t="s">
        <v>72</v>
      </c>
      <c r="AR413" t="s">
        <v>10536</v>
      </c>
      <c r="AS413" t="s">
        <v>10537</v>
      </c>
      <c r="AT413" t="s">
        <v>72</v>
      </c>
      <c r="AU413">
        <v>2018</v>
      </c>
      <c r="AV413">
        <v>26</v>
      </c>
      <c r="AW413">
        <v>1</v>
      </c>
      <c r="AX413" t="s">
        <v>72</v>
      </c>
      <c r="AY413" t="s">
        <v>72</v>
      </c>
      <c r="AZ413" t="s">
        <v>72</v>
      </c>
      <c r="BA413" t="s">
        <v>72</v>
      </c>
      <c r="BB413">
        <v>60</v>
      </c>
      <c r="BC413">
        <v>69</v>
      </c>
      <c r="BD413" t="s">
        <v>72</v>
      </c>
      <c r="BE413" t="s">
        <v>10538</v>
      </c>
      <c r="BF413" t="str">
        <f>HYPERLINK("http://dx.doi.org/10.1108/QAE-11-2016-0062","http://dx.doi.org/10.1108/QAE-11-2016-0062")</f>
        <v>http://dx.doi.org/10.1108/QAE-11-2016-0062</v>
      </c>
      <c r="BG413" t="s">
        <v>72</v>
      </c>
      <c r="BH413" t="s">
        <v>72</v>
      </c>
      <c r="BI413">
        <v>10</v>
      </c>
      <c r="BJ413" t="s">
        <v>3408</v>
      </c>
      <c r="BK413" t="s">
        <v>3408</v>
      </c>
      <c r="BL413" t="s">
        <v>10539</v>
      </c>
      <c r="BM413" t="s">
        <v>72</v>
      </c>
      <c r="BN413" t="s">
        <v>72</v>
      </c>
      <c r="BO413" t="s">
        <v>72</v>
      </c>
      <c r="BP413" t="s">
        <v>72</v>
      </c>
      <c r="BQ413" t="s">
        <v>100</v>
      </c>
      <c r="BR413" t="s">
        <v>10540</v>
      </c>
      <c r="BS413" t="str">
        <f>HYPERLINK("https%3A%2F%2Fwww.webofscience.com%2Fwos%2Fwoscc%2Ffull-record%2FWOS:000424870800004","View Full Record in Web of Science")</f>
        <v>View Full Record in Web of Science</v>
      </c>
    </row>
    <row r="414" spans="1:71" hidden="1" x14ac:dyDescent="0.2">
      <c r="A414" t="s">
        <v>70</v>
      </c>
      <c r="B414" t="s">
        <v>10541</v>
      </c>
      <c r="C414" t="s">
        <v>72</v>
      </c>
      <c r="D414" t="s">
        <v>72</v>
      </c>
      <c r="E414" t="s">
        <v>72</v>
      </c>
      <c r="F414" t="s">
        <v>10542</v>
      </c>
      <c r="G414" t="s">
        <v>72</v>
      </c>
      <c r="H414" t="s">
        <v>72</v>
      </c>
      <c r="I414" t="s">
        <v>10543</v>
      </c>
      <c r="J414" t="s">
        <v>10544</v>
      </c>
      <c r="K414" t="s">
        <v>72</v>
      </c>
      <c r="L414" t="s">
        <v>72</v>
      </c>
      <c r="M414" t="s">
        <v>76</v>
      </c>
      <c r="N414" t="s">
        <v>1503</v>
      </c>
      <c r="O414" t="s">
        <v>72</v>
      </c>
      <c r="P414" t="s">
        <v>72</v>
      </c>
      <c r="Q414" t="s">
        <v>72</v>
      </c>
      <c r="R414" t="s">
        <v>72</v>
      </c>
      <c r="S414" t="s">
        <v>72</v>
      </c>
      <c r="T414" t="s">
        <v>10545</v>
      </c>
      <c r="U414" t="s">
        <v>10546</v>
      </c>
      <c r="V414" t="s">
        <v>10547</v>
      </c>
      <c r="W414" t="s">
        <v>10548</v>
      </c>
      <c r="X414" t="s">
        <v>10549</v>
      </c>
      <c r="Y414" t="s">
        <v>10550</v>
      </c>
      <c r="Z414" t="s">
        <v>10551</v>
      </c>
      <c r="AA414" t="s">
        <v>10552</v>
      </c>
      <c r="AB414" t="s">
        <v>10553</v>
      </c>
      <c r="AC414" t="s">
        <v>10554</v>
      </c>
      <c r="AD414" t="s">
        <v>5572</v>
      </c>
      <c r="AE414" t="s">
        <v>10555</v>
      </c>
      <c r="AF414" t="s">
        <v>72</v>
      </c>
      <c r="AG414">
        <v>61</v>
      </c>
      <c r="AH414">
        <v>39</v>
      </c>
      <c r="AI414">
        <v>39</v>
      </c>
      <c r="AJ414">
        <v>5</v>
      </c>
      <c r="AK414">
        <v>37</v>
      </c>
      <c r="AL414" t="s">
        <v>88</v>
      </c>
      <c r="AM414" t="s">
        <v>89</v>
      </c>
      <c r="AN414" t="s">
        <v>90</v>
      </c>
      <c r="AO414" t="s">
        <v>10556</v>
      </c>
      <c r="AP414" t="s">
        <v>10557</v>
      </c>
      <c r="AQ414" t="s">
        <v>72</v>
      </c>
      <c r="AR414" t="s">
        <v>10558</v>
      </c>
      <c r="AS414" t="s">
        <v>10559</v>
      </c>
      <c r="AT414" t="s">
        <v>95</v>
      </c>
      <c r="AU414">
        <v>2020</v>
      </c>
      <c r="AV414">
        <v>80</v>
      </c>
      <c r="AW414">
        <v>3</v>
      </c>
      <c r="AX414" t="s">
        <v>72</v>
      </c>
      <c r="AY414" t="s">
        <v>72</v>
      </c>
      <c r="AZ414" t="s">
        <v>72</v>
      </c>
      <c r="BA414" t="s">
        <v>72</v>
      </c>
      <c r="BB414">
        <v>571</v>
      </c>
      <c r="BC414">
        <v>587</v>
      </c>
      <c r="BD414" t="s">
        <v>72</v>
      </c>
      <c r="BE414" t="s">
        <v>10560</v>
      </c>
      <c r="BF414" t="str">
        <f>HYPERLINK("http://dx.doi.org/10.1007/s10734-020-00500-x","http://dx.doi.org/10.1007/s10734-020-00500-x")</f>
        <v>http://dx.doi.org/10.1007/s10734-020-00500-x</v>
      </c>
      <c r="BG414" t="s">
        <v>72</v>
      </c>
      <c r="BH414" t="s">
        <v>2281</v>
      </c>
      <c r="BI414">
        <v>17</v>
      </c>
      <c r="BJ414" t="s">
        <v>3408</v>
      </c>
      <c r="BK414" t="s">
        <v>3408</v>
      </c>
      <c r="BL414" t="s">
        <v>10561</v>
      </c>
      <c r="BM414" t="s">
        <v>72</v>
      </c>
      <c r="BN414" t="s">
        <v>2403</v>
      </c>
      <c r="BO414" t="s">
        <v>72</v>
      </c>
      <c r="BP414" t="s">
        <v>72</v>
      </c>
      <c r="BQ414" t="s">
        <v>100</v>
      </c>
      <c r="BR414" t="s">
        <v>10562</v>
      </c>
      <c r="BS414" t="str">
        <f>HYPERLINK("https%3A%2F%2Fwww.webofscience.com%2Fwos%2Fwoscc%2Ffull-record%2FWOS:000537982500001","View Full Record in Web of Science")</f>
        <v>View Full Record in Web of Science</v>
      </c>
    </row>
    <row r="415" spans="1:71" hidden="1" x14ac:dyDescent="0.2">
      <c r="A415" t="s">
        <v>70</v>
      </c>
      <c r="B415" t="s">
        <v>10650</v>
      </c>
      <c r="C415" t="s">
        <v>72</v>
      </c>
      <c r="D415" t="s">
        <v>72</v>
      </c>
      <c r="E415" t="s">
        <v>72</v>
      </c>
      <c r="F415" t="s">
        <v>10651</v>
      </c>
      <c r="G415" t="s">
        <v>72</v>
      </c>
      <c r="H415" t="s">
        <v>72</v>
      </c>
      <c r="I415" t="s">
        <v>10652</v>
      </c>
      <c r="J415" t="s">
        <v>10653</v>
      </c>
      <c r="K415" t="s">
        <v>72</v>
      </c>
      <c r="L415" t="s">
        <v>72</v>
      </c>
      <c r="M415" t="s">
        <v>76</v>
      </c>
      <c r="N415" t="s">
        <v>352</v>
      </c>
      <c r="O415" t="s">
        <v>72</v>
      </c>
      <c r="P415" t="s">
        <v>72</v>
      </c>
      <c r="Q415" t="s">
        <v>72</v>
      </c>
      <c r="R415" t="s">
        <v>72</v>
      </c>
      <c r="S415" t="s">
        <v>72</v>
      </c>
      <c r="T415" t="s">
        <v>10654</v>
      </c>
      <c r="U415" t="s">
        <v>10655</v>
      </c>
      <c r="V415" t="s">
        <v>10656</v>
      </c>
      <c r="W415" t="s">
        <v>10657</v>
      </c>
      <c r="X415" t="s">
        <v>1027</v>
      </c>
      <c r="Y415" t="s">
        <v>10658</v>
      </c>
      <c r="Z415" t="s">
        <v>10659</v>
      </c>
      <c r="AA415" t="s">
        <v>72</v>
      </c>
      <c r="AB415" t="s">
        <v>10660</v>
      </c>
      <c r="AC415" t="s">
        <v>10661</v>
      </c>
      <c r="AD415" t="s">
        <v>188</v>
      </c>
      <c r="AE415" t="s">
        <v>10662</v>
      </c>
      <c r="AF415" t="s">
        <v>72</v>
      </c>
      <c r="AG415">
        <v>52</v>
      </c>
      <c r="AH415">
        <v>1</v>
      </c>
      <c r="AI415">
        <v>1</v>
      </c>
      <c r="AJ415">
        <v>5</v>
      </c>
      <c r="AK415">
        <v>11</v>
      </c>
      <c r="AL415" t="s">
        <v>364</v>
      </c>
      <c r="AM415" t="s">
        <v>365</v>
      </c>
      <c r="AN415" t="s">
        <v>366</v>
      </c>
      <c r="AO415" t="s">
        <v>10663</v>
      </c>
      <c r="AP415" t="s">
        <v>10664</v>
      </c>
      <c r="AQ415" t="s">
        <v>72</v>
      </c>
      <c r="AR415" t="s">
        <v>10665</v>
      </c>
      <c r="AS415" t="s">
        <v>10666</v>
      </c>
      <c r="AT415" t="s">
        <v>72</v>
      </c>
      <c r="AU415" t="s">
        <v>72</v>
      </c>
      <c r="AV415" t="s">
        <v>72</v>
      </c>
      <c r="AW415" t="s">
        <v>72</v>
      </c>
      <c r="AX415" t="s">
        <v>72</v>
      </c>
      <c r="AY415" t="s">
        <v>72</v>
      </c>
      <c r="AZ415" t="s">
        <v>72</v>
      </c>
      <c r="BA415" t="s">
        <v>72</v>
      </c>
      <c r="BB415" t="s">
        <v>72</v>
      </c>
      <c r="BC415" t="s">
        <v>72</v>
      </c>
      <c r="BD415" t="s">
        <v>72</v>
      </c>
      <c r="BE415" t="s">
        <v>10667</v>
      </c>
      <c r="BF415" t="str">
        <f>HYPERLINK("http://dx.doi.org/10.1080/02680939.2021.1974099","http://dx.doi.org/10.1080/02680939.2021.1974099")</f>
        <v>http://dx.doi.org/10.1080/02680939.2021.1974099</v>
      </c>
      <c r="BG415" t="s">
        <v>72</v>
      </c>
      <c r="BH415" t="s">
        <v>2792</v>
      </c>
      <c r="BI415">
        <v>25</v>
      </c>
      <c r="BJ415" t="s">
        <v>3408</v>
      </c>
      <c r="BK415" t="s">
        <v>3408</v>
      </c>
      <c r="BL415" t="s">
        <v>10668</v>
      </c>
      <c r="BM415" t="s">
        <v>72</v>
      </c>
      <c r="BN415" t="s">
        <v>280</v>
      </c>
      <c r="BO415" t="s">
        <v>72</v>
      </c>
      <c r="BP415" t="s">
        <v>72</v>
      </c>
      <c r="BQ415" t="s">
        <v>100</v>
      </c>
      <c r="BR415" t="s">
        <v>10669</v>
      </c>
      <c r="BS415" t="str">
        <f>HYPERLINK("https%3A%2F%2Fwww.webofscience.com%2Fwos%2Fwoscc%2Ffull-record%2FWOS:000693002800001","View Full Record in Web of Science")</f>
        <v>View Full Record in Web of Science</v>
      </c>
    </row>
    <row r="416" spans="1:71" hidden="1" x14ac:dyDescent="0.2">
      <c r="A416" t="s">
        <v>715</v>
      </c>
      <c r="B416" t="s">
        <v>10844</v>
      </c>
      <c r="C416" t="s">
        <v>72</v>
      </c>
      <c r="D416" t="s">
        <v>10845</v>
      </c>
      <c r="E416" t="s">
        <v>72</v>
      </c>
      <c r="F416" t="s">
        <v>10846</v>
      </c>
      <c r="G416" t="s">
        <v>72</v>
      </c>
      <c r="H416" t="s">
        <v>72</v>
      </c>
      <c r="I416" t="s">
        <v>10847</v>
      </c>
      <c r="J416" t="s">
        <v>10848</v>
      </c>
      <c r="K416" t="s">
        <v>10849</v>
      </c>
      <c r="L416" t="s">
        <v>72</v>
      </c>
      <c r="M416" t="s">
        <v>76</v>
      </c>
      <c r="N416" t="s">
        <v>567</v>
      </c>
      <c r="O416" t="s">
        <v>72</v>
      </c>
      <c r="P416" t="s">
        <v>72</v>
      </c>
      <c r="Q416" t="s">
        <v>72</v>
      </c>
      <c r="R416" t="s">
        <v>72</v>
      </c>
      <c r="S416" t="s">
        <v>72</v>
      </c>
      <c r="T416" t="s">
        <v>10850</v>
      </c>
      <c r="U416" t="s">
        <v>10851</v>
      </c>
      <c r="V416" t="s">
        <v>10852</v>
      </c>
      <c r="W416" t="s">
        <v>10853</v>
      </c>
      <c r="X416" t="s">
        <v>10854</v>
      </c>
      <c r="Y416" t="s">
        <v>10855</v>
      </c>
      <c r="Z416" t="s">
        <v>72</v>
      </c>
      <c r="AA416" t="s">
        <v>72</v>
      </c>
      <c r="AB416" t="s">
        <v>72</v>
      </c>
      <c r="AC416" t="s">
        <v>10856</v>
      </c>
      <c r="AD416" t="s">
        <v>10857</v>
      </c>
      <c r="AE416" t="s">
        <v>10858</v>
      </c>
      <c r="AF416" t="s">
        <v>72</v>
      </c>
      <c r="AG416">
        <v>69</v>
      </c>
      <c r="AH416">
        <v>0</v>
      </c>
      <c r="AI416">
        <v>0</v>
      </c>
      <c r="AJ416">
        <v>0</v>
      </c>
      <c r="AK416">
        <v>2</v>
      </c>
      <c r="AL416" t="s">
        <v>1165</v>
      </c>
      <c r="AM416" t="s">
        <v>1166</v>
      </c>
      <c r="AN416" t="s">
        <v>10859</v>
      </c>
      <c r="AO416" t="s">
        <v>10860</v>
      </c>
      <c r="AP416" t="s">
        <v>72</v>
      </c>
      <c r="AQ416" t="s">
        <v>10861</v>
      </c>
      <c r="AR416" t="s">
        <v>10862</v>
      </c>
      <c r="AS416" t="s">
        <v>72</v>
      </c>
      <c r="AT416" t="s">
        <v>72</v>
      </c>
      <c r="AU416">
        <v>2019</v>
      </c>
      <c r="AV416">
        <v>5</v>
      </c>
      <c r="AW416" t="s">
        <v>72</v>
      </c>
      <c r="AX416" t="s">
        <v>72</v>
      </c>
      <c r="AY416" t="s">
        <v>72</v>
      </c>
      <c r="AZ416" t="s">
        <v>72</v>
      </c>
      <c r="BA416" t="s">
        <v>72</v>
      </c>
      <c r="BB416">
        <v>1</v>
      </c>
      <c r="BC416">
        <v>17</v>
      </c>
      <c r="BD416" t="s">
        <v>72</v>
      </c>
      <c r="BE416" t="s">
        <v>10863</v>
      </c>
      <c r="BF416" t="str">
        <f>HYPERLINK("http://dx.doi.org/10.1108/S2056-375220190000005002","http://dx.doi.org/10.1108/S2056-375220190000005002")</f>
        <v>http://dx.doi.org/10.1108/S2056-375220190000005002</v>
      </c>
      <c r="BG416" t="s">
        <v>72</v>
      </c>
      <c r="BH416" t="s">
        <v>72</v>
      </c>
      <c r="BI416">
        <v>17</v>
      </c>
      <c r="BJ416" t="s">
        <v>3408</v>
      </c>
      <c r="BK416" t="s">
        <v>3408</v>
      </c>
      <c r="BL416" t="s">
        <v>10864</v>
      </c>
      <c r="BM416" t="s">
        <v>72</v>
      </c>
      <c r="BN416" t="s">
        <v>72</v>
      </c>
      <c r="BO416" t="s">
        <v>72</v>
      </c>
      <c r="BP416" t="s">
        <v>72</v>
      </c>
      <c r="BQ416" t="s">
        <v>100</v>
      </c>
      <c r="BR416" t="s">
        <v>10865</v>
      </c>
      <c r="BS416" t="str">
        <f>HYPERLINK("https%3A%2F%2Fwww.webofscience.com%2Fwos%2Fwoscc%2Ffull-record%2FWOS:000505228700002","View Full Record in Web of Science")</f>
        <v>View Full Record in Web of Science</v>
      </c>
    </row>
    <row r="417" spans="1:71" hidden="1" x14ac:dyDescent="0.2">
      <c r="A417" t="s">
        <v>70</v>
      </c>
      <c r="B417" t="s">
        <v>12930</v>
      </c>
      <c r="C417" t="s">
        <v>72</v>
      </c>
      <c r="D417" t="s">
        <v>72</v>
      </c>
      <c r="E417" t="s">
        <v>72</v>
      </c>
      <c r="F417" t="s">
        <v>12931</v>
      </c>
      <c r="G417" t="s">
        <v>72</v>
      </c>
      <c r="H417" t="s">
        <v>72</v>
      </c>
      <c r="I417" t="s">
        <v>12932</v>
      </c>
      <c r="J417" t="s">
        <v>12933</v>
      </c>
      <c r="K417" t="s">
        <v>72</v>
      </c>
      <c r="L417" t="s">
        <v>72</v>
      </c>
      <c r="M417" t="s">
        <v>76</v>
      </c>
      <c r="N417" t="s">
        <v>77</v>
      </c>
      <c r="O417" t="s">
        <v>72</v>
      </c>
      <c r="P417" t="s">
        <v>72</v>
      </c>
      <c r="Q417" t="s">
        <v>72</v>
      </c>
      <c r="R417" t="s">
        <v>72</v>
      </c>
      <c r="S417" t="s">
        <v>72</v>
      </c>
      <c r="T417" t="s">
        <v>12934</v>
      </c>
      <c r="U417" t="s">
        <v>12935</v>
      </c>
      <c r="V417" t="s">
        <v>12936</v>
      </c>
      <c r="W417" t="s">
        <v>12937</v>
      </c>
      <c r="X417" t="s">
        <v>12938</v>
      </c>
      <c r="Y417" t="s">
        <v>12939</v>
      </c>
      <c r="Z417" t="s">
        <v>12940</v>
      </c>
      <c r="AA417" t="s">
        <v>12941</v>
      </c>
      <c r="AB417" t="s">
        <v>12942</v>
      </c>
      <c r="AC417" t="s">
        <v>72</v>
      </c>
      <c r="AD417" t="s">
        <v>72</v>
      </c>
      <c r="AE417" t="s">
        <v>72</v>
      </c>
      <c r="AF417" t="s">
        <v>72</v>
      </c>
      <c r="AG417">
        <v>125</v>
      </c>
      <c r="AH417">
        <v>2</v>
      </c>
      <c r="AI417">
        <v>2</v>
      </c>
      <c r="AJ417">
        <v>2</v>
      </c>
      <c r="AK417">
        <v>4</v>
      </c>
      <c r="AL417" t="s">
        <v>336</v>
      </c>
      <c r="AM417" t="s">
        <v>337</v>
      </c>
      <c r="AN417" t="s">
        <v>338</v>
      </c>
      <c r="AO417" t="s">
        <v>12943</v>
      </c>
      <c r="AP417" t="s">
        <v>12944</v>
      </c>
      <c r="AQ417" t="s">
        <v>72</v>
      </c>
      <c r="AR417" t="s">
        <v>12945</v>
      </c>
      <c r="AS417" t="s">
        <v>12946</v>
      </c>
      <c r="AT417" t="s">
        <v>395</v>
      </c>
      <c r="AU417">
        <v>2022</v>
      </c>
      <c r="AV417">
        <v>36</v>
      </c>
      <c r="AW417">
        <v>5</v>
      </c>
      <c r="AX417" t="s">
        <v>72</v>
      </c>
      <c r="AY417" t="s">
        <v>72</v>
      </c>
      <c r="AZ417" t="s">
        <v>72</v>
      </c>
      <c r="BA417" t="s">
        <v>72</v>
      </c>
      <c r="BB417">
        <v>493</v>
      </c>
      <c r="BC417">
        <v>511</v>
      </c>
      <c r="BD417">
        <v>9504222211059744</v>
      </c>
      <c r="BE417" t="s">
        <v>12947</v>
      </c>
      <c r="BF417" t="str">
        <f>HYPERLINK("http://dx.doi.org/10.1177/09504222211059744","http://dx.doi.org/10.1177/09504222211059744")</f>
        <v>http://dx.doi.org/10.1177/09504222211059744</v>
      </c>
      <c r="BG417" t="s">
        <v>72</v>
      </c>
      <c r="BH417" t="s">
        <v>1288</v>
      </c>
      <c r="BI417">
        <v>19</v>
      </c>
      <c r="BJ417" t="s">
        <v>3408</v>
      </c>
      <c r="BK417" t="s">
        <v>3408</v>
      </c>
      <c r="BL417" t="s">
        <v>12948</v>
      </c>
      <c r="BM417" t="s">
        <v>72</v>
      </c>
      <c r="BN417" t="s">
        <v>72</v>
      </c>
      <c r="BO417" t="s">
        <v>72</v>
      </c>
      <c r="BP417" t="s">
        <v>72</v>
      </c>
      <c r="BQ417" t="s">
        <v>100</v>
      </c>
      <c r="BR417" t="s">
        <v>12949</v>
      </c>
      <c r="BS417" t="str">
        <f>HYPERLINK("https%3A%2F%2Fwww.webofscience.com%2Fwos%2Fwoscc%2Ffull-record%2FWOS:000737891500001","View Full Record in Web of Science")</f>
        <v>View Full Record in Web of Science</v>
      </c>
    </row>
    <row r="418" spans="1:71" hidden="1" x14ac:dyDescent="0.2">
      <c r="A418" t="s">
        <v>70</v>
      </c>
      <c r="B418" t="s">
        <v>14664</v>
      </c>
      <c r="C418" t="s">
        <v>72</v>
      </c>
      <c r="D418" t="s">
        <v>72</v>
      </c>
      <c r="E418" t="s">
        <v>72</v>
      </c>
      <c r="F418" t="s">
        <v>14665</v>
      </c>
      <c r="G418" t="s">
        <v>72</v>
      </c>
      <c r="H418" t="s">
        <v>72</v>
      </c>
      <c r="I418" t="s">
        <v>14666</v>
      </c>
      <c r="J418" t="s">
        <v>14667</v>
      </c>
      <c r="K418" t="s">
        <v>72</v>
      </c>
      <c r="L418" t="s">
        <v>72</v>
      </c>
      <c r="M418" t="s">
        <v>76</v>
      </c>
      <c r="N418" t="s">
        <v>1503</v>
      </c>
      <c r="O418" t="s">
        <v>72</v>
      </c>
      <c r="P418" t="s">
        <v>72</v>
      </c>
      <c r="Q418" t="s">
        <v>72</v>
      </c>
      <c r="R418" t="s">
        <v>72</v>
      </c>
      <c r="S418" t="s">
        <v>72</v>
      </c>
      <c r="T418" t="s">
        <v>14668</v>
      </c>
      <c r="U418" t="s">
        <v>14669</v>
      </c>
      <c r="V418" t="s">
        <v>14670</v>
      </c>
      <c r="W418" t="s">
        <v>14671</v>
      </c>
      <c r="X418" t="s">
        <v>14672</v>
      </c>
      <c r="Y418" t="s">
        <v>14673</v>
      </c>
      <c r="Z418" t="s">
        <v>14674</v>
      </c>
      <c r="AA418" t="s">
        <v>14675</v>
      </c>
      <c r="AB418" t="s">
        <v>14676</v>
      </c>
      <c r="AC418" t="s">
        <v>14677</v>
      </c>
      <c r="AD418" t="s">
        <v>14677</v>
      </c>
      <c r="AE418" t="s">
        <v>14678</v>
      </c>
      <c r="AF418" t="s">
        <v>72</v>
      </c>
      <c r="AG418">
        <v>108</v>
      </c>
      <c r="AH418">
        <v>0</v>
      </c>
      <c r="AI418">
        <v>0</v>
      </c>
      <c r="AJ418">
        <v>23</v>
      </c>
      <c r="AK418">
        <v>24</v>
      </c>
      <c r="AL418" t="s">
        <v>88</v>
      </c>
      <c r="AM418" t="s">
        <v>707</v>
      </c>
      <c r="AN418" t="s">
        <v>1987</v>
      </c>
      <c r="AO418" t="s">
        <v>14679</v>
      </c>
      <c r="AP418" t="s">
        <v>14680</v>
      </c>
      <c r="AQ418" t="s">
        <v>72</v>
      </c>
      <c r="AR418" t="s">
        <v>14681</v>
      </c>
      <c r="AS418" t="s">
        <v>14682</v>
      </c>
      <c r="AT418" t="s">
        <v>95</v>
      </c>
      <c r="AU418">
        <v>2022</v>
      </c>
      <c r="AV418">
        <v>27</v>
      </c>
      <c r="AW418">
        <v>8</v>
      </c>
      <c r="AX418" t="s">
        <v>72</v>
      </c>
      <c r="AY418" t="s">
        <v>72</v>
      </c>
      <c r="AZ418" t="s">
        <v>72</v>
      </c>
      <c r="BA418" t="s">
        <v>72</v>
      </c>
      <c r="BB418">
        <v>11355</v>
      </c>
      <c r="BC418">
        <v>11410</v>
      </c>
      <c r="BD418" t="s">
        <v>72</v>
      </c>
      <c r="BE418" t="s">
        <v>14683</v>
      </c>
      <c r="BF418" t="str">
        <f>HYPERLINK("http://dx.doi.org/10.1007/s10639-022-11065-w","http://dx.doi.org/10.1007/s10639-022-11065-w")</f>
        <v>http://dx.doi.org/10.1007/s10639-022-11065-w</v>
      </c>
      <c r="BG418" t="s">
        <v>72</v>
      </c>
      <c r="BH418" t="s">
        <v>1403</v>
      </c>
      <c r="BI418">
        <v>56</v>
      </c>
      <c r="BJ418" t="s">
        <v>3408</v>
      </c>
      <c r="BK418" t="s">
        <v>3408</v>
      </c>
      <c r="BL418" t="s">
        <v>14684</v>
      </c>
      <c r="BM418" t="s">
        <v>72</v>
      </c>
      <c r="BN418" t="s">
        <v>72</v>
      </c>
      <c r="BO418" t="s">
        <v>72</v>
      </c>
      <c r="BP418" t="s">
        <v>72</v>
      </c>
      <c r="BQ418" t="s">
        <v>100</v>
      </c>
      <c r="BR418" t="s">
        <v>14685</v>
      </c>
      <c r="BS418" t="str">
        <f>HYPERLINK("https%3A%2F%2Fwww.webofscience.com%2Fwos%2Fwoscc%2Ffull-record%2FWOS:000791636100001","View Full Record in Web of Science")</f>
        <v>View Full Record in Web of Science</v>
      </c>
    </row>
    <row r="419" spans="1:71" hidden="1" x14ac:dyDescent="0.2">
      <c r="A419" t="s">
        <v>305</v>
      </c>
      <c r="B419" t="s">
        <v>15258</v>
      </c>
      <c r="C419" t="s">
        <v>72</v>
      </c>
      <c r="D419" t="s">
        <v>9188</v>
      </c>
      <c r="E419" t="s">
        <v>72</v>
      </c>
      <c r="F419" t="s">
        <v>15259</v>
      </c>
      <c r="G419" t="s">
        <v>72</v>
      </c>
      <c r="H419" t="s">
        <v>72</v>
      </c>
      <c r="I419" t="s">
        <v>15260</v>
      </c>
      <c r="J419" t="s">
        <v>15261</v>
      </c>
      <c r="K419" t="s">
        <v>15262</v>
      </c>
      <c r="L419" t="s">
        <v>72</v>
      </c>
      <c r="M419" t="s">
        <v>76</v>
      </c>
      <c r="N419" t="s">
        <v>312</v>
      </c>
      <c r="O419" t="s">
        <v>15263</v>
      </c>
      <c r="P419" t="s">
        <v>609</v>
      </c>
      <c r="Q419" t="s">
        <v>15264</v>
      </c>
      <c r="R419" t="s">
        <v>72</v>
      </c>
      <c r="S419" t="s">
        <v>72</v>
      </c>
      <c r="T419" t="s">
        <v>15265</v>
      </c>
      <c r="U419" t="s">
        <v>72</v>
      </c>
      <c r="V419" t="s">
        <v>15266</v>
      </c>
      <c r="W419" t="s">
        <v>15267</v>
      </c>
      <c r="X419" t="s">
        <v>15268</v>
      </c>
      <c r="Y419" t="s">
        <v>15269</v>
      </c>
      <c r="Z419" t="s">
        <v>72</v>
      </c>
      <c r="AA419" t="s">
        <v>72</v>
      </c>
      <c r="AB419" t="s">
        <v>72</v>
      </c>
      <c r="AC419" t="s">
        <v>15270</v>
      </c>
      <c r="AD419" t="s">
        <v>15270</v>
      </c>
      <c r="AE419" t="s">
        <v>15271</v>
      </c>
      <c r="AF419" t="s">
        <v>72</v>
      </c>
      <c r="AG419">
        <v>13</v>
      </c>
      <c r="AH419">
        <v>0</v>
      </c>
      <c r="AI419">
        <v>0</v>
      </c>
      <c r="AJ419">
        <v>1</v>
      </c>
      <c r="AK419">
        <v>3</v>
      </c>
      <c r="AL419" t="s">
        <v>9206</v>
      </c>
      <c r="AM419" t="s">
        <v>9207</v>
      </c>
      <c r="AN419" t="s">
        <v>9208</v>
      </c>
      <c r="AO419" t="s">
        <v>15272</v>
      </c>
      <c r="AP419" t="s">
        <v>72</v>
      </c>
      <c r="AQ419" t="s">
        <v>15273</v>
      </c>
      <c r="AR419" t="s">
        <v>15274</v>
      </c>
      <c r="AS419" t="s">
        <v>72</v>
      </c>
      <c r="AT419" t="s">
        <v>72</v>
      </c>
      <c r="AU419">
        <v>2019</v>
      </c>
      <c r="AV419" t="s">
        <v>72</v>
      </c>
      <c r="AW419" t="s">
        <v>72</v>
      </c>
      <c r="AX419" t="s">
        <v>72</v>
      </c>
      <c r="AY419" t="s">
        <v>72</v>
      </c>
      <c r="AZ419" t="s">
        <v>72</v>
      </c>
      <c r="BA419" t="s">
        <v>72</v>
      </c>
      <c r="BB419">
        <v>6398</v>
      </c>
      <c r="BC419">
        <v>6404</v>
      </c>
      <c r="BD419" t="s">
        <v>72</v>
      </c>
      <c r="BE419" t="s">
        <v>72</v>
      </c>
      <c r="BF419" t="s">
        <v>72</v>
      </c>
      <c r="BG419" t="s">
        <v>72</v>
      </c>
      <c r="BH419" t="s">
        <v>72</v>
      </c>
      <c r="BI419">
        <v>7</v>
      </c>
      <c r="BJ419" t="s">
        <v>3408</v>
      </c>
      <c r="BK419" t="s">
        <v>3408</v>
      </c>
      <c r="BL419" t="s">
        <v>15275</v>
      </c>
      <c r="BM419" t="s">
        <v>72</v>
      </c>
      <c r="BN419" t="s">
        <v>72</v>
      </c>
      <c r="BO419" t="s">
        <v>72</v>
      </c>
      <c r="BP419" t="s">
        <v>72</v>
      </c>
      <c r="BQ419" t="s">
        <v>100</v>
      </c>
      <c r="BR419" t="s">
        <v>15276</v>
      </c>
      <c r="BS419" t="str">
        <f>HYPERLINK("https%3A%2F%2Fwww.webofscience.com%2Fwos%2Fwoscc%2Ffull-record%2FWOS:000530212402050","View Full Record in Web of Science")</f>
        <v>View Full Record in Web of Science</v>
      </c>
    </row>
    <row r="420" spans="1:71" hidden="1" x14ac:dyDescent="0.2">
      <c r="A420" t="s">
        <v>70</v>
      </c>
      <c r="B420" t="s">
        <v>15519</v>
      </c>
      <c r="C420" t="s">
        <v>72</v>
      </c>
      <c r="D420" t="s">
        <v>72</v>
      </c>
      <c r="E420" t="s">
        <v>72</v>
      </c>
      <c r="F420" t="s">
        <v>15520</v>
      </c>
      <c r="G420" t="s">
        <v>72</v>
      </c>
      <c r="H420" t="s">
        <v>72</v>
      </c>
      <c r="I420" t="s">
        <v>15521</v>
      </c>
      <c r="J420" t="s">
        <v>15522</v>
      </c>
      <c r="K420" t="s">
        <v>72</v>
      </c>
      <c r="L420" t="s">
        <v>72</v>
      </c>
      <c r="M420" t="s">
        <v>76</v>
      </c>
      <c r="N420" t="s">
        <v>77</v>
      </c>
      <c r="O420" t="s">
        <v>72</v>
      </c>
      <c r="P420" t="s">
        <v>72</v>
      </c>
      <c r="Q420" t="s">
        <v>72</v>
      </c>
      <c r="R420" t="s">
        <v>72</v>
      </c>
      <c r="S420" t="s">
        <v>72</v>
      </c>
      <c r="T420" t="s">
        <v>15523</v>
      </c>
      <c r="U420" t="s">
        <v>15524</v>
      </c>
      <c r="V420" t="s">
        <v>15525</v>
      </c>
      <c r="W420" t="s">
        <v>15526</v>
      </c>
      <c r="X420" t="s">
        <v>15527</v>
      </c>
      <c r="Y420" t="s">
        <v>15528</v>
      </c>
      <c r="Z420" t="s">
        <v>72</v>
      </c>
      <c r="AA420" t="s">
        <v>15529</v>
      </c>
      <c r="AB420" t="s">
        <v>15530</v>
      </c>
      <c r="AC420" t="s">
        <v>15531</v>
      </c>
      <c r="AD420" t="s">
        <v>15532</v>
      </c>
      <c r="AE420" t="s">
        <v>15533</v>
      </c>
      <c r="AF420" t="s">
        <v>72</v>
      </c>
      <c r="AG420">
        <v>35</v>
      </c>
      <c r="AH420">
        <v>1</v>
      </c>
      <c r="AI420">
        <v>1</v>
      </c>
      <c r="AJ420">
        <v>0</v>
      </c>
      <c r="AK420">
        <v>0</v>
      </c>
      <c r="AL420" t="s">
        <v>190</v>
      </c>
      <c r="AM420" t="s">
        <v>191</v>
      </c>
      <c r="AN420" t="s">
        <v>192</v>
      </c>
      <c r="AO420" t="s">
        <v>72</v>
      </c>
      <c r="AP420" t="s">
        <v>15534</v>
      </c>
      <c r="AQ420" t="s">
        <v>72</v>
      </c>
      <c r="AR420" t="s">
        <v>15522</v>
      </c>
      <c r="AS420" t="s">
        <v>15535</v>
      </c>
      <c r="AT420" t="s">
        <v>299</v>
      </c>
      <c r="AU420">
        <v>2021</v>
      </c>
      <c r="AV420">
        <v>7</v>
      </c>
      <c r="AW420" t="s">
        <v>72</v>
      </c>
      <c r="AX420" t="s">
        <v>72</v>
      </c>
      <c r="AY420" t="s">
        <v>72</v>
      </c>
      <c r="AZ420" t="s">
        <v>72</v>
      </c>
      <c r="BA420" t="s">
        <v>72</v>
      </c>
      <c r="BB420" t="s">
        <v>72</v>
      </c>
      <c r="BC420" t="s">
        <v>72</v>
      </c>
      <c r="BD420">
        <v>2.3328584211028616E+16</v>
      </c>
      <c r="BE420" t="s">
        <v>15536</v>
      </c>
      <c r="BF420" t="str">
        <f>HYPERLINK("http://dx.doi.org/10.1177/23328584211028615","http://dx.doi.org/10.1177/23328584211028615")</f>
        <v>http://dx.doi.org/10.1177/23328584211028615</v>
      </c>
      <c r="BG420" t="s">
        <v>72</v>
      </c>
      <c r="BH420" t="s">
        <v>72</v>
      </c>
      <c r="BI420">
        <v>18</v>
      </c>
      <c r="BJ420" t="s">
        <v>3408</v>
      </c>
      <c r="BK420" t="s">
        <v>3408</v>
      </c>
      <c r="BL420" t="s">
        <v>15537</v>
      </c>
      <c r="BM420" t="s">
        <v>72</v>
      </c>
      <c r="BN420" t="s">
        <v>222</v>
      </c>
      <c r="BO420" t="s">
        <v>72</v>
      </c>
      <c r="BP420" t="s">
        <v>72</v>
      </c>
      <c r="BQ420" t="s">
        <v>100</v>
      </c>
      <c r="BR420" t="s">
        <v>15538</v>
      </c>
      <c r="BS420" t="str">
        <f>HYPERLINK("https%3A%2F%2Fwww.webofscience.com%2Fwos%2Fwoscc%2Ffull-record%2FWOS:000670541900001","View Full Record in Web of Science")</f>
        <v>View Full Record in Web of Science</v>
      </c>
    </row>
    <row r="421" spans="1:71" hidden="1" x14ac:dyDescent="0.2">
      <c r="A421" t="s">
        <v>70</v>
      </c>
      <c r="B421" t="s">
        <v>15782</v>
      </c>
      <c r="C421" t="s">
        <v>72</v>
      </c>
      <c r="D421" t="s">
        <v>72</v>
      </c>
      <c r="E421" t="s">
        <v>72</v>
      </c>
      <c r="F421" t="s">
        <v>15783</v>
      </c>
      <c r="G421" t="s">
        <v>72</v>
      </c>
      <c r="H421" t="s">
        <v>72</v>
      </c>
      <c r="I421" t="s">
        <v>15784</v>
      </c>
      <c r="J421" t="s">
        <v>15785</v>
      </c>
      <c r="K421" t="s">
        <v>72</v>
      </c>
      <c r="L421" t="s">
        <v>72</v>
      </c>
      <c r="M421" t="s">
        <v>76</v>
      </c>
      <c r="N421" t="s">
        <v>77</v>
      </c>
      <c r="O421" t="s">
        <v>72</v>
      </c>
      <c r="P421" t="s">
        <v>72</v>
      </c>
      <c r="Q421" t="s">
        <v>72</v>
      </c>
      <c r="R421" t="s">
        <v>72</v>
      </c>
      <c r="S421" t="s">
        <v>72</v>
      </c>
      <c r="T421" t="s">
        <v>15786</v>
      </c>
      <c r="U421" t="s">
        <v>15787</v>
      </c>
      <c r="V421" t="s">
        <v>15788</v>
      </c>
      <c r="W421" t="s">
        <v>15789</v>
      </c>
      <c r="X421" t="s">
        <v>15790</v>
      </c>
      <c r="Y421" t="s">
        <v>15791</v>
      </c>
      <c r="Z421" t="s">
        <v>72</v>
      </c>
      <c r="AA421" t="s">
        <v>15792</v>
      </c>
      <c r="AB421" t="s">
        <v>15793</v>
      </c>
      <c r="AC421" t="s">
        <v>72</v>
      </c>
      <c r="AD421" t="s">
        <v>72</v>
      </c>
      <c r="AE421" t="s">
        <v>72</v>
      </c>
      <c r="AF421" t="s">
        <v>72</v>
      </c>
      <c r="AG421">
        <v>75</v>
      </c>
      <c r="AH421">
        <v>176</v>
      </c>
      <c r="AI421">
        <v>178</v>
      </c>
      <c r="AJ421">
        <v>9</v>
      </c>
      <c r="AK421">
        <v>256</v>
      </c>
      <c r="AL421" t="s">
        <v>15794</v>
      </c>
      <c r="AM421" t="s">
        <v>15795</v>
      </c>
      <c r="AN421" t="s">
        <v>15796</v>
      </c>
      <c r="AO421" t="s">
        <v>15797</v>
      </c>
      <c r="AP421" t="s">
        <v>72</v>
      </c>
      <c r="AQ421" t="s">
        <v>72</v>
      </c>
      <c r="AR421" t="s">
        <v>15798</v>
      </c>
      <c r="AS421" t="s">
        <v>15799</v>
      </c>
      <c r="AT421" t="s">
        <v>951</v>
      </c>
      <c r="AU421">
        <v>2014</v>
      </c>
      <c r="AV421">
        <v>15</v>
      </c>
      <c r="AW421">
        <v>5</v>
      </c>
      <c r="AX421" t="s">
        <v>72</v>
      </c>
      <c r="AY421" t="s">
        <v>72</v>
      </c>
      <c r="AZ421" t="s">
        <v>478</v>
      </c>
      <c r="BA421" t="s">
        <v>72</v>
      </c>
      <c r="BB421">
        <v>134</v>
      </c>
      <c r="BC421">
        <v>176</v>
      </c>
      <c r="BD421" t="s">
        <v>72</v>
      </c>
      <c r="BE421" t="s">
        <v>72</v>
      </c>
      <c r="BF421" t="s">
        <v>72</v>
      </c>
      <c r="BG421" t="s">
        <v>72</v>
      </c>
      <c r="BH421" t="s">
        <v>72</v>
      </c>
      <c r="BI421">
        <v>43</v>
      </c>
      <c r="BJ421" t="s">
        <v>3408</v>
      </c>
      <c r="BK421" t="s">
        <v>3408</v>
      </c>
      <c r="BL421" t="s">
        <v>15800</v>
      </c>
      <c r="BM421" t="s">
        <v>72</v>
      </c>
      <c r="BN421" t="s">
        <v>6324</v>
      </c>
      <c r="BO421" t="s">
        <v>72</v>
      </c>
      <c r="BP421" t="s">
        <v>72</v>
      </c>
      <c r="BQ421" t="s">
        <v>100</v>
      </c>
      <c r="BR421" t="s">
        <v>15801</v>
      </c>
      <c r="BS421" t="str">
        <f>HYPERLINK("https%3A%2F%2Fwww.webofscience.com%2Fwos%2Fwoscc%2Ffull-record%2FWOS:000347627100006","View Full Record in Web of Science")</f>
        <v>View Full Record in Web of Science</v>
      </c>
    </row>
    <row r="422" spans="1:71" hidden="1" x14ac:dyDescent="0.2">
      <c r="A422" t="s">
        <v>70</v>
      </c>
      <c r="B422" t="s">
        <v>16170</v>
      </c>
      <c r="C422" t="s">
        <v>72</v>
      </c>
      <c r="D422" t="s">
        <v>72</v>
      </c>
      <c r="E422" t="s">
        <v>72</v>
      </c>
      <c r="F422" t="s">
        <v>16171</v>
      </c>
      <c r="G422" t="s">
        <v>72</v>
      </c>
      <c r="H422" t="s">
        <v>72</v>
      </c>
      <c r="I422" t="s">
        <v>16172</v>
      </c>
      <c r="J422" t="s">
        <v>16173</v>
      </c>
      <c r="K422" t="s">
        <v>72</v>
      </c>
      <c r="L422" t="s">
        <v>72</v>
      </c>
      <c r="M422" t="s">
        <v>76</v>
      </c>
      <c r="N422" t="s">
        <v>77</v>
      </c>
      <c r="O422" t="s">
        <v>72</v>
      </c>
      <c r="P422" t="s">
        <v>72</v>
      </c>
      <c r="Q422" t="s">
        <v>72</v>
      </c>
      <c r="R422" t="s">
        <v>72</v>
      </c>
      <c r="S422" t="s">
        <v>72</v>
      </c>
      <c r="T422" t="s">
        <v>72</v>
      </c>
      <c r="U422" t="s">
        <v>4645</v>
      </c>
      <c r="V422" t="s">
        <v>16174</v>
      </c>
      <c r="W422" t="s">
        <v>16175</v>
      </c>
      <c r="X422" t="s">
        <v>16176</v>
      </c>
      <c r="Y422" t="s">
        <v>16177</v>
      </c>
      <c r="Z422" t="s">
        <v>16178</v>
      </c>
      <c r="AA422" t="s">
        <v>72</v>
      </c>
      <c r="AB422" t="s">
        <v>72</v>
      </c>
      <c r="AC422" t="s">
        <v>72</v>
      </c>
      <c r="AD422" t="s">
        <v>72</v>
      </c>
      <c r="AE422" t="s">
        <v>72</v>
      </c>
      <c r="AF422" t="s">
        <v>72</v>
      </c>
      <c r="AG422">
        <v>31</v>
      </c>
      <c r="AH422">
        <v>0</v>
      </c>
      <c r="AI422">
        <v>0</v>
      </c>
      <c r="AJ422">
        <v>0</v>
      </c>
      <c r="AK422">
        <v>0</v>
      </c>
      <c r="AL422" t="s">
        <v>16179</v>
      </c>
      <c r="AM422" t="s">
        <v>16180</v>
      </c>
      <c r="AN422" t="s">
        <v>16181</v>
      </c>
      <c r="AO422" t="s">
        <v>72</v>
      </c>
      <c r="AP422" t="s">
        <v>16182</v>
      </c>
      <c r="AQ422" t="s">
        <v>72</v>
      </c>
      <c r="AR422" t="s">
        <v>16183</v>
      </c>
      <c r="AS422" t="s">
        <v>16184</v>
      </c>
      <c r="AT422" t="s">
        <v>299</v>
      </c>
      <c r="AU422">
        <v>2017</v>
      </c>
      <c r="AV422">
        <v>7</v>
      </c>
      <c r="AW422">
        <v>6</v>
      </c>
      <c r="AX422" t="s">
        <v>72</v>
      </c>
      <c r="AY422" t="s">
        <v>72</v>
      </c>
      <c r="AZ422" t="s">
        <v>72</v>
      </c>
      <c r="BA422" t="s">
        <v>72</v>
      </c>
      <c r="BB422">
        <v>98</v>
      </c>
      <c r="BC422">
        <v>107</v>
      </c>
      <c r="BD422" t="s">
        <v>72</v>
      </c>
      <c r="BE422" t="s">
        <v>72</v>
      </c>
      <c r="BF422" t="s">
        <v>72</v>
      </c>
      <c r="BG422" t="s">
        <v>72</v>
      </c>
      <c r="BH422" t="s">
        <v>72</v>
      </c>
      <c r="BI422">
        <v>10</v>
      </c>
      <c r="BJ422" t="s">
        <v>3408</v>
      </c>
      <c r="BK422" t="s">
        <v>3408</v>
      </c>
      <c r="BL422" t="s">
        <v>16185</v>
      </c>
      <c r="BM422" t="s">
        <v>72</v>
      </c>
      <c r="BN422" t="s">
        <v>72</v>
      </c>
      <c r="BO422" t="s">
        <v>72</v>
      </c>
      <c r="BP422" t="s">
        <v>72</v>
      </c>
      <c r="BQ422" t="s">
        <v>100</v>
      </c>
      <c r="BR422" t="s">
        <v>16186</v>
      </c>
      <c r="BS422" t="str">
        <f>HYPERLINK("https%3A%2F%2Fwww.webofscience.com%2Fwos%2Fwoscc%2Ffull-record%2FWOS:000411704600007","View Full Record in Web of Science")</f>
        <v>View Full Record in Web of Science</v>
      </c>
    </row>
    <row r="423" spans="1:71" hidden="1" x14ac:dyDescent="0.2">
      <c r="A423" t="s">
        <v>70</v>
      </c>
      <c r="B423" t="s">
        <v>16468</v>
      </c>
      <c r="C423" t="s">
        <v>72</v>
      </c>
      <c r="D423" t="s">
        <v>72</v>
      </c>
      <c r="E423" t="s">
        <v>72</v>
      </c>
      <c r="F423" t="s">
        <v>16469</v>
      </c>
      <c r="G423" t="s">
        <v>72</v>
      </c>
      <c r="H423" t="s">
        <v>72</v>
      </c>
      <c r="I423" t="s">
        <v>16470</v>
      </c>
      <c r="J423" t="s">
        <v>16471</v>
      </c>
      <c r="K423" t="s">
        <v>72</v>
      </c>
      <c r="L423" t="s">
        <v>72</v>
      </c>
      <c r="M423" t="s">
        <v>76</v>
      </c>
      <c r="N423" t="s">
        <v>77</v>
      </c>
      <c r="O423" t="s">
        <v>72</v>
      </c>
      <c r="P423" t="s">
        <v>72</v>
      </c>
      <c r="Q423" t="s">
        <v>72</v>
      </c>
      <c r="R423" t="s">
        <v>72</v>
      </c>
      <c r="S423" t="s">
        <v>72</v>
      </c>
      <c r="T423" t="s">
        <v>16472</v>
      </c>
      <c r="U423" t="s">
        <v>16473</v>
      </c>
      <c r="V423" t="s">
        <v>16474</v>
      </c>
      <c r="W423" t="s">
        <v>16475</v>
      </c>
      <c r="X423" t="s">
        <v>16476</v>
      </c>
      <c r="Y423" t="s">
        <v>16477</v>
      </c>
      <c r="Z423" t="s">
        <v>16478</v>
      </c>
      <c r="AA423" t="s">
        <v>16479</v>
      </c>
      <c r="AB423" t="s">
        <v>16480</v>
      </c>
      <c r="AC423" t="s">
        <v>16481</v>
      </c>
      <c r="AD423" t="s">
        <v>16481</v>
      </c>
      <c r="AE423" t="s">
        <v>16482</v>
      </c>
      <c r="AF423" t="s">
        <v>72</v>
      </c>
      <c r="AG423">
        <v>43</v>
      </c>
      <c r="AH423">
        <v>0</v>
      </c>
      <c r="AI423">
        <v>0</v>
      </c>
      <c r="AJ423">
        <v>3</v>
      </c>
      <c r="AK423">
        <v>3</v>
      </c>
      <c r="AL423" t="s">
        <v>364</v>
      </c>
      <c r="AM423" t="s">
        <v>365</v>
      </c>
      <c r="AN423" t="s">
        <v>366</v>
      </c>
      <c r="AO423" t="s">
        <v>16483</v>
      </c>
      <c r="AP423" t="s">
        <v>16484</v>
      </c>
      <c r="AQ423" t="s">
        <v>72</v>
      </c>
      <c r="AR423" t="s">
        <v>16485</v>
      </c>
      <c r="AS423" t="s">
        <v>16486</v>
      </c>
      <c r="AT423" t="s">
        <v>16487</v>
      </c>
      <c r="AU423">
        <v>2022</v>
      </c>
      <c r="AV423">
        <v>35</v>
      </c>
      <c r="AW423" t="s">
        <v>16488</v>
      </c>
      <c r="AX423" t="s">
        <v>72</v>
      </c>
      <c r="AY423" t="s">
        <v>72</v>
      </c>
      <c r="AZ423" t="s">
        <v>72</v>
      </c>
      <c r="BA423" t="s">
        <v>72</v>
      </c>
      <c r="BB423">
        <v>614</v>
      </c>
      <c r="BC423">
        <v>640</v>
      </c>
      <c r="BD423" t="s">
        <v>72</v>
      </c>
      <c r="BE423" t="s">
        <v>16489</v>
      </c>
      <c r="BF423" t="str">
        <f>HYPERLINK("http://dx.doi.org/10.1080/13639080.2022.2126968","http://dx.doi.org/10.1080/13639080.2022.2126968")</f>
        <v>http://dx.doi.org/10.1080/13639080.2022.2126968</v>
      </c>
      <c r="BG423" t="s">
        <v>72</v>
      </c>
      <c r="BH423" t="s">
        <v>11392</v>
      </c>
      <c r="BI423">
        <v>27</v>
      </c>
      <c r="BJ423" t="s">
        <v>3408</v>
      </c>
      <c r="BK423" t="s">
        <v>3408</v>
      </c>
      <c r="BL423" t="s">
        <v>16490</v>
      </c>
      <c r="BM423" t="s">
        <v>72</v>
      </c>
      <c r="BN423" t="s">
        <v>2403</v>
      </c>
      <c r="BO423" t="s">
        <v>72</v>
      </c>
      <c r="BP423" t="s">
        <v>72</v>
      </c>
      <c r="BQ423" t="s">
        <v>100</v>
      </c>
      <c r="BR423" t="s">
        <v>16491</v>
      </c>
      <c r="BS423" t="str">
        <f>HYPERLINK("https%3A%2F%2Fwww.webofscience.com%2Fwos%2Fwoscc%2Ffull-record%2FWOS:000860671600001","View Full Record in Web of Science")</f>
        <v>View Full Record in Web of Science</v>
      </c>
    </row>
    <row r="424" spans="1:71" hidden="1" x14ac:dyDescent="0.2">
      <c r="A424" t="s">
        <v>305</v>
      </c>
      <c r="B424" t="s">
        <v>6727</v>
      </c>
      <c r="C424" t="s">
        <v>72</v>
      </c>
      <c r="D424" t="s">
        <v>72</v>
      </c>
      <c r="E424" t="s">
        <v>1102</v>
      </c>
      <c r="F424" t="s">
        <v>6728</v>
      </c>
      <c r="G424" t="s">
        <v>72</v>
      </c>
      <c r="H424" t="s">
        <v>72</v>
      </c>
      <c r="I424" t="s">
        <v>6729</v>
      </c>
      <c r="J424" t="s">
        <v>6730</v>
      </c>
      <c r="K424" t="s">
        <v>6731</v>
      </c>
      <c r="L424" t="s">
        <v>72</v>
      </c>
      <c r="M424" t="s">
        <v>76</v>
      </c>
      <c r="N424" t="s">
        <v>312</v>
      </c>
      <c r="O424" t="s">
        <v>6732</v>
      </c>
      <c r="P424" t="s">
        <v>6733</v>
      </c>
      <c r="Q424" t="s">
        <v>6734</v>
      </c>
      <c r="R424" t="s">
        <v>6735</v>
      </c>
      <c r="S424" t="s">
        <v>72</v>
      </c>
      <c r="T424" t="s">
        <v>6736</v>
      </c>
      <c r="U424" t="s">
        <v>72</v>
      </c>
      <c r="V424" t="s">
        <v>6737</v>
      </c>
      <c r="W424" t="s">
        <v>6738</v>
      </c>
      <c r="X424" t="s">
        <v>6739</v>
      </c>
      <c r="Y424" t="s">
        <v>6740</v>
      </c>
      <c r="Z424" t="s">
        <v>72</v>
      </c>
      <c r="AA424" t="s">
        <v>6741</v>
      </c>
      <c r="AB424" t="s">
        <v>6742</v>
      </c>
      <c r="AC424" t="s">
        <v>72</v>
      </c>
      <c r="AD424" t="s">
        <v>72</v>
      </c>
      <c r="AE424" t="s">
        <v>72</v>
      </c>
      <c r="AF424" t="s">
        <v>72</v>
      </c>
      <c r="AG424">
        <v>6</v>
      </c>
      <c r="AH424">
        <v>1</v>
      </c>
      <c r="AI424">
        <v>1</v>
      </c>
      <c r="AJ424">
        <v>0</v>
      </c>
      <c r="AK424">
        <v>1</v>
      </c>
      <c r="AL424" t="s">
        <v>1102</v>
      </c>
      <c r="AM424" t="s">
        <v>707</v>
      </c>
      <c r="AN424" t="s">
        <v>1121</v>
      </c>
      <c r="AO424" t="s">
        <v>6743</v>
      </c>
      <c r="AP424" t="s">
        <v>72</v>
      </c>
      <c r="AQ424" t="s">
        <v>6744</v>
      </c>
      <c r="AR424" t="s">
        <v>6745</v>
      </c>
      <c r="AS424" t="s">
        <v>72</v>
      </c>
      <c r="AT424" t="s">
        <v>72</v>
      </c>
      <c r="AU424">
        <v>2014</v>
      </c>
      <c r="AV424" t="s">
        <v>72</v>
      </c>
      <c r="AW424" t="s">
        <v>72</v>
      </c>
      <c r="AX424" t="s">
        <v>72</v>
      </c>
      <c r="AY424" t="s">
        <v>72</v>
      </c>
      <c r="AZ424" t="s">
        <v>72</v>
      </c>
      <c r="BA424" t="s">
        <v>72</v>
      </c>
      <c r="BB424">
        <v>71</v>
      </c>
      <c r="BC424">
        <v>74</v>
      </c>
      <c r="BD424" t="s">
        <v>72</v>
      </c>
      <c r="BE424" t="s">
        <v>72</v>
      </c>
      <c r="BF424" t="s">
        <v>72</v>
      </c>
      <c r="BG424" t="s">
        <v>72</v>
      </c>
      <c r="BH424" t="s">
        <v>72</v>
      </c>
      <c r="BI424">
        <v>4</v>
      </c>
      <c r="BJ424" t="s">
        <v>6746</v>
      </c>
      <c r="BK424" t="s">
        <v>6747</v>
      </c>
      <c r="BL424" t="s">
        <v>6748</v>
      </c>
      <c r="BM424" t="s">
        <v>72</v>
      </c>
      <c r="BN424" t="s">
        <v>72</v>
      </c>
      <c r="BO424" t="s">
        <v>72</v>
      </c>
      <c r="BP424" t="s">
        <v>72</v>
      </c>
      <c r="BQ424" t="s">
        <v>100</v>
      </c>
      <c r="BR424" t="s">
        <v>6749</v>
      </c>
      <c r="BS424" t="str">
        <f>HYPERLINK("https%3A%2F%2Fwww.webofscience.com%2Fwos%2Fwoscc%2Ffull-record%2FWOS:000380490600017","View Full Record in Web of Science")</f>
        <v>View Full Record in Web of Science</v>
      </c>
    </row>
    <row r="425" spans="1:71" hidden="1" x14ac:dyDescent="0.2">
      <c r="A425" t="s">
        <v>305</v>
      </c>
      <c r="B425" t="s">
        <v>7887</v>
      </c>
      <c r="C425" t="s">
        <v>72</v>
      </c>
      <c r="D425" t="s">
        <v>72</v>
      </c>
      <c r="E425" t="s">
        <v>1102</v>
      </c>
      <c r="F425" t="s">
        <v>7888</v>
      </c>
      <c r="G425" t="s">
        <v>72</v>
      </c>
      <c r="H425" t="s">
        <v>72</v>
      </c>
      <c r="I425" t="s">
        <v>7889</v>
      </c>
      <c r="J425" t="s">
        <v>7890</v>
      </c>
      <c r="K425" t="s">
        <v>6731</v>
      </c>
      <c r="L425" t="s">
        <v>72</v>
      </c>
      <c r="M425" t="s">
        <v>76</v>
      </c>
      <c r="N425" t="s">
        <v>312</v>
      </c>
      <c r="O425" t="s">
        <v>7891</v>
      </c>
      <c r="P425" t="s">
        <v>7892</v>
      </c>
      <c r="Q425" t="s">
        <v>7893</v>
      </c>
      <c r="R425" t="s">
        <v>1102</v>
      </c>
      <c r="S425" t="s">
        <v>72</v>
      </c>
      <c r="T425" t="s">
        <v>7894</v>
      </c>
      <c r="U425" t="s">
        <v>72</v>
      </c>
      <c r="V425" t="s">
        <v>7895</v>
      </c>
      <c r="W425" t="s">
        <v>72</v>
      </c>
      <c r="X425" t="s">
        <v>72</v>
      </c>
      <c r="Y425" t="s">
        <v>72</v>
      </c>
      <c r="Z425" t="s">
        <v>7896</v>
      </c>
      <c r="AA425" t="s">
        <v>72</v>
      </c>
      <c r="AB425" t="s">
        <v>72</v>
      </c>
      <c r="AC425" t="s">
        <v>72</v>
      </c>
      <c r="AD425" t="s">
        <v>72</v>
      </c>
      <c r="AE425" t="s">
        <v>72</v>
      </c>
      <c r="AF425" t="s">
        <v>72</v>
      </c>
      <c r="AG425">
        <v>5</v>
      </c>
      <c r="AH425">
        <v>0</v>
      </c>
      <c r="AI425">
        <v>0</v>
      </c>
      <c r="AJ425">
        <v>2</v>
      </c>
      <c r="AK425">
        <v>8</v>
      </c>
      <c r="AL425" t="s">
        <v>1102</v>
      </c>
      <c r="AM425" t="s">
        <v>707</v>
      </c>
      <c r="AN425" t="s">
        <v>1121</v>
      </c>
      <c r="AO425" t="s">
        <v>6743</v>
      </c>
      <c r="AP425" t="s">
        <v>72</v>
      </c>
      <c r="AQ425" t="s">
        <v>7897</v>
      </c>
      <c r="AR425" t="s">
        <v>6745</v>
      </c>
      <c r="AS425" t="s">
        <v>72</v>
      </c>
      <c r="AT425" t="s">
        <v>72</v>
      </c>
      <c r="AU425">
        <v>2008</v>
      </c>
      <c r="AV425" t="s">
        <v>72</v>
      </c>
      <c r="AW425" t="s">
        <v>72</v>
      </c>
      <c r="AX425" t="s">
        <v>72</v>
      </c>
      <c r="AY425" t="s">
        <v>72</v>
      </c>
      <c r="AZ425" t="s">
        <v>72</v>
      </c>
      <c r="BA425" t="s">
        <v>72</v>
      </c>
      <c r="BB425">
        <v>672</v>
      </c>
      <c r="BC425">
        <v>676</v>
      </c>
      <c r="BD425" t="s">
        <v>72</v>
      </c>
      <c r="BE425" t="s">
        <v>72</v>
      </c>
      <c r="BF425" t="s">
        <v>72</v>
      </c>
      <c r="BG425" t="s">
        <v>72</v>
      </c>
      <c r="BH425" t="s">
        <v>72</v>
      </c>
      <c r="BI425">
        <v>5</v>
      </c>
      <c r="BJ425" t="s">
        <v>7898</v>
      </c>
      <c r="BK425" t="s">
        <v>6747</v>
      </c>
      <c r="BL425" t="s">
        <v>7899</v>
      </c>
      <c r="BM425" t="s">
        <v>72</v>
      </c>
      <c r="BN425" t="s">
        <v>72</v>
      </c>
      <c r="BO425" t="s">
        <v>72</v>
      </c>
      <c r="BP425" t="s">
        <v>72</v>
      </c>
      <c r="BQ425" t="s">
        <v>100</v>
      </c>
      <c r="BR425" t="s">
        <v>7900</v>
      </c>
      <c r="BS425" t="str">
        <f>HYPERLINK("https%3A%2F%2Fwww.webofscience.com%2Fwos%2Fwoscc%2Ffull-record%2FWOS:000271669200154","View Full Record in Web of Science")</f>
        <v>View Full Record in Web of Science</v>
      </c>
    </row>
    <row r="426" spans="1:71" hidden="1" x14ac:dyDescent="0.2">
      <c r="A426" t="s">
        <v>305</v>
      </c>
      <c r="B426" t="s">
        <v>10386</v>
      </c>
      <c r="C426" t="s">
        <v>72</v>
      </c>
      <c r="D426" t="s">
        <v>72</v>
      </c>
      <c r="E426" t="s">
        <v>1102</v>
      </c>
      <c r="F426" t="s">
        <v>10387</v>
      </c>
      <c r="G426" t="s">
        <v>72</v>
      </c>
      <c r="H426" t="s">
        <v>72</v>
      </c>
      <c r="I426" t="s">
        <v>10388</v>
      </c>
      <c r="J426" t="s">
        <v>10389</v>
      </c>
      <c r="K426" t="s">
        <v>6731</v>
      </c>
      <c r="L426" t="s">
        <v>72</v>
      </c>
      <c r="M426" t="s">
        <v>76</v>
      </c>
      <c r="N426" t="s">
        <v>312</v>
      </c>
      <c r="O426" t="s">
        <v>10390</v>
      </c>
      <c r="P426" t="s">
        <v>10391</v>
      </c>
      <c r="Q426" t="s">
        <v>10392</v>
      </c>
      <c r="R426" t="s">
        <v>10393</v>
      </c>
      <c r="S426" t="s">
        <v>10394</v>
      </c>
      <c r="T426" t="s">
        <v>10395</v>
      </c>
      <c r="U426" t="s">
        <v>10396</v>
      </c>
      <c r="V426" t="s">
        <v>10397</v>
      </c>
      <c r="W426" t="s">
        <v>10398</v>
      </c>
      <c r="X426" t="s">
        <v>3621</v>
      </c>
      <c r="Y426" t="s">
        <v>10399</v>
      </c>
      <c r="Z426" t="s">
        <v>10400</v>
      </c>
      <c r="AA426" t="s">
        <v>10401</v>
      </c>
      <c r="AB426" t="s">
        <v>10402</v>
      </c>
      <c r="AC426" t="s">
        <v>10403</v>
      </c>
      <c r="AD426" t="s">
        <v>2446</v>
      </c>
      <c r="AE426" t="s">
        <v>10404</v>
      </c>
      <c r="AF426" t="s">
        <v>72</v>
      </c>
      <c r="AG426">
        <v>33</v>
      </c>
      <c r="AH426">
        <v>7</v>
      </c>
      <c r="AI426">
        <v>7</v>
      </c>
      <c r="AJ426">
        <v>0</v>
      </c>
      <c r="AK426">
        <v>3</v>
      </c>
      <c r="AL426" t="s">
        <v>1102</v>
      </c>
      <c r="AM426" t="s">
        <v>707</v>
      </c>
      <c r="AN426" t="s">
        <v>1121</v>
      </c>
      <c r="AO426" t="s">
        <v>6743</v>
      </c>
      <c r="AP426" t="s">
        <v>72</v>
      </c>
      <c r="AQ426" t="s">
        <v>10405</v>
      </c>
      <c r="AR426" t="s">
        <v>6745</v>
      </c>
      <c r="AS426" t="s">
        <v>72</v>
      </c>
      <c r="AT426" t="s">
        <v>72</v>
      </c>
      <c r="AU426">
        <v>2013</v>
      </c>
      <c r="AV426" t="s">
        <v>72</v>
      </c>
      <c r="AW426" t="s">
        <v>72</v>
      </c>
      <c r="AX426" t="s">
        <v>72</v>
      </c>
      <c r="AY426" t="s">
        <v>72</v>
      </c>
      <c r="AZ426" t="s">
        <v>72</v>
      </c>
      <c r="BA426" t="s">
        <v>72</v>
      </c>
      <c r="BB426" t="s">
        <v>72</v>
      </c>
      <c r="BC426" t="s">
        <v>72</v>
      </c>
      <c r="BD426" t="s">
        <v>72</v>
      </c>
      <c r="BE426" t="s">
        <v>72</v>
      </c>
      <c r="BF426" t="s">
        <v>72</v>
      </c>
      <c r="BG426" t="s">
        <v>72</v>
      </c>
      <c r="BH426" t="s">
        <v>72</v>
      </c>
      <c r="BI426">
        <v>7</v>
      </c>
      <c r="BJ426" t="s">
        <v>6746</v>
      </c>
      <c r="BK426" t="s">
        <v>6747</v>
      </c>
      <c r="BL426" t="s">
        <v>10406</v>
      </c>
      <c r="BM426" t="s">
        <v>72</v>
      </c>
      <c r="BN426" t="s">
        <v>72</v>
      </c>
      <c r="BO426" t="s">
        <v>72</v>
      </c>
      <c r="BP426" t="s">
        <v>72</v>
      </c>
      <c r="BQ426" t="s">
        <v>100</v>
      </c>
      <c r="BR426" t="s">
        <v>10407</v>
      </c>
      <c r="BS426" t="str">
        <f>HYPERLINK("https%3A%2F%2Fwww.webofscience.com%2Fwos%2Fwoscc%2Ffull-record%2FWOS:000330839100361","View Full Record in Web of Science")</f>
        <v>View Full Record in Web of Science</v>
      </c>
    </row>
    <row r="427" spans="1:71" hidden="1" x14ac:dyDescent="0.2">
      <c r="A427" t="s">
        <v>305</v>
      </c>
      <c r="B427" t="s">
        <v>12430</v>
      </c>
      <c r="C427" t="s">
        <v>72</v>
      </c>
      <c r="D427" t="s">
        <v>72</v>
      </c>
      <c r="E427" t="s">
        <v>12431</v>
      </c>
      <c r="F427" t="s">
        <v>12432</v>
      </c>
      <c r="G427" t="s">
        <v>72</v>
      </c>
      <c r="H427" t="s">
        <v>72</v>
      </c>
      <c r="I427" t="s">
        <v>12433</v>
      </c>
      <c r="J427" t="s">
        <v>12434</v>
      </c>
      <c r="K427" t="s">
        <v>72</v>
      </c>
      <c r="L427" t="s">
        <v>72</v>
      </c>
      <c r="M427" t="s">
        <v>76</v>
      </c>
      <c r="N427" t="s">
        <v>312</v>
      </c>
      <c r="O427" t="s">
        <v>12435</v>
      </c>
      <c r="P427" t="s">
        <v>12436</v>
      </c>
      <c r="Q427" t="s">
        <v>12437</v>
      </c>
      <c r="R427" t="s">
        <v>12431</v>
      </c>
      <c r="S427" t="s">
        <v>72</v>
      </c>
      <c r="T427" t="s">
        <v>72</v>
      </c>
      <c r="U427" t="s">
        <v>12438</v>
      </c>
      <c r="V427" t="s">
        <v>12439</v>
      </c>
      <c r="W427" t="s">
        <v>12440</v>
      </c>
      <c r="X427" t="s">
        <v>1482</v>
      </c>
      <c r="Y427" t="s">
        <v>12441</v>
      </c>
      <c r="Z427" t="s">
        <v>12442</v>
      </c>
      <c r="AA427" t="s">
        <v>72</v>
      </c>
      <c r="AB427" t="s">
        <v>72</v>
      </c>
      <c r="AC427" t="s">
        <v>72</v>
      </c>
      <c r="AD427" t="s">
        <v>72</v>
      </c>
      <c r="AE427" t="s">
        <v>72</v>
      </c>
      <c r="AF427" t="s">
        <v>72</v>
      </c>
      <c r="AG427">
        <v>28</v>
      </c>
      <c r="AH427">
        <v>0</v>
      </c>
      <c r="AI427">
        <v>0</v>
      </c>
      <c r="AJ427">
        <v>0</v>
      </c>
      <c r="AK427">
        <v>0</v>
      </c>
      <c r="AL427" t="s">
        <v>12443</v>
      </c>
      <c r="AM427" t="s">
        <v>707</v>
      </c>
      <c r="AN427" t="s">
        <v>12444</v>
      </c>
      <c r="AO427" t="s">
        <v>72</v>
      </c>
      <c r="AP427" t="s">
        <v>72</v>
      </c>
      <c r="AQ427" t="s">
        <v>12445</v>
      </c>
      <c r="AR427" t="s">
        <v>72</v>
      </c>
      <c r="AS427" t="s">
        <v>72</v>
      </c>
      <c r="AT427" t="s">
        <v>72</v>
      </c>
      <c r="AU427">
        <v>2014</v>
      </c>
      <c r="AV427" t="s">
        <v>72</v>
      </c>
      <c r="AW427" t="s">
        <v>72</v>
      </c>
      <c r="AX427" t="s">
        <v>72</v>
      </c>
      <c r="AY427" t="s">
        <v>72</v>
      </c>
      <c r="AZ427" t="s">
        <v>72</v>
      </c>
      <c r="BA427" t="s">
        <v>72</v>
      </c>
      <c r="BB427" t="s">
        <v>72</v>
      </c>
      <c r="BC427" t="s">
        <v>72</v>
      </c>
      <c r="BD427" t="s">
        <v>12446</v>
      </c>
      <c r="BE427" t="s">
        <v>72</v>
      </c>
      <c r="BF427" t="s">
        <v>72</v>
      </c>
      <c r="BG427" t="s">
        <v>72</v>
      </c>
      <c r="BH427" t="s">
        <v>72</v>
      </c>
      <c r="BI427">
        <v>10</v>
      </c>
      <c r="BJ427" t="s">
        <v>12447</v>
      </c>
      <c r="BK427" t="s">
        <v>12448</v>
      </c>
      <c r="BL427" t="s">
        <v>12449</v>
      </c>
      <c r="BM427" t="s">
        <v>72</v>
      </c>
      <c r="BN427" t="s">
        <v>72</v>
      </c>
      <c r="BO427" t="s">
        <v>72</v>
      </c>
      <c r="BP427" t="s">
        <v>72</v>
      </c>
      <c r="BQ427" t="s">
        <v>100</v>
      </c>
      <c r="BR427" t="s">
        <v>12450</v>
      </c>
      <c r="BS427" t="str">
        <f>HYPERLINK("https%3A%2F%2Fwww.webofscience.com%2Fwos%2Fwoscc%2Ffull-record%2FWOS:000362240300051","View Full Record in Web of Science")</f>
        <v>View Full Record in Web of Science</v>
      </c>
    </row>
    <row r="428" spans="1:71" hidden="1" x14ac:dyDescent="0.2">
      <c r="A428" t="s">
        <v>70</v>
      </c>
      <c r="B428" t="s">
        <v>11877</v>
      </c>
      <c r="C428" t="s">
        <v>72</v>
      </c>
      <c r="D428" t="s">
        <v>72</v>
      </c>
      <c r="E428" t="s">
        <v>72</v>
      </c>
      <c r="F428" t="s">
        <v>11878</v>
      </c>
      <c r="G428" t="s">
        <v>72</v>
      </c>
      <c r="H428" t="s">
        <v>72</v>
      </c>
      <c r="I428" t="s">
        <v>11879</v>
      </c>
      <c r="J428" t="s">
        <v>11880</v>
      </c>
      <c r="K428" t="s">
        <v>72</v>
      </c>
      <c r="L428" t="s">
        <v>72</v>
      </c>
      <c r="M428" t="s">
        <v>76</v>
      </c>
      <c r="N428" t="s">
        <v>77</v>
      </c>
      <c r="O428" t="s">
        <v>72</v>
      </c>
      <c r="P428" t="s">
        <v>72</v>
      </c>
      <c r="Q428" t="s">
        <v>72</v>
      </c>
      <c r="R428" t="s">
        <v>72</v>
      </c>
      <c r="S428" t="s">
        <v>72</v>
      </c>
      <c r="T428" t="s">
        <v>11881</v>
      </c>
      <c r="U428" t="s">
        <v>11882</v>
      </c>
      <c r="V428" t="s">
        <v>11883</v>
      </c>
      <c r="W428" t="s">
        <v>11884</v>
      </c>
      <c r="X428" t="s">
        <v>11885</v>
      </c>
      <c r="Y428" t="s">
        <v>11886</v>
      </c>
      <c r="Z428" t="s">
        <v>11887</v>
      </c>
      <c r="AA428" t="s">
        <v>11888</v>
      </c>
      <c r="AB428" t="s">
        <v>11889</v>
      </c>
      <c r="AC428" t="s">
        <v>72</v>
      </c>
      <c r="AD428" t="s">
        <v>72</v>
      </c>
      <c r="AE428" t="s">
        <v>72</v>
      </c>
      <c r="AF428" t="s">
        <v>72</v>
      </c>
      <c r="AG428">
        <v>32</v>
      </c>
      <c r="AH428">
        <v>12</v>
      </c>
      <c r="AI428">
        <v>12</v>
      </c>
      <c r="AJ428">
        <v>8</v>
      </c>
      <c r="AK428">
        <v>24</v>
      </c>
      <c r="AL428" t="s">
        <v>364</v>
      </c>
      <c r="AM428" t="s">
        <v>365</v>
      </c>
      <c r="AN428" t="s">
        <v>366</v>
      </c>
      <c r="AO428" t="s">
        <v>11890</v>
      </c>
      <c r="AP428" t="s">
        <v>11891</v>
      </c>
      <c r="AQ428" t="s">
        <v>72</v>
      </c>
      <c r="AR428" t="s">
        <v>11892</v>
      </c>
      <c r="AS428" t="s">
        <v>11893</v>
      </c>
      <c r="AT428" t="s">
        <v>72</v>
      </c>
      <c r="AU428">
        <v>2018</v>
      </c>
      <c r="AV428">
        <v>42</v>
      </c>
      <c r="AW428">
        <v>2</v>
      </c>
      <c r="AX428" t="s">
        <v>72</v>
      </c>
      <c r="AY428" t="s">
        <v>72</v>
      </c>
      <c r="AZ428" t="s">
        <v>72</v>
      </c>
      <c r="BA428" t="s">
        <v>72</v>
      </c>
      <c r="BB428">
        <v>157</v>
      </c>
      <c r="BC428">
        <v>173</v>
      </c>
      <c r="BD428" t="s">
        <v>72</v>
      </c>
      <c r="BE428" t="s">
        <v>11894</v>
      </c>
      <c r="BF428" t="str">
        <f>HYPERLINK("http://dx.doi.org/10.1080/03098265.2017.1379057","http://dx.doi.org/10.1080/03098265.2017.1379057")</f>
        <v>http://dx.doi.org/10.1080/03098265.2017.1379057</v>
      </c>
      <c r="BG428" t="s">
        <v>72</v>
      </c>
      <c r="BH428" t="s">
        <v>72</v>
      </c>
      <c r="BI428">
        <v>17</v>
      </c>
      <c r="BJ428" t="s">
        <v>11895</v>
      </c>
      <c r="BK428" t="s">
        <v>11895</v>
      </c>
      <c r="BL428" t="s">
        <v>11896</v>
      </c>
      <c r="BM428" t="s">
        <v>72</v>
      </c>
      <c r="BN428" t="s">
        <v>72</v>
      </c>
      <c r="BO428" t="s">
        <v>72</v>
      </c>
      <c r="BP428" t="s">
        <v>72</v>
      </c>
      <c r="BQ428" t="s">
        <v>100</v>
      </c>
      <c r="BR428" t="s">
        <v>11897</v>
      </c>
      <c r="BS428" t="str">
        <f>HYPERLINK("https%3A%2F%2Fwww.webofscience.com%2Fwos%2Fwoscc%2Ffull-record%2FWOS:000435299700001","View Full Record in Web of Science")</f>
        <v>View Full Record in Web of Science</v>
      </c>
    </row>
    <row r="429" spans="1:71" hidden="1" x14ac:dyDescent="0.2">
      <c r="A429" t="s">
        <v>70</v>
      </c>
      <c r="B429" t="s">
        <v>10258</v>
      </c>
      <c r="C429" t="s">
        <v>72</v>
      </c>
      <c r="D429" t="s">
        <v>72</v>
      </c>
      <c r="E429" t="s">
        <v>72</v>
      </c>
      <c r="F429" t="s">
        <v>10259</v>
      </c>
      <c r="G429" t="s">
        <v>72</v>
      </c>
      <c r="H429" t="s">
        <v>72</v>
      </c>
      <c r="I429" t="s">
        <v>10260</v>
      </c>
      <c r="J429" t="s">
        <v>10261</v>
      </c>
      <c r="K429" t="s">
        <v>72</v>
      </c>
      <c r="L429" t="s">
        <v>72</v>
      </c>
      <c r="M429" t="s">
        <v>76</v>
      </c>
      <c r="N429" t="s">
        <v>77</v>
      </c>
      <c r="O429" t="s">
        <v>72</v>
      </c>
      <c r="P429" t="s">
        <v>72</v>
      </c>
      <c r="Q429" t="s">
        <v>72</v>
      </c>
      <c r="R429" t="s">
        <v>72</v>
      </c>
      <c r="S429" t="s">
        <v>72</v>
      </c>
      <c r="T429" t="s">
        <v>10262</v>
      </c>
      <c r="U429" t="s">
        <v>10263</v>
      </c>
      <c r="V429" t="s">
        <v>10264</v>
      </c>
      <c r="W429" t="s">
        <v>10265</v>
      </c>
      <c r="X429" t="s">
        <v>72</v>
      </c>
      <c r="Y429" t="s">
        <v>10266</v>
      </c>
      <c r="Z429" t="s">
        <v>10267</v>
      </c>
      <c r="AA429" t="s">
        <v>72</v>
      </c>
      <c r="AB429" t="s">
        <v>10268</v>
      </c>
      <c r="AC429" t="s">
        <v>72</v>
      </c>
      <c r="AD429" t="s">
        <v>72</v>
      </c>
      <c r="AE429" t="s">
        <v>72</v>
      </c>
      <c r="AF429" t="s">
        <v>72</v>
      </c>
      <c r="AG429">
        <v>30</v>
      </c>
      <c r="AH429">
        <v>2</v>
      </c>
      <c r="AI429">
        <v>2</v>
      </c>
      <c r="AJ429">
        <v>4</v>
      </c>
      <c r="AK429">
        <v>9</v>
      </c>
      <c r="AL429" t="s">
        <v>88</v>
      </c>
      <c r="AM429" t="s">
        <v>707</v>
      </c>
      <c r="AN429" t="s">
        <v>1987</v>
      </c>
      <c r="AO429" t="s">
        <v>72</v>
      </c>
      <c r="AP429" t="s">
        <v>10269</v>
      </c>
      <c r="AQ429" t="s">
        <v>72</v>
      </c>
      <c r="AR429" t="s">
        <v>10270</v>
      </c>
      <c r="AS429" t="s">
        <v>10271</v>
      </c>
      <c r="AT429" t="s">
        <v>10272</v>
      </c>
      <c r="AU429">
        <v>2021</v>
      </c>
      <c r="AV429">
        <v>6</v>
      </c>
      <c r="AW429">
        <v>1</v>
      </c>
      <c r="AX429" t="s">
        <v>72</v>
      </c>
      <c r="AY429" t="s">
        <v>72</v>
      </c>
      <c r="AZ429" t="s">
        <v>72</v>
      </c>
      <c r="BA429" t="s">
        <v>72</v>
      </c>
      <c r="BB429" t="s">
        <v>72</v>
      </c>
      <c r="BC429" t="s">
        <v>72</v>
      </c>
      <c r="BD429">
        <v>1</v>
      </c>
      <c r="BE429" t="s">
        <v>10273</v>
      </c>
      <c r="BF429" t="str">
        <f>HYPERLINK("http://dx.doi.org/10.1186/s40862-020-00107-w","http://dx.doi.org/10.1186/s40862-020-00107-w")</f>
        <v>http://dx.doi.org/10.1186/s40862-020-00107-w</v>
      </c>
      <c r="BG429" t="s">
        <v>72</v>
      </c>
      <c r="BH429" t="s">
        <v>72</v>
      </c>
      <c r="BI429">
        <v>16</v>
      </c>
      <c r="BJ429" t="s">
        <v>10274</v>
      </c>
      <c r="BK429" t="s">
        <v>10274</v>
      </c>
      <c r="BL429" t="s">
        <v>10275</v>
      </c>
      <c r="BM429" t="s">
        <v>72</v>
      </c>
      <c r="BN429" t="s">
        <v>6324</v>
      </c>
      <c r="BO429" t="s">
        <v>72</v>
      </c>
      <c r="BP429" t="s">
        <v>72</v>
      </c>
      <c r="BQ429" t="s">
        <v>100</v>
      </c>
      <c r="BR429" t="s">
        <v>10276</v>
      </c>
      <c r="BS429" t="str">
        <f>HYPERLINK("https%3A%2F%2Fwww.webofscience.com%2Fwos%2Fwoscc%2Ffull-record%2FWOS:000606503700001","View Full Record in Web of Science")</f>
        <v>View Full Record in Web of Science</v>
      </c>
    </row>
    <row r="430" spans="1:71" hidden="1" x14ac:dyDescent="0.2">
      <c r="A430" t="s">
        <v>70</v>
      </c>
      <c r="B430" t="s">
        <v>12210</v>
      </c>
      <c r="C430" t="s">
        <v>72</v>
      </c>
      <c r="D430" t="s">
        <v>72</v>
      </c>
      <c r="E430" t="s">
        <v>72</v>
      </c>
      <c r="F430" t="s">
        <v>12211</v>
      </c>
      <c r="G430" t="s">
        <v>72</v>
      </c>
      <c r="H430" t="s">
        <v>72</v>
      </c>
      <c r="I430" t="s">
        <v>12212</v>
      </c>
      <c r="J430" t="s">
        <v>12213</v>
      </c>
      <c r="K430" t="s">
        <v>72</v>
      </c>
      <c r="L430" t="s">
        <v>72</v>
      </c>
      <c r="M430" t="s">
        <v>76</v>
      </c>
      <c r="N430" t="s">
        <v>77</v>
      </c>
      <c r="O430" t="s">
        <v>72</v>
      </c>
      <c r="P430" t="s">
        <v>72</v>
      </c>
      <c r="Q430" t="s">
        <v>72</v>
      </c>
      <c r="R430" t="s">
        <v>72</v>
      </c>
      <c r="S430" t="s">
        <v>72</v>
      </c>
      <c r="T430" t="s">
        <v>12214</v>
      </c>
      <c r="U430" t="s">
        <v>12215</v>
      </c>
      <c r="V430" t="s">
        <v>12216</v>
      </c>
      <c r="W430" t="s">
        <v>12217</v>
      </c>
      <c r="X430" t="s">
        <v>12218</v>
      </c>
      <c r="Y430" t="s">
        <v>12219</v>
      </c>
      <c r="Z430" t="s">
        <v>12220</v>
      </c>
      <c r="AA430" t="s">
        <v>12221</v>
      </c>
      <c r="AB430" t="s">
        <v>12222</v>
      </c>
      <c r="AC430" t="s">
        <v>72</v>
      </c>
      <c r="AD430" t="s">
        <v>72</v>
      </c>
      <c r="AE430" t="s">
        <v>72</v>
      </c>
      <c r="AF430" t="s">
        <v>72</v>
      </c>
      <c r="AG430">
        <v>58</v>
      </c>
      <c r="AH430">
        <v>8</v>
      </c>
      <c r="AI430">
        <v>8</v>
      </c>
      <c r="AJ430">
        <v>3</v>
      </c>
      <c r="AK430">
        <v>28</v>
      </c>
      <c r="AL430" t="s">
        <v>1596</v>
      </c>
      <c r="AM430" t="s">
        <v>451</v>
      </c>
      <c r="AN430" t="s">
        <v>1597</v>
      </c>
      <c r="AO430" t="s">
        <v>12223</v>
      </c>
      <c r="AP430" t="s">
        <v>72</v>
      </c>
      <c r="AQ430" t="s">
        <v>72</v>
      </c>
      <c r="AR430" t="s">
        <v>12224</v>
      </c>
      <c r="AS430" t="s">
        <v>12225</v>
      </c>
      <c r="AT430" t="s">
        <v>776</v>
      </c>
      <c r="AU430">
        <v>2017</v>
      </c>
      <c r="AV430">
        <v>33</v>
      </c>
      <c r="AW430" t="s">
        <v>72</v>
      </c>
      <c r="AX430" t="s">
        <v>72</v>
      </c>
      <c r="AY430" t="s">
        <v>72</v>
      </c>
      <c r="AZ430" t="s">
        <v>72</v>
      </c>
      <c r="BA430" t="s">
        <v>72</v>
      </c>
      <c r="BB430">
        <v>12</v>
      </c>
      <c r="BC430">
        <v>24</v>
      </c>
      <c r="BD430" t="s">
        <v>72</v>
      </c>
      <c r="BE430" t="s">
        <v>12226</v>
      </c>
      <c r="BF430" t="str">
        <f>HYPERLINK("http://dx.doi.org/10.1016/j.asw.2017.03.001","http://dx.doi.org/10.1016/j.asw.2017.03.001")</f>
        <v>http://dx.doi.org/10.1016/j.asw.2017.03.001</v>
      </c>
      <c r="BG430" t="s">
        <v>72</v>
      </c>
      <c r="BH430" t="s">
        <v>72</v>
      </c>
      <c r="BI430">
        <v>13</v>
      </c>
      <c r="BJ430" t="s">
        <v>10274</v>
      </c>
      <c r="BK430" t="s">
        <v>10274</v>
      </c>
      <c r="BL430" t="s">
        <v>12227</v>
      </c>
      <c r="BM430" t="s">
        <v>72</v>
      </c>
      <c r="BN430" t="s">
        <v>72</v>
      </c>
      <c r="BO430" t="s">
        <v>72</v>
      </c>
      <c r="BP430" t="s">
        <v>72</v>
      </c>
      <c r="BQ430" t="s">
        <v>100</v>
      </c>
      <c r="BR430" t="s">
        <v>12228</v>
      </c>
      <c r="BS430" t="str">
        <f>HYPERLINK("https%3A%2F%2Fwww.webofscience.com%2Fwos%2Fwoscc%2Ffull-record%2FWOS:000412377200003","View Full Record in Web of Science")</f>
        <v>View Full Record in Web of Science</v>
      </c>
    </row>
    <row r="431" spans="1:71" hidden="1" x14ac:dyDescent="0.2">
      <c r="A431" t="s">
        <v>70</v>
      </c>
      <c r="B431" t="s">
        <v>4603</v>
      </c>
      <c r="C431" t="s">
        <v>72</v>
      </c>
      <c r="D431" t="s">
        <v>72</v>
      </c>
      <c r="E431" t="s">
        <v>72</v>
      </c>
      <c r="F431" t="s">
        <v>4604</v>
      </c>
      <c r="G431" t="s">
        <v>72</v>
      </c>
      <c r="H431" t="s">
        <v>72</v>
      </c>
      <c r="I431" t="s">
        <v>4605</v>
      </c>
      <c r="J431" t="s">
        <v>4606</v>
      </c>
      <c r="K431" t="s">
        <v>72</v>
      </c>
      <c r="L431" t="s">
        <v>72</v>
      </c>
      <c r="M431" t="s">
        <v>76</v>
      </c>
      <c r="N431" t="s">
        <v>77</v>
      </c>
      <c r="O431" t="s">
        <v>72</v>
      </c>
      <c r="P431" t="s">
        <v>72</v>
      </c>
      <c r="Q431" t="s">
        <v>72</v>
      </c>
      <c r="R431" t="s">
        <v>72</v>
      </c>
      <c r="S431" t="s">
        <v>72</v>
      </c>
      <c r="T431" t="s">
        <v>72</v>
      </c>
      <c r="U431" t="s">
        <v>4607</v>
      </c>
      <c r="V431" t="s">
        <v>4608</v>
      </c>
      <c r="W431" t="s">
        <v>4609</v>
      </c>
      <c r="X431" t="s">
        <v>4610</v>
      </c>
      <c r="Y431" t="s">
        <v>4611</v>
      </c>
      <c r="Z431" t="s">
        <v>4612</v>
      </c>
      <c r="AA431" t="s">
        <v>72</v>
      </c>
      <c r="AB431" t="s">
        <v>72</v>
      </c>
      <c r="AC431" t="s">
        <v>72</v>
      </c>
      <c r="AD431" t="s">
        <v>72</v>
      </c>
      <c r="AE431" t="s">
        <v>72</v>
      </c>
      <c r="AF431" t="s">
        <v>72</v>
      </c>
      <c r="AG431">
        <v>26</v>
      </c>
      <c r="AH431">
        <v>9</v>
      </c>
      <c r="AI431">
        <v>9</v>
      </c>
      <c r="AJ431">
        <v>2</v>
      </c>
      <c r="AK431">
        <v>8</v>
      </c>
      <c r="AL431" t="s">
        <v>336</v>
      </c>
      <c r="AM431" t="s">
        <v>337</v>
      </c>
      <c r="AN431" t="s">
        <v>338</v>
      </c>
      <c r="AO431" t="s">
        <v>4613</v>
      </c>
      <c r="AP431" t="s">
        <v>72</v>
      </c>
      <c r="AQ431" t="s">
        <v>72</v>
      </c>
      <c r="AR431" t="s">
        <v>4614</v>
      </c>
      <c r="AS431" t="s">
        <v>4615</v>
      </c>
      <c r="AT431" t="s">
        <v>72</v>
      </c>
      <c r="AU431">
        <v>2008</v>
      </c>
      <c r="AV431">
        <v>35</v>
      </c>
      <c r="AW431">
        <v>4</v>
      </c>
      <c r="AX431" t="s">
        <v>72</v>
      </c>
      <c r="AY431" t="s">
        <v>72</v>
      </c>
      <c r="AZ431" t="s">
        <v>72</v>
      </c>
      <c r="BA431" t="s">
        <v>72</v>
      </c>
      <c r="BB431">
        <v>313</v>
      </c>
      <c r="BC431">
        <v>318</v>
      </c>
      <c r="BD431" t="s">
        <v>4616</v>
      </c>
      <c r="BE431" t="s">
        <v>4617</v>
      </c>
      <c r="BF431" t="str">
        <f>HYPERLINK("http://dx.doi.org/10.1080/00986280802374419","http://dx.doi.org/10.1080/00986280802374419")</f>
        <v>http://dx.doi.org/10.1080/00986280802374419</v>
      </c>
      <c r="BG431" t="s">
        <v>72</v>
      </c>
      <c r="BH431" t="s">
        <v>72</v>
      </c>
      <c r="BI431">
        <v>6</v>
      </c>
      <c r="BJ431" t="s">
        <v>4618</v>
      </c>
      <c r="BK431" t="s">
        <v>4619</v>
      </c>
      <c r="BL431" t="s">
        <v>4620</v>
      </c>
      <c r="BM431" t="s">
        <v>72</v>
      </c>
      <c r="BN431" t="s">
        <v>72</v>
      </c>
      <c r="BO431" t="s">
        <v>72</v>
      </c>
      <c r="BP431" t="s">
        <v>72</v>
      </c>
      <c r="BQ431" t="s">
        <v>100</v>
      </c>
      <c r="BR431" t="s">
        <v>4621</v>
      </c>
      <c r="BS431" t="str">
        <f>HYPERLINK("https%3A%2F%2Fwww.webofscience.com%2Fwos%2Fwoscc%2Ffull-record%2FWOS:000260643100015","View Full Record in Web of Science")</f>
        <v>View Full Record in Web of Science</v>
      </c>
    </row>
    <row r="432" spans="1:71" hidden="1" x14ac:dyDescent="0.2">
      <c r="A432" t="s">
        <v>70</v>
      </c>
      <c r="B432" t="s">
        <v>8347</v>
      </c>
      <c r="C432" t="s">
        <v>72</v>
      </c>
      <c r="D432" t="s">
        <v>72</v>
      </c>
      <c r="E432" t="s">
        <v>72</v>
      </c>
      <c r="F432" t="s">
        <v>8348</v>
      </c>
      <c r="G432" t="s">
        <v>72</v>
      </c>
      <c r="H432" t="s">
        <v>72</v>
      </c>
      <c r="I432" t="s">
        <v>8349</v>
      </c>
      <c r="J432" t="s">
        <v>8350</v>
      </c>
      <c r="K432" t="s">
        <v>72</v>
      </c>
      <c r="L432" t="s">
        <v>72</v>
      </c>
      <c r="M432" t="s">
        <v>76</v>
      </c>
      <c r="N432" t="s">
        <v>77</v>
      </c>
      <c r="O432" t="s">
        <v>72</v>
      </c>
      <c r="P432" t="s">
        <v>72</v>
      </c>
      <c r="Q432" t="s">
        <v>72</v>
      </c>
      <c r="R432" t="s">
        <v>72</v>
      </c>
      <c r="S432" t="s">
        <v>72</v>
      </c>
      <c r="T432" t="s">
        <v>8351</v>
      </c>
      <c r="U432" t="s">
        <v>72</v>
      </c>
      <c r="V432" t="s">
        <v>8352</v>
      </c>
      <c r="W432" t="s">
        <v>8353</v>
      </c>
      <c r="X432" t="s">
        <v>8354</v>
      </c>
      <c r="Y432" t="s">
        <v>8355</v>
      </c>
      <c r="Z432" t="s">
        <v>8356</v>
      </c>
      <c r="AA432" t="s">
        <v>72</v>
      </c>
      <c r="AB432" t="s">
        <v>72</v>
      </c>
      <c r="AC432" t="s">
        <v>72</v>
      </c>
      <c r="AD432" t="s">
        <v>72</v>
      </c>
      <c r="AE432" t="s">
        <v>72</v>
      </c>
      <c r="AF432" t="s">
        <v>72</v>
      </c>
      <c r="AG432">
        <v>52</v>
      </c>
      <c r="AH432">
        <v>2</v>
      </c>
      <c r="AI432">
        <v>2</v>
      </c>
      <c r="AJ432">
        <v>1</v>
      </c>
      <c r="AK432">
        <v>6</v>
      </c>
      <c r="AL432" t="s">
        <v>364</v>
      </c>
      <c r="AM432" t="s">
        <v>365</v>
      </c>
      <c r="AN432" t="s">
        <v>366</v>
      </c>
      <c r="AO432" t="s">
        <v>8357</v>
      </c>
      <c r="AP432" t="s">
        <v>8358</v>
      </c>
      <c r="AQ432" t="s">
        <v>72</v>
      </c>
      <c r="AR432" t="s">
        <v>8359</v>
      </c>
      <c r="AS432" t="s">
        <v>8360</v>
      </c>
      <c r="AT432" t="s">
        <v>1172</v>
      </c>
      <c r="AU432">
        <v>2022</v>
      </c>
      <c r="AV432">
        <v>33</v>
      </c>
      <c r="AW432">
        <v>1</v>
      </c>
      <c r="AX432" t="s">
        <v>72</v>
      </c>
      <c r="AY432" t="s">
        <v>72</v>
      </c>
      <c r="AZ432" t="s">
        <v>72</v>
      </c>
      <c r="BA432" t="s">
        <v>72</v>
      </c>
      <c r="BB432">
        <v>21</v>
      </c>
      <c r="BC432">
        <v>44</v>
      </c>
      <c r="BD432" t="s">
        <v>72</v>
      </c>
      <c r="BE432" t="s">
        <v>8361</v>
      </c>
      <c r="BF432" t="str">
        <f>HYPERLINK("http://dx.doi.org/10.1080/13598139.2020.1840966","http://dx.doi.org/10.1080/13598139.2020.1840966")</f>
        <v>http://dx.doi.org/10.1080/13598139.2020.1840966</v>
      </c>
      <c r="BG432" t="s">
        <v>72</v>
      </c>
      <c r="BH432" t="s">
        <v>4447</v>
      </c>
      <c r="BI432">
        <v>24</v>
      </c>
      <c r="BJ432" t="s">
        <v>8362</v>
      </c>
      <c r="BK432" t="s">
        <v>4619</v>
      </c>
      <c r="BL432" t="s">
        <v>8363</v>
      </c>
      <c r="BM432" t="s">
        <v>72</v>
      </c>
      <c r="BN432" t="s">
        <v>72</v>
      </c>
      <c r="BO432" t="s">
        <v>72</v>
      </c>
      <c r="BP432" t="s">
        <v>72</v>
      </c>
      <c r="BQ432" t="s">
        <v>100</v>
      </c>
      <c r="BR432" t="s">
        <v>8364</v>
      </c>
      <c r="BS432" t="str">
        <f>HYPERLINK("https%3A%2F%2Fwww.webofscience.com%2Fwos%2Fwoscc%2Ffull-record%2FWOS:000600464900001","View Full Record in Web of Science")</f>
        <v>View Full Record in Web of Science</v>
      </c>
    </row>
    <row r="433" spans="1:71" hidden="1" x14ac:dyDescent="0.2">
      <c r="A433" t="s">
        <v>70</v>
      </c>
      <c r="B433" t="s">
        <v>8753</v>
      </c>
      <c r="C433" t="s">
        <v>72</v>
      </c>
      <c r="D433" t="s">
        <v>72</v>
      </c>
      <c r="E433" t="s">
        <v>72</v>
      </c>
      <c r="F433" t="s">
        <v>8754</v>
      </c>
      <c r="G433" t="s">
        <v>72</v>
      </c>
      <c r="H433" t="s">
        <v>72</v>
      </c>
      <c r="I433" t="s">
        <v>8755</v>
      </c>
      <c r="J433" t="s">
        <v>8756</v>
      </c>
      <c r="K433" t="s">
        <v>72</v>
      </c>
      <c r="L433" t="s">
        <v>72</v>
      </c>
      <c r="M433" t="s">
        <v>76</v>
      </c>
      <c r="N433" t="s">
        <v>77</v>
      </c>
      <c r="O433" t="s">
        <v>72</v>
      </c>
      <c r="P433" t="s">
        <v>72</v>
      </c>
      <c r="Q433" t="s">
        <v>72</v>
      </c>
      <c r="R433" t="s">
        <v>72</v>
      </c>
      <c r="S433" t="s">
        <v>72</v>
      </c>
      <c r="T433" t="s">
        <v>8757</v>
      </c>
      <c r="U433" t="s">
        <v>8758</v>
      </c>
      <c r="V433" t="s">
        <v>8759</v>
      </c>
      <c r="W433" t="s">
        <v>8760</v>
      </c>
      <c r="X433" t="s">
        <v>8761</v>
      </c>
      <c r="Y433" t="s">
        <v>8762</v>
      </c>
      <c r="Z433" t="s">
        <v>8763</v>
      </c>
      <c r="AA433" t="s">
        <v>8764</v>
      </c>
      <c r="AB433" t="s">
        <v>8765</v>
      </c>
      <c r="AC433" t="s">
        <v>72</v>
      </c>
      <c r="AD433" t="s">
        <v>72</v>
      </c>
      <c r="AE433" t="s">
        <v>72</v>
      </c>
      <c r="AF433" t="s">
        <v>72</v>
      </c>
      <c r="AG433">
        <v>78</v>
      </c>
      <c r="AH433">
        <v>12</v>
      </c>
      <c r="AI433">
        <v>12</v>
      </c>
      <c r="AJ433">
        <v>4</v>
      </c>
      <c r="AK433">
        <v>16</v>
      </c>
      <c r="AL433" t="s">
        <v>924</v>
      </c>
      <c r="AM433" t="s">
        <v>168</v>
      </c>
      <c r="AN433" t="s">
        <v>925</v>
      </c>
      <c r="AO433" t="s">
        <v>8766</v>
      </c>
      <c r="AP433" t="s">
        <v>72</v>
      </c>
      <c r="AQ433" t="s">
        <v>72</v>
      </c>
      <c r="AR433" t="s">
        <v>8767</v>
      </c>
      <c r="AS433" t="s">
        <v>8768</v>
      </c>
      <c r="AT433" t="s">
        <v>555</v>
      </c>
      <c r="AU433">
        <v>2021</v>
      </c>
      <c r="AV433">
        <v>68</v>
      </c>
      <c r="AW433" t="s">
        <v>72</v>
      </c>
      <c r="AX433" t="s">
        <v>72</v>
      </c>
      <c r="AY433" t="s">
        <v>72</v>
      </c>
      <c r="AZ433" t="s">
        <v>72</v>
      </c>
      <c r="BA433" t="s">
        <v>72</v>
      </c>
      <c r="BB433" t="s">
        <v>72</v>
      </c>
      <c r="BC433" t="s">
        <v>72</v>
      </c>
      <c r="BD433">
        <v>100979</v>
      </c>
      <c r="BE433" t="s">
        <v>8769</v>
      </c>
      <c r="BF433" t="str">
        <f>HYPERLINK("http://dx.doi.org/10.1016/j.stueduc.2021.100979","http://dx.doi.org/10.1016/j.stueduc.2021.100979")</f>
        <v>http://dx.doi.org/10.1016/j.stueduc.2021.100979</v>
      </c>
      <c r="BG433" t="s">
        <v>72</v>
      </c>
      <c r="BH433" t="s">
        <v>3201</v>
      </c>
      <c r="BI433">
        <v>9</v>
      </c>
      <c r="BJ433" t="s">
        <v>8770</v>
      </c>
      <c r="BK433" t="s">
        <v>4619</v>
      </c>
      <c r="BL433" t="s">
        <v>8771</v>
      </c>
      <c r="BM433" t="s">
        <v>72</v>
      </c>
      <c r="BN433" t="s">
        <v>72</v>
      </c>
      <c r="BO433" t="s">
        <v>72</v>
      </c>
      <c r="BP433" t="s">
        <v>72</v>
      </c>
      <c r="BQ433" t="s">
        <v>100</v>
      </c>
      <c r="BR433" t="s">
        <v>8772</v>
      </c>
      <c r="BS433" t="str">
        <f>HYPERLINK("https%3A%2F%2Fwww.webofscience.com%2Fwos%2Fwoscc%2Ffull-record%2FWOS:000629259300002","View Full Record in Web of Science")</f>
        <v>View Full Record in Web of Science</v>
      </c>
    </row>
    <row r="434" spans="1:71" hidden="1" x14ac:dyDescent="0.2">
      <c r="A434" t="s">
        <v>70</v>
      </c>
      <c r="B434" t="s">
        <v>14427</v>
      </c>
      <c r="C434" t="s">
        <v>72</v>
      </c>
      <c r="D434" t="s">
        <v>72</v>
      </c>
      <c r="E434" t="s">
        <v>72</v>
      </c>
      <c r="F434" t="s">
        <v>14428</v>
      </c>
      <c r="G434" t="s">
        <v>72</v>
      </c>
      <c r="H434" t="s">
        <v>72</v>
      </c>
      <c r="I434" t="s">
        <v>14429</v>
      </c>
      <c r="J434" t="s">
        <v>14430</v>
      </c>
      <c r="K434" t="s">
        <v>72</v>
      </c>
      <c r="L434" t="s">
        <v>72</v>
      </c>
      <c r="M434" t="s">
        <v>76</v>
      </c>
      <c r="N434" t="s">
        <v>77</v>
      </c>
      <c r="O434" t="s">
        <v>72</v>
      </c>
      <c r="P434" t="s">
        <v>72</v>
      </c>
      <c r="Q434" t="s">
        <v>72</v>
      </c>
      <c r="R434" t="s">
        <v>72</v>
      </c>
      <c r="S434" t="s">
        <v>72</v>
      </c>
      <c r="T434" t="s">
        <v>14431</v>
      </c>
      <c r="U434" t="s">
        <v>14432</v>
      </c>
      <c r="V434" t="s">
        <v>14433</v>
      </c>
      <c r="W434" t="s">
        <v>14434</v>
      </c>
      <c r="X434" t="s">
        <v>14435</v>
      </c>
      <c r="Y434" t="s">
        <v>14436</v>
      </c>
      <c r="Z434" t="s">
        <v>14437</v>
      </c>
      <c r="AA434" t="s">
        <v>72</v>
      </c>
      <c r="AB434" t="s">
        <v>72</v>
      </c>
      <c r="AC434" t="s">
        <v>72</v>
      </c>
      <c r="AD434" t="s">
        <v>72</v>
      </c>
      <c r="AE434" t="s">
        <v>72</v>
      </c>
      <c r="AF434" t="s">
        <v>72</v>
      </c>
      <c r="AG434">
        <v>50</v>
      </c>
      <c r="AH434">
        <v>9</v>
      </c>
      <c r="AI434">
        <v>9</v>
      </c>
      <c r="AJ434">
        <v>0</v>
      </c>
      <c r="AK434">
        <v>13</v>
      </c>
      <c r="AL434" t="s">
        <v>88</v>
      </c>
      <c r="AM434" t="s">
        <v>89</v>
      </c>
      <c r="AN434" t="s">
        <v>90</v>
      </c>
      <c r="AO434" t="s">
        <v>14438</v>
      </c>
      <c r="AP434" t="s">
        <v>14439</v>
      </c>
      <c r="AQ434" t="s">
        <v>72</v>
      </c>
      <c r="AR434" t="s">
        <v>14440</v>
      </c>
      <c r="AS434" t="s">
        <v>14441</v>
      </c>
      <c r="AT434" t="s">
        <v>149</v>
      </c>
      <c r="AU434">
        <v>2018</v>
      </c>
      <c r="AV434">
        <v>31</v>
      </c>
      <c r="AW434">
        <v>4</v>
      </c>
      <c r="AX434" t="s">
        <v>72</v>
      </c>
      <c r="AY434" t="s">
        <v>72</v>
      </c>
      <c r="AZ434" t="s">
        <v>72</v>
      </c>
      <c r="BA434" t="s">
        <v>72</v>
      </c>
      <c r="BB434">
        <v>813</v>
      </c>
      <c r="BC434">
        <v>833</v>
      </c>
      <c r="BD434" t="s">
        <v>72</v>
      </c>
      <c r="BE434" t="s">
        <v>14442</v>
      </c>
      <c r="BF434" t="str">
        <f>HYPERLINK("http://dx.doi.org/10.1007/s11145-017-9815-4","http://dx.doi.org/10.1007/s11145-017-9815-4")</f>
        <v>http://dx.doi.org/10.1007/s11145-017-9815-4</v>
      </c>
      <c r="BG434" t="s">
        <v>72</v>
      </c>
      <c r="BH434" t="s">
        <v>72</v>
      </c>
      <c r="BI434">
        <v>21</v>
      </c>
      <c r="BJ434" t="s">
        <v>8770</v>
      </c>
      <c r="BK434" t="s">
        <v>4619</v>
      </c>
      <c r="BL434" t="s">
        <v>14443</v>
      </c>
      <c r="BM434" t="s">
        <v>72</v>
      </c>
      <c r="BN434" t="s">
        <v>72</v>
      </c>
      <c r="BO434" t="s">
        <v>72</v>
      </c>
      <c r="BP434" t="s">
        <v>72</v>
      </c>
      <c r="BQ434" t="s">
        <v>100</v>
      </c>
      <c r="BR434" t="s">
        <v>14444</v>
      </c>
      <c r="BS434" t="str">
        <f>HYPERLINK("https%3A%2F%2Fwww.webofscience.com%2Fwos%2Fwoscc%2Ffull-record%2FWOS:000426807300003","View Full Record in Web of Science")</f>
        <v>View Full Record in Web of Science</v>
      </c>
    </row>
    <row r="435" spans="1:71" hidden="1" x14ac:dyDescent="0.2">
      <c r="A435" t="s">
        <v>70</v>
      </c>
      <c r="B435" t="s">
        <v>10866</v>
      </c>
      <c r="C435" t="s">
        <v>72</v>
      </c>
      <c r="D435" t="s">
        <v>72</v>
      </c>
      <c r="E435" t="s">
        <v>72</v>
      </c>
      <c r="F435" t="s">
        <v>10867</v>
      </c>
      <c r="G435" t="s">
        <v>72</v>
      </c>
      <c r="H435" t="s">
        <v>72</v>
      </c>
      <c r="I435" t="s">
        <v>10868</v>
      </c>
      <c r="J435" t="s">
        <v>10869</v>
      </c>
      <c r="K435" t="s">
        <v>72</v>
      </c>
      <c r="L435" t="s">
        <v>72</v>
      </c>
      <c r="M435" t="s">
        <v>76</v>
      </c>
      <c r="N435" t="s">
        <v>352</v>
      </c>
      <c r="O435" t="s">
        <v>72</v>
      </c>
      <c r="P435" t="s">
        <v>72</v>
      </c>
      <c r="Q435" t="s">
        <v>72</v>
      </c>
      <c r="R435" t="s">
        <v>72</v>
      </c>
      <c r="S435" t="s">
        <v>72</v>
      </c>
      <c r="T435" t="s">
        <v>10870</v>
      </c>
      <c r="U435" t="s">
        <v>10871</v>
      </c>
      <c r="V435" t="s">
        <v>10872</v>
      </c>
      <c r="W435" t="s">
        <v>10873</v>
      </c>
      <c r="X435" t="s">
        <v>10874</v>
      </c>
      <c r="Y435" t="s">
        <v>10875</v>
      </c>
      <c r="Z435" t="s">
        <v>10876</v>
      </c>
      <c r="AA435" t="s">
        <v>72</v>
      </c>
      <c r="AB435" t="s">
        <v>10877</v>
      </c>
      <c r="AC435" t="s">
        <v>72</v>
      </c>
      <c r="AD435" t="s">
        <v>72</v>
      </c>
      <c r="AE435" t="s">
        <v>72</v>
      </c>
      <c r="AF435" t="s">
        <v>72</v>
      </c>
      <c r="AG435">
        <v>59</v>
      </c>
      <c r="AH435">
        <v>0</v>
      </c>
      <c r="AI435">
        <v>0</v>
      </c>
      <c r="AJ435">
        <v>0</v>
      </c>
      <c r="AK435">
        <v>5</v>
      </c>
      <c r="AL435" t="s">
        <v>364</v>
      </c>
      <c r="AM435" t="s">
        <v>365</v>
      </c>
      <c r="AN435" t="s">
        <v>366</v>
      </c>
      <c r="AO435" t="s">
        <v>10878</v>
      </c>
      <c r="AP435" t="s">
        <v>10879</v>
      </c>
      <c r="AQ435" t="s">
        <v>72</v>
      </c>
      <c r="AR435" t="s">
        <v>10880</v>
      </c>
      <c r="AS435" t="s">
        <v>10881</v>
      </c>
      <c r="AT435" t="s">
        <v>72</v>
      </c>
      <c r="AU435" t="s">
        <v>72</v>
      </c>
      <c r="AV435" t="s">
        <v>72</v>
      </c>
      <c r="AW435" t="s">
        <v>72</v>
      </c>
      <c r="AX435" t="s">
        <v>72</v>
      </c>
      <c r="AY435" t="s">
        <v>72</v>
      </c>
      <c r="AZ435" t="s">
        <v>72</v>
      </c>
      <c r="BA435" t="s">
        <v>72</v>
      </c>
      <c r="BB435" t="s">
        <v>72</v>
      </c>
      <c r="BC435" t="s">
        <v>72</v>
      </c>
      <c r="BD435" t="s">
        <v>72</v>
      </c>
      <c r="BE435" t="s">
        <v>10882</v>
      </c>
      <c r="BF435" t="str">
        <f>HYPERLINK("http://dx.doi.org/10.1080/07448481.2021.1909042","http://dx.doi.org/10.1080/07448481.2021.1909042")</f>
        <v>http://dx.doi.org/10.1080/07448481.2021.1909042</v>
      </c>
      <c r="BG435" t="s">
        <v>72</v>
      </c>
      <c r="BH435" t="s">
        <v>397</v>
      </c>
      <c r="BI435">
        <v>10</v>
      </c>
      <c r="BJ435" t="s">
        <v>10883</v>
      </c>
      <c r="BK435" t="s">
        <v>10883</v>
      </c>
      <c r="BL435" t="s">
        <v>10884</v>
      </c>
      <c r="BM435">
        <v>33983100</v>
      </c>
      <c r="BN435" t="s">
        <v>72</v>
      </c>
      <c r="BO435" t="s">
        <v>72</v>
      </c>
      <c r="BP435" t="s">
        <v>72</v>
      </c>
      <c r="BQ435" t="s">
        <v>100</v>
      </c>
      <c r="BR435" t="s">
        <v>10885</v>
      </c>
      <c r="BS435" t="str">
        <f>HYPERLINK("https%3A%2F%2Fwww.webofscience.com%2Fwos%2Fwoscc%2Ffull-record%2FWOS:000650468400001","View Full Record in Web of Science")</f>
        <v>View Full Record in Web of Science</v>
      </c>
    </row>
    <row r="436" spans="1:71" hidden="1" x14ac:dyDescent="0.2">
      <c r="A436" t="s">
        <v>70</v>
      </c>
      <c r="B436" t="s">
        <v>14110</v>
      </c>
      <c r="C436" t="s">
        <v>72</v>
      </c>
      <c r="D436" t="s">
        <v>72</v>
      </c>
      <c r="E436" t="s">
        <v>72</v>
      </c>
      <c r="F436" t="s">
        <v>14111</v>
      </c>
      <c r="G436" t="s">
        <v>72</v>
      </c>
      <c r="H436" t="s">
        <v>72</v>
      </c>
      <c r="I436" t="s">
        <v>14112</v>
      </c>
      <c r="J436" t="s">
        <v>14113</v>
      </c>
      <c r="K436" t="s">
        <v>72</v>
      </c>
      <c r="L436" t="s">
        <v>72</v>
      </c>
      <c r="M436" t="s">
        <v>76</v>
      </c>
      <c r="N436" t="s">
        <v>77</v>
      </c>
      <c r="O436" t="s">
        <v>72</v>
      </c>
      <c r="P436" t="s">
        <v>72</v>
      </c>
      <c r="Q436" t="s">
        <v>72</v>
      </c>
      <c r="R436" t="s">
        <v>72</v>
      </c>
      <c r="S436" t="s">
        <v>72</v>
      </c>
      <c r="T436" t="s">
        <v>72</v>
      </c>
      <c r="U436" t="s">
        <v>14114</v>
      </c>
      <c r="V436" t="s">
        <v>14115</v>
      </c>
      <c r="W436" t="s">
        <v>14116</v>
      </c>
      <c r="X436" t="s">
        <v>14117</v>
      </c>
      <c r="Y436" t="s">
        <v>14118</v>
      </c>
      <c r="Z436" t="s">
        <v>14119</v>
      </c>
      <c r="AA436" t="s">
        <v>72</v>
      </c>
      <c r="AB436" t="s">
        <v>14120</v>
      </c>
      <c r="AC436" t="s">
        <v>14121</v>
      </c>
      <c r="AD436" t="s">
        <v>14122</v>
      </c>
      <c r="AE436" t="s">
        <v>72</v>
      </c>
      <c r="AF436" t="s">
        <v>72</v>
      </c>
      <c r="AG436">
        <v>20</v>
      </c>
      <c r="AH436">
        <v>6</v>
      </c>
      <c r="AI436">
        <v>6</v>
      </c>
      <c r="AJ436">
        <v>0</v>
      </c>
      <c r="AK436">
        <v>14</v>
      </c>
      <c r="AL436" t="s">
        <v>963</v>
      </c>
      <c r="AM436" t="s">
        <v>964</v>
      </c>
      <c r="AN436" t="s">
        <v>965</v>
      </c>
      <c r="AO436" t="s">
        <v>14123</v>
      </c>
      <c r="AP436" t="s">
        <v>14124</v>
      </c>
      <c r="AQ436" t="s">
        <v>72</v>
      </c>
      <c r="AR436" t="s">
        <v>14113</v>
      </c>
      <c r="AS436" t="s">
        <v>14125</v>
      </c>
      <c r="AT436" t="s">
        <v>1602</v>
      </c>
      <c r="AU436">
        <v>2015</v>
      </c>
      <c r="AV436">
        <v>23</v>
      </c>
      <c r="AW436">
        <v>2</v>
      </c>
      <c r="AX436" t="s">
        <v>72</v>
      </c>
      <c r="AY436" t="s">
        <v>72</v>
      </c>
      <c r="AZ436" t="s">
        <v>72</v>
      </c>
      <c r="BA436" t="s">
        <v>72</v>
      </c>
      <c r="BB436">
        <v>296</v>
      </c>
      <c r="BC436">
        <v>300</v>
      </c>
      <c r="BD436" t="s">
        <v>72</v>
      </c>
      <c r="BE436" t="s">
        <v>14126</v>
      </c>
      <c r="BF436" t="str">
        <f>HYPERLINK("http://dx.doi.org/10.1002/oby.20955","http://dx.doi.org/10.1002/oby.20955")</f>
        <v>http://dx.doi.org/10.1002/oby.20955</v>
      </c>
      <c r="BG436" t="s">
        <v>72</v>
      </c>
      <c r="BH436" t="s">
        <v>72</v>
      </c>
      <c r="BI436">
        <v>5</v>
      </c>
      <c r="BJ436" t="s">
        <v>14127</v>
      </c>
      <c r="BK436" t="s">
        <v>14127</v>
      </c>
      <c r="BL436" t="s">
        <v>14128</v>
      </c>
      <c r="BM436">
        <v>25522013</v>
      </c>
      <c r="BN436" t="s">
        <v>559</v>
      </c>
      <c r="BO436" t="s">
        <v>72</v>
      </c>
      <c r="BP436" t="s">
        <v>72</v>
      </c>
      <c r="BQ436" t="s">
        <v>100</v>
      </c>
      <c r="BR436" t="s">
        <v>14129</v>
      </c>
      <c r="BS436" t="str">
        <f>HYPERLINK("https%3A%2F%2Fwww.webofscience.com%2Fwos%2Fwoscc%2Ffull-record%2FWOS:000349040400009","View Full Record in Web of Science")</f>
        <v>View Full Record in Web of Science</v>
      </c>
    </row>
    <row r="437" spans="1:71" hidden="1" x14ac:dyDescent="0.2">
      <c r="A437" t="s">
        <v>70</v>
      </c>
      <c r="B437" t="s">
        <v>14704</v>
      </c>
      <c r="C437" t="s">
        <v>72</v>
      </c>
      <c r="D437" t="s">
        <v>72</v>
      </c>
      <c r="E437" t="s">
        <v>72</v>
      </c>
      <c r="F437" t="s">
        <v>14705</v>
      </c>
      <c r="G437" t="s">
        <v>72</v>
      </c>
      <c r="H437" t="s">
        <v>72</v>
      </c>
      <c r="I437" t="s">
        <v>14706</v>
      </c>
      <c r="J437" t="s">
        <v>14113</v>
      </c>
      <c r="K437" t="s">
        <v>72</v>
      </c>
      <c r="L437" t="s">
        <v>72</v>
      </c>
      <c r="M437" t="s">
        <v>76</v>
      </c>
      <c r="N437" t="s">
        <v>77</v>
      </c>
      <c r="O437" t="s">
        <v>72</v>
      </c>
      <c r="P437" t="s">
        <v>72</v>
      </c>
      <c r="Q437" t="s">
        <v>72</v>
      </c>
      <c r="R437" t="s">
        <v>72</v>
      </c>
      <c r="S437" t="s">
        <v>72</v>
      </c>
      <c r="T437" t="s">
        <v>72</v>
      </c>
      <c r="U437" t="s">
        <v>14707</v>
      </c>
      <c r="V437" t="s">
        <v>14708</v>
      </c>
      <c r="W437" t="s">
        <v>14709</v>
      </c>
      <c r="X437" t="s">
        <v>14710</v>
      </c>
      <c r="Y437" t="s">
        <v>14711</v>
      </c>
      <c r="Z437" t="s">
        <v>14712</v>
      </c>
      <c r="AA437" t="s">
        <v>72</v>
      </c>
      <c r="AB437" t="s">
        <v>14713</v>
      </c>
      <c r="AC437" t="s">
        <v>14714</v>
      </c>
      <c r="AD437" t="s">
        <v>14715</v>
      </c>
      <c r="AE437" t="s">
        <v>14716</v>
      </c>
      <c r="AF437" t="s">
        <v>72</v>
      </c>
      <c r="AG437">
        <v>41</v>
      </c>
      <c r="AH437">
        <v>4</v>
      </c>
      <c r="AI437">
        <v>4</v>
      </c>
      <c r="AJ437">
        <v>1</v>
      </c>
      <c r="AK437">
        <v>8</v>
      </c>
      <c r="AL437" t="s">
        <v>1260</v>
      </c>
      <c r="AM437" t="s">
        <v>964</v>
      </c>
      <c r="AN437" t="s">
        <v>965</v>
      </c>
      <c r="AO437" t="s">
        <v>14123</v>
      </c>
      <c r="AP437" t="s">
        <v>14124</v>
      </c>
      <c r="AQ437" t="s">
        <v>72</v>
      </c>
      <c r="AR437" t="s">
        <v>14113</v>
      </c>
      <c r="AS437" t="s">
        <v>14125</v>
      </c>
      <c r="AT437" t="s">
        <v>776</v>
      </c>
      <c r="AU437">
        <v>2020</v>
      </c>
      <c r="AV437">
        <v>28</v>
      </c>
      <c r="AW437">
        <v>7</v>
      </c>
      <c r="AX437" t="s">
        <v>72</v>
      </c>
      <c r="AY437" t="s">
        <v>72</v>
      </c>
      <c r="AZ437" t="s">
        <v>72</v>
      </c>
      <c r="BA437" t="s">
        <v>72</v>
      </c>
      <c r="BB437">
        <v>1351</v>
      </c>
      <c r="BC437">
        <v>1357</v>
      </c>
      <c r="BD437" t="s">
        <v>72</v>
      </c>
      <c r="BE437" t="s">
        <v>14717</v>
      </c>
      <c r="BF437" t="str">
        <f>HYPERLINK("http://dx.doi.org/10.1002/oby.22845","http://dx.doi.org/10.1002/oby.22845")</f>
        <v>http://dx.doi.org/10.1002/oby.22845</v>
      </c>
      <c r="BG437" t="s">
        <v>72</v>
      </c>
      <c r="BH437" t="s">
        <v>2237</v>
      </c>
      <c r="BI437">
        <v>7</v>
      </c>
      <c r="BJ437" t="s">
        <v>14127</v>
      </c>
      <c r="BK437" t="s">
        <v>14127</v>
      </c>
      <c r="BL437" t="s">
        <v>14718</v>
      </c>
      <c r="BM437">
        <v>32475076</v>
      </c>
      <c r="BN437" t="s">
        <v>559</v>
      </c>
      <c r="BO437" t="s">
        <v>72</v>
      </c>
      <c r="BP437" t="s">
        <v>72</v>
      </c>
      <c r="BQ437" t="s">
        <v>100</v>
      </c>
      <c r="BR437" t="s">
        <v>14719</v>
      </c>
      <c r="BS437" t="str">
        <f>HYPERLINK("https%3A%2F%2Fwww.webofscience.com%2Fwos%2Fwoscc%2Ffull-record%2FWOS:000536369500001","View Full Record in Web of Science")</f>
        <v>View Full Record in Web of Science</v>
      </c>
    </row>
    <row r="438" spans="1:71" hidden="1" x14ac:dyDescent="0.2">
      <c r="A438" t="s">
        <v>305</v>
      </c>
      <c r="B438" t="s">
        <v>7719</v>
      </c>
      <c r="C438" t="s">
        <v>72</v>
      </c>
      <c r="D438" t="s">
        <v>72</v>
      </c>
      <c r="E438" t="s">
        <v>1102</v>
      </c>
      <c r="F438" t="s">
        <v>7720</v>
      </c>
      <c r="G438" t="s">
        <v>72</v>
      </c>
      <c r="H438" t="s">
        <v>72</v>
      </c>
      <c r="I438" t="s">
        <v>7721</v>
      </c>
      <c r="J438" t="s">
        <v>7722</v>
      </c>
      <c r="K438" t="s">
        <v>7723</v>
      </c>
      <c r="L438" t="s">
        <v>72</v>
      </c>
      <c r="M438" t="s">
        <v>76</v>
      </c>
      <c r="N438" t="s">
        <v>312</v>
      </c>
      <c r="O438" t="s">
        <v>7724</v>
      </c>
      <c r="P438" t="s">
        <v>7725</v>
      </c>
      <c r="Q438" t="s">
        <v>7726</v>
      </c>
      <c r="R438" t="s">
        <v>7727</v>
      </c>
      <c r="S438" t="s">
        <v>72</v>
      </c>
      <c r="T438" t="s">
        <v>7728</v>
      </c>
      <c r="U438" t="s">
        <v>72</v>
      </c>
      <c r="V438" t="s">
        <v>7729</v>
      </c>
      <c r="W438" t="s">
        <v>7730</v>
      </c>
      <c r="X438" t="s">
        <v>5476</v>
      </c>
      <c r="Y438" t="s">
        <v>7731</v>
      </c>
      <c r="Z438" t="s">
        <v>7732</v>
      </c>
      <c r="AA438" t="s">
        <v>72</v>
      </c>
      <c r="AB438" t="s">
        <v>72</v>
      </c>
      <c r="AC438" t="s">
        <v>72</v>
      </c>
      <c r="AD438" t="s">
        <v>72</v>
      </c>
      <c r="AE438" t="s">
        <v>72</v>
      </c>
      <c r="AF438" t="s">
        <v>72</v>
      </c>
      <c r="AG438">
        <v>19</v>
      </c>
      <c r="AH438">
        <v>6</v>
      </c>
      <c r="AI438">
        <v>7</v>
      </c>
      <c r="AJ438">
        <v>4</v>
      </c>
      <c r="AK438">
        <v>9</v>
      </c>
      <c r="AL438" t="s">
        <v>1102</v>
      </c>
      <c r="AM438" t="s">
        <v>707</v>
      </c>
      <c r="AN438" t="s">
        <v>1121</v>
      </c>
      <c r="AO438" t="s">
        <v>7733</v>
      </c>
      <c r="AP438" t="s">
        <v>72</v>
      </c>
      <c r="AQ438" t="s">
        <v>7734</v>
      </c>
      <c r="AR438" t="s">
        <v>7735</v>
      </c>
      <c r="AS438" t="s">
        <v>72</v>
      </c>
      <c r="AT438" t="s">
        <v>72</v>
      </c>
      <c r="AU438">
        <v>2018</v>
      </c>
      <c r="AV438" t="s">
        <v>72</v>
      </c>
      <c r="AW438" t="s">
        <v>72</v>
      </c>
      <c r="AX438" t="s">
        <v>72</v>
      </c>
      <c r="AY438" t="s">
        <v>72</v>
      </c>
      <c r="AZ438" t="s">
        <v>72</v>
      </c>
      <c r="BA438" t="s">
        <v>72</v>
      </c>
      <c r="BB438">
        <v>122</v>
      </c>
      <c r="BC438">
        <v>126</v>
      </c>
      <c r="BD438" t="s">
        <v>72</v>
      </c>
      <c r="BE438" t="s">
        <v>72</v>
      </c>
      <c r="BF438" t="s">
        <v>72</v>
      </c>
      <c r="BG438" t="s">
        <v>72</v>
      </c>
      <c r="BH438" t="s">
        <v>72</v>
      </c>
      <c r="BI438">
        <v>5</v>
      </c>
      <c r="BJ438" t="s">
        <v>7736</v>
      </c>
      <c r="BK438" t="s">
        <v>7737</v>
      </c>
      <c r="BL438" t="s">
        <v>7738</v>
      </c>
      <c r="BM438" t="s">
        <v>72</v>
      </c>
      <c r="BN438" t="s">
        <v>72</v>
      </c>
      <c r="BO438" t="s">
        <v>72</v>
      </c>
      <c r="BP438" t="s">
        <v>72</v>
      </c>
      <c r="BQ438" t="s">
        <v>100</v>
      </c>
      <c r="BR438" t="s">
        <v>7739</v>
      </c>
      <c r="BS438" t="str">
        <f>HYPERLINK("https%3A%2F%2Fwww.webofscience.com%2Fwos%2Fwoscc%2Ffull-record%2FWOS:000434809300022","View Full Record in Web of Science")</f>
        <v>View Full Record in Web of Science</v>
      </c>
    </row>
    <row r="439" spans="1:71" hidden="1" x14ac:dyDescent="0.2">
      <c r="A439" t="s">
        <v>70</v>
      </c>
      <c r="B439" t="s">
        <v>8231</v>
      </c>
      <c r="C439" t="s">
        <v>72</v>
      </c>
      <c r="D439" t="s">
        <v>72</v>
      </c>
      <c r="E439" t="s">
        <v>72</v>
      </c>
      <c r="F439" t="s">
        <v>8232</v>
      </c>
      <c r="G439" t="s">
        <v>72</v>
      </c>
      <c r="H439" t="s">
        <v>72</v>
      </c>
      <c r="I439" t="s">
        <v>8233</v>
      </c>
      <c r="J439" t="s">
        <v>8234</v>
      </c>
      <c r="K439" t="s">
        <v>72</v>
      </c>
      <c r="L439" t="s">
        <v>72</v>
      </c>
      <c r="M439" t="s">
        <v>76</v>
      </c>
      <c r="N439" t="s">
        <v>77</v>
      </c>
      <c r="O439" t="s">
        <v>72</v>
      </c>
      <c r="P439" t="s">
        <v>72</v>
      </c>
      <c r="Q439" t="s">
        <v>72</v>
      </c>
      <c r="R439" t="s">
        <v>72</v>
      </c>
      <c r="S439" t="s">
        <v>72</v>
      </c>
      <c r="T439" t="s">
        <v>8235</v>
      </c>
      <c r="U439" t="s">
        <v>8236</v>
      </c>
      <c r="V439" t="s">
        <v>8237</v>
      </c>
      <c r="W439" t="s">
        <v>8238</v>
      </c>
      <c r="X439" t="s">
        <v>8239</v>
      </c>
      <c r="Y439" t="s">
        <v>8240</v>
      </c>
      <c r="Z439" t="s">
        <v>8241</v>
      </c>
      <c r="AA439" t="s">
        <v>72</v>
      </c>
      <c r="AB439" t="s">
        <v>72</v>
      </c>
      <c r="AC439" t="s">
        <v>8242</v>
      </c>
      <c r="AD439" t="s">
        <v>8243</v>
      </c>
      <c r="AE439" t="s">
        <v>8244</v>
      </c>
      <c r="AF439" t="s">
        <v>72</v>
      </c>
      <c r="AG439">
        <v>84</v>
      </c>
      <c r="AH439">
        <v>1</v>
      </c>
      <c r="AI439">
        <v>1</v>
      </c>
      <c r="AJ439">
        <v>5</v>
      </c>
      <c r="AK439">
        <v>5</v>
      </c>
      <c r="AL439" t="s">
        <v>1596</v>
      </c>
      <c r="AM439" t="s">
        <v>451</v>
      </c>
      <c r="AN439" t="s">
        <v>1597</v>
      </c>
      <c r="AO439" t="s">
        <v>8245</v>
      </c>
      <c r="AP439" t="s">
        <v>8246</v>
      </c>
      <c r="AQ439" t="s">
        <v>72</v>
      </c>
      <c r="AR439" t="s">
        <v>8247</v>
      </c>
      <c r="AS439" t="s">
        <v>8248</v>
      </c>
      <c r="AT439" t="s">
        <v>951</v>
      </c>
      <c r="AU439">
        <v>2022</v>
      </c>
      <c r="AV439">
        <v>83</v>
      </c>
      <c r="AW439" t="s">
        <v>72</v>
      </c>
      <c r="AX439" t="s">
        <v>72</v>
      </c>
      <c r="AY439" t="s">
        <v>72</v>
      </c>
      <c r="AZ439" t="s">
        <v>72</v>
      </c>
      <c r="BA439" t="s">
        <v>72</v>
      </c>
      <c r="BB439" t="s">
        <v>72</v>
      </c>
      <c r="BC439" t="s">
        <v>72</v>
      </c>
      <c r="BD439">
        <v>101134</v>
      </c>
      <c r="BE439" t="s">
        <v>8249</v>
      </c>
      <c r="BF439" t="str">
        <f>HYPERLINK("http://dx.doi.org/10.1016/j.destud.2022.101134","http://dx.doi.org/10.1016/j.destud.2022.101134")</f>
        <v>http://dx.doi.org/10.1016/j.destud.2022.101134</v>
      </c>
      <c r="BG439" t="s">
        <v>72</v>
      </c>
      <c r="BH439" t="s">
        <v>72</v>
      </c>
      <c r="BI439">
        <v>33</v>
      </c>
      <c r="BJ439" t="s">
        <v>8250</v>
      </c>
      <c r="BK439" t="s">
        <v>7737</v>
      </c>
      <c r="BL439" t="s">
        <v>8251</v>
      </c>
      <c r="BM439" t="s">
        <v>72</v>
      </c>
      <c r="BN439" t="s">
        <v>2403</v>
      </c>
      <c r="BO439" t="s">
        <v>72</v>
      </c>
      <c r="BP439" t="s">
        <v>72</v>
      </c>
      <c r="BQ439" t="s">
        <v>100</v>
      </c>
      <c r="BR439" t="s">
        <v>8252</v>
      </c>
      <c r="BS439" t="str">
        <f>HYPERLINK("https%3A%2F%2Fwww.webofscience.com%2Fwos%2Fwoscc%2Ffull-record%2FWOS:000865009300001","View Full Record in Web of Science")</f>
        <v>View Full Record in Web of Science</v>
      </c>
    </row>
    <row r="440" spans="1:71" hidden="1" x14ac:dyDescent="0.2">
      <c r="A440" t="s">
        <v>305</v>
      </c>
      <c r="B440" t="s">
        <v>14819</v>
      </c>
      <c r="C440" t="s">
        <v>72</v>
      </c>
      <c r="D440" t="s">
        <v>72</v>
      </c>
      <c r="E440" t="s">
        <v>1102</v>
      </c>
      <c r="F440" t="s">
        <v>14820</v>
      </c>
      <c r="G440" t="s">
        <v>72</v>
      </c>
      <c r="H440" t="s">
        <v>72</v>
      </c>
      <c r="I440" t="s">
        <v>14821</v>
      </c>
      <c r="J440" t="s">
        <v>14822</v>
      </c>
      <c r="K440" t="s">
        <v>72</v>
      </c>
      <c r="L440" t="s">
        <v>72</v>
      </c>
      <c r="M440" t="s">
        <v>76</v>
      </c>
      <c r="N440" t="s">
        <v>312</v>
      </c>
      <c r="O440" t="s">
        <v>14823</v>
      </c>
      <c r="P440" t="s">
        <v>14824</v>
      </c>
      <c r="Q440" t="s">
        <v>14825</v>
      </c>
      <c r="R440" t="s">
        <v>1102</v>
      </c>
      <c r="S440" t="s">
        <v>72</v>
      </c>
      <c r="T440" t="s">
        <v>14826</v>
      </c>
      <c r="U440" t="s">
        <v>72</v>
      </c>
      <c r="V440" t="s">
        <v>14827</v>
      </c>
      <c r="W440" t="s">
        <v>14828</v>
      </c>
      <c r="X440" t="s">
        <v>14829</v>
      </c>
      <c r="Y440" t="s">
        <v>14830</v>
      </c>
      <c r="Z440" t="s">
        <v>14831</v>
      </c>
      <c r="AA440" t="s">
        <v>72</v>
      </c>
      <c r="AB440" t="s">
        <v>72</v>
      </c>
      <c r="AC440" t="s">
        <v>14832</v>
      </c>
      <c r="AD440" t="s">
        <v>14833</v>
      </c>
      <c r="AE440" t="s">
        <v>14834</v>
      </c>
      <c r="AF440" t="s">
        <v>72</v>
      </c>
      <c r="AG440">
        <v>15</v>
      </c>
      <c r="AH440">
        <v>1</v>
      </c>
      <c r="AI440">
        <v>1</v>
      </c>
      <c r="AJ440">
        <v>0</v>
      </c>
      <c r="AK440">
        <v>4</v>
      </c>
      <c r="AL440" t="s">
        <v>1102</v>
      </c>
      <c r="AM440" t="s">
        <v>707</v>
      </c>
      <c r="AN440" t="s">
        <v>1121</v>
      </c>
      <c r="AO440" t="s">
        <v>72</v>
      </c>
      <c r="AP440" t="s">
        <v>72</v>
      </c>
      <c r="AQ440" t="s">
        <v>14835</v>
      </c>
      <c r="AR440" t="s">
        <v>72</v>
      </c>
      <c r="AS440" t="s">
        <v>72</v>
      </c>
      <c r="AT440" t="s">
        <v>72</v>
      </c>
      <c r="AU440">
        <v>2017</v>
      </c>
      <c r="AV440" t="s">
        <v>72</v>
      </c>
      <c r="AW440" t="s">
        <v>72</v>
      </c>
      <c r="AX440" t="s">
        <v>72</v>
      </c>
      <c r="AY440" t="s">
        <v>72</v>
      </c>
      <c r="AZ440" t="s">
        <v>72</v>
      </c>
      <c r="BA440" t="s">
        <v>72</v>
      </c>
      <c r="BB440" t="s">
        <v>72</v>
      </c>
      <c r="BC440" t="s">
        <v>72</v>
      </c>
      <c r="BD440" t="s">
        <v>72</v>
      </c>
      <c r="BE440" t="s">
        <v>72</v>
      </c>
      <c r="BF440" t="s">
        <v>72</v>
      </c>
      <c r="BG440" t="s">
        <v>72</v>
      </c>
      <c r="BH440" t="s">
        <v>72</v>
      </c>
      <c r="BI440">
        <v>3</v>
      </c>
      <c r="BJ440" t="s">
        <v>7736</v>
      </c>
      <c r="BK440" t="s">
        <v>7737</v>
      </c>
      <c r="BL440" t="s">
        <v>14836</v>
      </c>
      <c r="BM440" t="s">
        <v>72</v>
      </c>
      <c r="BN440" t="s">
        <v>72</v>
      </c>
      <c r="BO440" t="s">
        <v>72</v>
      </c>
      <c r="BP440" t="s">
        <v>72</v>
      </c>
      <c r="BQ440" t="s">
        <v>100</v>
      </c>
      <c r="BR440" t="s">
        <v>14837</v>
      </c>
      <c r="BS440" t="str">
        <f>HYPERLINK("https%3A%2F%2Fwww.webofscience.com%2Fwos%2Fwoscc%2Ffull-record%2FWOS:000408273100073","View Full Record in Web of Science")</f>
        <v>View Full Record in Web of Science</v>
      </c>
    </row>
    <row r="441" spans="1:71" hidden="1" x14ac:dyDescent="0.2">
      <c r="A441" t="s">
        <v>70</v>
      </c>
      <c r="B441" t="s">
        <v>13656</v>
      </c>
      <c r="C441" t="s">
        <v>72</v>
      </c>
      <c r="D441" t="s">
        <v>72</v>
      </c>
      <c r="E441" t="s">
        <v>72</v>
      </c>
      <c r="F441" t="s">
        <v>13657</v>
      </c>
      <c r="G441" t="s">
        <v>72</v>
      </c>
      <c r="H441" t="s">
        <v>72</v>
      </c>
      <c r="I441" t="s">
        <v>13658</v>
      </c>
      <c r="J441" t="s">
        <v>13659</v>
      </c>
      <c r="K441" t="s">
        <v>72</v>
      </c>
      <c r="L441" t="s">
        <v>72</v>
      </c>
      <c r="M441" t="s">
        <v>76</v>
      </c>
      <c r="N441" t="s">
        <v>77</v>
      </c>
      <c r="O441" t="s">
        <v>72</v>
      </c>
      <c r="P441" t="s">
        <v>72</v>
      </c>
      <c r="Q441" t="s">
        <v>72</v>
      </c>
      <c r="R441" t="s">
        <v>72</v>
      </c>
      <c r="S441" t="s">
        <v>72</v>
      </c>
      <c r="T441" t="s">
        <v>13660</v>
      </c>
      <c r="U441" t="s">
        <v>72</v>
      </c>
      <c r="V441" t="s">
        <v>13661</v>
      </c>
      <c r="W441" t="s">
        <v>13662</v>
      </c>
      <c r="X441" t="s">
        <v>1201</v>
      </c>
      <c r="Y441" t="s">
        <v>13663</v>
      </c>
      <c r="Z441" t="s">
        <v>13664</v>
      </c>
      <c r="AA441" t="s">
        <v>72</v>
      </c>
      <c r="AB441" t="s">
        <v>13665</v>
      </c>
      <c r="AC441" t="s">
        <v>72</v>
      </c>
      <c r="AD441" t="s">
        <v>72</v>
      </c>
      <c r="AE441" t="s">
        <v>72</v>
      </c>
      <c r="AF441" t="s">
        <v>72</v>
      </c>
      <c r="AG441">
        <v>85</v>
      </c>
      <c r="AH441">
        <v>2</v>
      </c>
      <c r="AI441">
        <v>2</v>
      </c>
      <c r="AJ441">
        <v>4</v>
      </c>
      <c r="AK441">
        <v>12</v>
      </c>
      <c r="AL441" t="s">
        <v>1461</v>
      </c>
      <c r="AM441" t="s">
        <v>1462</v>
      </c>
      <c r="AN441" t="s">
        <v>1463</v>
      </c>
      <c r="AO441" t="s">
        <v>13666</v>
      </c>
      <c r="AP441" t="s">
        <v>13667</v>
      </c>
      <c r="AQ441" t="s">
        <v>72</v>
      </c>
      <c r="AR441" t="s">
        <v>13668</v>
      </c>
      <c r="AS441" t="s">
        <v>13669</v>
      </c>
      <c r="AT441" t="s">
        <v>149</v>
      </c>
      <c r="AU441">
        <v>2021</v>
      </c>
      <c r="AV441">
        <v>26</v>
      </c>
      <c r="AW441">
        <v>4</v>
      </c>
      <c r="AX441" t="s">
        <v>72</v>
      </c>
      <c r="AY441" t="s">
        <v>72</v>
      </c>
      <c r="AZ441" t="s">
        <v>72</v>
      </c>
      <c r="BA441" t="s">
        <v>72</v>
      </c>
      <c r="BB441">
        <v>692</v>
      </c>
      <c r="BC441">
        <v>706</v>
      </c>
      <c r="BD441" t="s">
        <v>72</v>
      </c>
      <c r="BE441" t="s">
        <v>13670</v>
      </c>
      <c r="BF441" t="str">
        <f>HYPERLINK("http://dx.doi.org/10.1007/s11367-021-01873-6","http://dx.doi.org/10.1007/s11367-021-01873-6")</f>
        <v>http://dx.doi.org/10.1007/s11367-021-01873-6</v>
      </c>
      <c r="BG441" t="s">
        <v>72</v>
      </c>
      <c r="BH441" t="s">
        <v>344</v>
      </c>
      <c r="BI441">
        <v>15</v>
      </c>
      <c r="BJ441" t="s">
        <v>13671</v>
      </c>
      <c r="BK441" t="s">
        <v>13672</v>
      </c>
      <c r="BL441" t="s">
        <v>13673</v>
      </c>
      <c r="BM441" t="s">
        <v>72</v>
      </c>
      <c r="BN441" t="s">
        <v>2403</v>
      </c>
      <c r="BO441" t="s">
        <v>72</v>
      </c>
      <c r="BP441" t="s">
        <v>72</v>
      </c>
      <c r="BQ441" t="s">
        <v>100</v>
      </c>
      <c r="BR441" t="s">
        <v>13674</v>
      </c>
      <c r="BS441" t="str">
        <f>HYPERLINK("https%3A%2F%2Fwww.webofscience.com%2Fwos%2Fwoscc%2Ffull-record%2FWOS:000616597800001","View Full Record in Web of Science")</f>
        <v>View Full Record in Web of Science</v>
      </c>
    </row>
    <row r="442" spans="1:71" hidden="1" x14ac:dyDescent="0.2">
      <c r="A442" t="s">
        <v>305</v>
      </c>
      <c r="B442" t="s">
        <v>7793</v>
      </c>
      <c r="C442" t="s">
        <v>72</v>
      </c>
      <c r="D442" t="s">
        <v>72</v>
      </c>
      <c r="E442" t="s">
        <v>1102</v>
      </c>
      <c r="F442" t="s">
        <v>7794</v>
      </c>
      <c r="G442" t="s">
        <v>72</v>
      </c>
      <c r="H442" t="s">
        <v>72</v>
      </c>
      <c r="I442" t="s">
        <v>7795</v>
      </c>
      <c r="J442" t="s">
        <v>7796</v>
      </c>
      <c r="K442" t="s">
        <v>7797</v>
      </c>
      <c r="L442" t="s">
        <v>72</v>
      </c>
      <c r="M442" t="s">
        <v>76</v>
      </c>
      <c r="N442" t="s">
        <v>312</v>
      </c>
      <c r="O442" t="s">
        <v>7798</v>
      </c>
      <c r="P442" t="s">
        <v>7799</v>
      </c>
      <c r="Q442" t="s">
        <v>7800</v>
      </c>
      <c r="R442" t="s">
        <v>7801</v>
      </c>
      <c r="S442" t="s">
        <v>72</v>
      </c>
      <c r="T442" t="s">
        <v>7802</v>
      </c>
      <c r="U442" t="s">
        <v>7803</v>
      </c>
      <c r="V442" t="s">
        <v>7804</v>
      </c>
      <c r="W442" t="s">
        <v>7805</v>
      </c>
      <c r="X442" t="s">
        <v>7806</v>
      </c>
      <c r="Y442" t="s">
        <v>7807</v>
      </c>
      <c r="Z442" t="s">
        <v>72</v>
      </c>
      <c r="AA442" t="s">
        <v>7808</v>
      </c>
      <c r="AB442" t="s">
        <v>72</v>
      </c>
      <c r="AC442" t="s">
        <v>72</v>
      </c>
      <c r="AD442" t="s">
        <v>72</v>
      </c>
      <c r="AE442" t="s">
        <v>72</v>
      </c>
      <c r="AF442" t="s">
        <v>72</v>
      </c>
      <c r="AG442">
        <v>5</v>
      </c>
      <c r="AH442">
        <v>1</v>
      </c>
      <c r="AI442">
        <v>1</v>
      </c>
      <c r="AJ442">
        <v>0</v>
      </c>
      <c r="AK442">
        <v>3</v>
      </c>
      <c r="AL442" t="s">
        <v>1102</v>
      </c>
      <c r="AM442" t="s">
        <v>707</v>
      </c>
      <c r="AN442" t="s">
        <v>1121</v>
      </c>
      <c r="AO442" t="s">
        <v>7809</v>
      </c>
      <c r="AP442" t="s">
        <v>72</v>
      </c>
      <c r="AQ442" t="s">
        <v>7810</v>
      </c>
      <c r="AR442" t="s">
        <v>7811</v>
      </c>
      <c r="AS442" t="s">
        <v>72</v>
      </c>
      <c r="AT442" t="s">
        <v>72</v>
      </c>
      <c r="AU442">
        <v>2013</v>
      </c>
      <c r="AV442" t="s">
        <v>72</v>
      </c>
      <c r="AW442" t="s">
        <v>72</v>
      </c>
      <c r="AX442" t="s">
        <v>72</v>
      </c>
      <c r="AY442" t="s">
        <v>72</v>
      </c>
      <c r="AZ442" t="s">
        <v>72</v>
      </c>
      <c r="BA442" t="s">
        <v>72</v>
      </c>
      <c r="BB442">
        <v>4352</v>
      </c>
      <c r="BC442">
        <v>4355</v>
      </c>
      <c r="BD442" t="s">
        <v>72</v>
      </c>
      <c r="BE442" t="s">
        <v>7812</v>
      </c>
      <c r="BF442" t="str">
        <f>HYPERLINK("http://dx.doi.org/10.1109/IGARSS.2013.6723798","http://dx.doi.org/10.1109/IGARSS.2013.6723798")</f>
        <v>http://dx.doi.org/10.1109/IGARSS.2013.6723798</v>
      </c>
      <c r="BG442" t="s">
        <v>72</v>
      </c>
      <c r="BH442" t="s">
        <v>72</v>
      </c>
      <c r="BI442">
        <v>4</v>
      </c>
      <c r="BJ442" t="s">
        <v>7813</v>
      </c>
      <c r="BK442" t="s">
        <v>7814</v>
      </c>
      <c r="BL442" t="s">
        <v>7815</v>
      </c>
      <c r="BM442" t="s">
        <v>72</v>
      </c>
      <c r="BN442" t="s">
        <v>72</v>
      </c>
      <c r="BO442" t="s">
        <v>72</v>
      </c>
      <c r="BP442" t="s">
        <v>72</v>
      </c>
      <c r="BQ442" t="s">
        <v>100</v>
      </c>
      <c r="BR442" t="s">
        <v>7816</v>
      </c>
      <c r="BS442" t="str">
        <f>HYPERLINK("https%3A%2F%2Fwww.webofscience.com%2Fwos%2Fwoscc%2Ffull-record%2FWOS:000345638904100","View Full Record in Web of Science")</f>
        <v>View Full Record in Web of Science</v>
      </c>
    </row>
    <row r="443" spans="1:71" hidden="1" x14ac:dyDescent="0.2">
      <c r="A443" t="s">
        <v>305</v>
      </c>
      <c r="B443" t="s">
        <v>8386</v>
      </c>
      <c r="C443" t="s">
        <v>72</v>
      </c>
      <c r="D443" t="s">
        <v>72</v>
      </c>
      <c r="E443" t="s">
        <v>1102</v>
      </c>
      <c r="F443" t="s">
        <v>8387</v>
      </c>
      <c r="G443" t="s">
        <v>72</v>
      </c>
      <c r="H443" t="s">
        <v>72</v>
      </c>
      <c r="I443" t="s">
        <v>8388</v>
      </c>
      <c r="J443" t="s">
        <v>8389</v>
      </c>
      <c r="K443" t="s">
        <v>7797</v>
      </c>
      <c r="L443" t="s">
        <v>72</v>
      </c>
      <c r="M443" t="s">
        <v>76</v>
      </c>
      <c r="N443" t="s">
        <v>312</v>
      </c>
      <c r="O443" t="s">
        <v>8390</v>
      </c>
      <c r="P443" t="s">
        <v>8391</v>
      </c>
      <c r="Q443" t="s">
        <v>8392</v>
      </c>
      <c r="R443" t="s">
        <v>8393</v>
      </c>
      <c r="S443" t="s">
        <v>72</v>
      </c>
      <c r="T443" t="s">
        <v>8394</v>
      </c>
      <c r="U443" t="s">
        <v>72</v>
      </c>
      <c r="V443" t="s">
        <v>8395</v>
      </c>
      <c r="W443" t="s">
        <v>8396</v>
      </c>
      <c r="X443" t="s">
        <v>7806</v>
      </c>
      <c r="Y443" t="s">
        <v>8397</v>
      </c>
      <c r="Z443" t="s">
        <v>72</v>
      </c>
      <c r="AA443" t="s">
        <v>72</v>
      </c>
      <c r="AB443" t="s">
        <v>72</v>
      </c>
      <c r="AC443" t="s">
        <v>8398</v>
      </c>
      <c r="AD443" t="s">
        <v>8398</v>
      </c>
      <c r="AE443" t="s">
        <v>8399</v>
      </c>
      <c r="AF443" t="s">
        <v>72</v>
      </c>
      <c r="AG443">
        <v>11</v>
      </c>
      <c r="AH443">
        <v>1</v>
      </c>
      <c r="AI443">
        <v>1</v>
      </c>
      <c r="AJ443">
        <v>0</v>
      </c>
      <c r="AK443">
        <v>0</v>
      </c>
      <c r="AL443" t="s">
        <v>1102</v>
      </c>
      <c r="AM443" t="s">
        <v>707</v>
      </c>
      <c r="AN443" t="s">
        <v>1121</v>
      </c>
      <c r="AO443" t="s">
        <v>7809</v>
      </c>
      <c r="AP443" t="s">
        <v>72</v>
      </c>
      <c r="AQ443" t="s">
        <v>8400</v>
      </c>
      <c r="AR443" t="s">
        <v>7811</v>
      </c>
      <c r="AS443" t="s">
        <v>72</v>
      </c>
      <c r="AT443" t="s">
        <v>72</v>
      </c>
      <c r="AU443">
        <v>2018</v>
      </c>
      <c r="AV443" t="s">
        <v>72</v>
      </c>
      <c r="AW443" t="s">
        <v>72</v>
      </c>
      <c r="AX443" t="s">
        <v>72</v>
      </c>
      <c r="AY443" t="s">
        <v>72</v>
      </c>
      <c r="AZ443" t="s">
        <v>72</v>
      </c>
      <c r="BA443" t="s">
        <v>72</v>
      </c>
      <c r="BB443">
        <v>2400</v>
      </c>
      <c r="BC443">
        <v>2403</v>
      </c>
      <c r="BD443" t="s">
        <v>72</v>
      </c>
      <c r="BE443" t="s">
        <v>72</v>
      </c>
      <c r="BF443" t="s">
        <v>72</v>
      </c>
      <c r="BG443" t="s">
        <v>72</v>
      </c>
      <c r="BH443" t="s">
        <v>72</v>
      </c>
      <c r="BI443">
        <v>4</v>
      </c>
      <c r="BJ443" t="s">
        <v>7813</v>
      </c>
      <c r="BK443" t="s">
        <v>7814</v>
      </c>
      <c r="BL443" t="s">
        <v>8401</v>
      </c>
      <c r="BM443" t="s">
        <v>72</v>
      </c>
      <c r="BN443" t="s">
        <v>72</v>
      </c>
      <c r="BO443" t="s">
        <v>72</v>
      </c>
      <c r="BP443" t="s">
        <v>72</v>
      </c>
      <c r="BQ443" t="s">
        <v>100</v>
      </c>
      <c r="BR443" t="s">
        <v>8402</v>
      </c>
      <c r="BS443" t="str">
        <f>HYPERLINK("https%3A%2F%2Fwww.webofscience.com%2Fwos%2Fwoscc%2Ffull-record%2FWOS:000451039802133","View Full Record in Web of Science")</f>
        <v>View Full Record in Web of Science</v>
      </c>
    </row>
    <row r="444" spans="1:71" hidden="1" x14ac:dyDescent="0.2">
      <c r="A444" t="s">
        <v>70</v>
      </c>
      <c r="B444" t="s">
        <v>8892</v>
      </c>
      <c r="C444" t="s">
        <v>72</v>
      </c>
      <c r="D444" t="s">
        <v>72</v>
      </c>
      <c r="E444" t="s">
        <v>72</v>
      </c>
      <c r="F444" t="s">
        <v>8893</v>
      </c>
      <c r="G444" t="s">
        <v>72</v>
      </c>
      <c r="H444" t="s">
        <v>72</v>
      </c>
      <c r="I444" t="s">
        <v>8894</v>
      </c>
      <c r="J444" t="s">
        <v>8895</v>
      </c>
      <c r="K444" t="s">
        <v>72</v>
      </c>
      <c r="L444" t="s">
        <v>72</v>
      </c>
      <c r="M444" t="s">
        <v>76</v>
      </c>
      <c r="N444" t="s">
        <v>77</v>
      </c>
      <c r="O444" t="s">
        <v>72</v>
      </c>
      <c r="P444" t="s">
        <v>72</v>
      </c>
      <c r="Q444" t="s">
        <v>72</v>
      </c>
      <c r="R444" t="s">
        <v>72</v>
      </c>
      <c r="S444" t="s">
        <v>72</v>
      </c>
      <c r="T444" t="s">
        <v>8896</v>
      </c>
      <c r="U444" t="s">
        <v>8897</v>
      </c>
      <c r="V444" t="s">
        <v>8898</v>
      </c>
      <c r="W444" t="s">
        <v>8899</v>
      </c>
      <c r="X444" t="s">
        <v>8900</v>
      </c>
      <c r="Y444" t="s">
        <v>8901</v>
      </c>
      <c r="Z444" t="s">
        <v>8902</v>
      </c>
      <c r="AA444" t="s">
        <v>72</v>
      </c>
      <c r="AB444" t="s">
        <v>8903</v>
      </c>
      <c r="AC444" t="s">
        <v>8904</v>
      </c>
      <c r="AD444" t="s">
        <v>8905</v>
      </c>
      <c r="AE444" t="s">
        <v>8906</v>
      </c>
      <c r="AF444" t="s">
        <v>72</v>
      </c>
      <c r="AG444">
        <v>52</v>
      </c>
      <c r="AH444">
        <v>1</v>
      </c>
      <c r="AI444">
        <v>1</v>
      </c>
      <c r="AJ444">
        <v>13</v>
      </c>
      <c r="AK444">
        <v>13</v>
      </c>
      <c r="AL444" t="s">
        <v>1260</v>
      </c>
      <c r="AM444" t="s">
        <v>964</v>
      </c>
      <c r="AN444" t="s">
        <v>965</v>
      </c>
      <c r="AO444" t="s">
        <v>8907</v>
      </c>
      <c r="AP444" t="s">
        <v>8908</v>
      </c>
      <c r="AQ444" t="s">
        <v>72</v>
      </c>
      <c r="AR444" t="s">
        <v>8909</v>
      </c>
      <c r="AS444" t="s">
        <v>8910</v>
      </c>
      <c r="AT444" t="s">
        <v>395</v>
      </c>
      <c r="AU444">
        <v>2022</v>
      </c>
      <c r="AV444">
        <v>31</v>
      </c>
      <c r="AW444">
        <v>10</v>
      </c>
      <c r="AX444" t="s">
        <v>72</v>
      </c>
      <c r="AY444" t="s">
        <v>72</v>
      </c>
      <c r="AZ444" t="s">
        <v>72</v>
      </c>
      <c r="BA444" t="s">
        <v>72</v>
      </c>
      <c r="BB444">
        <v>3727</v>
      </c>
      <c r="BC444">
        <v>3748</v>
      </c>
      <c r="BD444" t="s">
        <v>72</v>
      </c>
      <c r="BE444" t="s">
        <v>8911</v>
      </c>
      <c r="BF444" t="str">
        <f>HYPERLINK("http://dx.doi.org/10.1111/poms.13811","http://dx.doi.org/10.1111/poms.13811")</f>
        <v>http://dx.doi.org/10.1111/poms.13811</v>
      </c>
      <c r="BG444" t="s">
        <v>72</v>
      </c>
      <c r="BH444" t="s">
        <v>1072</v>
      </c>
      <c r="BI444">
        <v>22</v>
      </c>
      <c r="BJ444" t="s">
        <v>8912</v>
      </c>
      <c r="BK444" t="s">
        <v>8913</v>
      </c>
      <c r="BL444" t="s">
        <v>8914</v>
      </c>
      <c r="BM444" t="s">
        <v>72</v>
      </c>
      <c r="BN444" t="s">
        <v>72</v>
      </c>
      <c r="BO444" t="s">
        <v>72</v>
      </c>
      <c r="BP444" t="s">
        <v>72</v>
      </c>
      <c r="BQ444" t="s">
        <v>100</v>
      </c>
      <c r="BR444" t="s">
        <v>8915</v>
      </c>
      <c r="BS444" t="str">
        <f>HYPERLINK("https%3A%2F%2Fwww.webofscience.com%2Fwos%2Fwoscc%2Ffull-record%2FWOS:000847933000001","View Full Record in Web of Science")</f>
        <v>View Full Record in Web of Science</v>
      </c>
    </row>
    <row r="445" spans="1:71" hidden="1" x14ac:dyDescent="0.2">
      <c r="A445" t="s">
        <v>70</v>
      </c>
      <c r="B445" t="s">
        <v>10363</v>
      </c>
      <c r="C445" t="s">
        <v>72</v>
      </c>
      <c r="D445" t="s">
        <v>72</v>
      </c>
      <c r="E445" t="s">
        <v>72</v>
      </c>
      <c r="F445" t="s">
        <v>10364</v>
      </c>
      <c r="G445" t="s">
        <v>72</v>
      </c>
      <c r="H445" t="s">
        <v>72</v>
      </c>
      <c r="I445" t="s">
        <v>10365</v>
      </c>
      <c r="J445" t="s">
        <v>10366</v>
      </c>
      <c r="K445" t="s">
        <v>72</v>
      </c>
      <c r="L445" t="s">
        <v>72</v>
      </c>
      <c r="M445" t="s">
        <v>76</v>
      </c>
      <c r="N445" t="s">
        <v>77</v>
      </c>
      <c r="O445" t="s">
        <v>72</v>
      </c>
      <c r="P445" t="s">
        <v>72</v>
      </c>
      <c r="Q445" t="s">
        <v>72</v>
      </c>
      <c r="R445" t="s">
        <v>72</v>
      </c>
      <c r="S445" t="s">
        <v>72</v>
      </c>
      <c r="T445" t="s">
        <v>10367</v>
      </c>
      <c r="U445" t="s">
        <v>10368</v>
      </c>
      <c r="V445" t="s">
        <v>10369</v>
      </c>
      <c r="W445" t="s">
        <v>10370</v>
      </c>
      <c r="X445" t="s">
        <v>10371</v>
      </c>
      <c r="Y445" t="s">
        <v>10372</v>
      </c>
      <c r="Z445" t="s">
        <v>10373</v>
      </c>
      <c r="AA445" t="s">
        <v>10374</v>
      </c>
      <c r="AB445" t="s">
        <v>10375</v>
      </c>
      <c r="AC445" t="s">
        <v>72</v>
      </c>
      <c r="AD445" t="s">
        <v>72</v>
      </c>
      <c r="AE445" t="s">
        <v>72</v>
      </c>
      <c r="AF445" t="s">
        <v>72</v>
      </c>
      <c r="AG445">
        <v>55</v>
      </c>
      <c r="AH445">
        <v>11</v>
      </c>
      <c r="AI445">
        <v>11</v>
      </c>
      <c r="AJ445">
        <v>0</v>
      </c>
      <c r="AK445">
        <v>29</v>
      </c>
      <c r="AL445" t="s">
        <v>10376</v>
      </c>
      <c r="AM445" t="s">
        <v>168</v>
      </c>
      <c r="AN445" t="s">
        <v>10377</v>
      </c>
      <c r="AO445" t="s">
        <v>10378</v>
      </c>
      <c r="AP445" t="s">
        <v>10379</v>
      </c>
      <c r="AQ445" t="s">
        <v>72</v>
      </c>
      <c r="AR445" t="s">
        <v>10380</v>
      </c>
      <c r="AS445" t="s">
        <v>10381</v>
      </c>
      <c r="AT445" t="s">
        <v>951</v>
      </c>
      <c r="AU445">
        <v>2012</v>
      </c>
      <c r="AV445">
        <v>50</v>
      </c>
      <c r="AW445">
        <v>9</v>
      </c>
      <c r="AX445" t="s">
        <v>72</v>
      </c>
      <c r="AY445" t="s">
        <v>72</v>
      </c>
      <c r="AZ445" t="s">
        <v>72</v>
      </c>
      <c r="BA445" t="s">
        <v>72</v>
      </c>
      <c r="BB445">
        <v>1775</v>
      </c>
      <c r="BC445">
        <v>1785</v>
      </c>
      <c r="BD445" t="s">
        <v>72</v>
      </c>
      <c r="BE445" t="s">
        <v>10382</v>
      </c>
      <c r="BF445" t="str">
        <f>HYPERLINK("http://dx.doi.org/10.1016/j.ssci.2012.04.006","http://dx.doi.org/10.1016/j.ssci.2012.04.006")</f>
        <v>http://dx.doi.org/10.1016/j.ssci.2012.04.006</v>
      </c>
      <c r="BG445" t="s">
        <v>72</v>
      </c>
      <c r="BH445" t="s">
        <v>72</v>
      </c>
      <c r="BI445">
        <v>11</v>
      </c>
      <c r="BJ445" t="s">
        <v>10383</v>
      </c>
      <c r="BK445" t="s">
        <v>8913</v>
      </c>
      <c r="BL445" t="s">
        <v>10384</v>
      </c>
      <c r="BM445" t="s">
        <v>72</v>
      </c>
      <c r="BN445" t="s">
        <v>72</v>
      </c>
      <c r="BO445" t="s">
        <v>72</v>
      </c>
      <c r="BP445" t="s">
        <v>72</v>
      </c>
      <c r="BQ445" t="s">
        <v>100</v>
      </c>
      <c r="BR445" t="s">
        <v>10385</v>
      </c>
      <c r="BS445" t="str">
        <f>HYPERLINK("https%3A%2F%2Fwww.webofscience.com%2Fwos%2Fwoscc%2Ffull-record%2FWOS:000307142000007","View Full Record in Web of Science")</f>
        <v>View Full Record in Web of Science</v>
      </c>
    </row>
    <row r="446" spans="1:71" hidden="1" x14ac:dyDescent="0.2">
      <c r="A446" t="s">
        <v>305</v>
      </c>
      <c r="B446" t="s">
        <v>13532</v>
      </c>
      <c r="C446" t="s">
        <v>72</v>
      </c>
      <c r="D446" t="s">
        <v>13533</v>
      </c>
      <c r="E446" t="s">
        <v>72</v>
      </c>
      <c r="F446" t="s">
        <v>13534</v>
      </c>
      <c r="G446" t="s">
        <v>72</v>
      </c>
      <c r="H446" t="s">
        <v>72</v>
      </c>
      <c r="I446" t="s">
        <v>13535</v>
      </c>
      <c r="J446" t="s">
        <v>13536</v>
      </c>
      <c r="K446" t="s">
        <v>13537</v>
      </c>
      <c r="L446" t="s">
        <v>72</v>
      </c>
      <c r="M446" t="s">
        <v>76</v>
      </c>
      <c r="N446" t="s">
        <v>312</v>
      </c>
      <c r="O446" t="s">
        <v>13538</v>
      </c>
      <c r="P446" t="s">
        <v>13539</v>
      </c>
      <c r="Q446" t="s">
        <v>12437</v>
      </c>
      <c r="R446" t="s">
        <v>13540</v>
      </c>
      <c r="S446" t="s">
        <v>72</v>
      </c>
      <c r="T446" t="s">
        <v>72</v>
      </c>
      <c r="U446" t="s">
        <v>72</v>
      </c>
      <c r="V446" t="s">
        <v>13541</v>
      </c>
      <c r="W446" t="s">
        <v>13542</v>
      </c>
      <c r="X446" t="s">
        <v>13543</v>
      </c>
      <c r="Y446" t="s">
        <v>13544</v>
      </c>
      <c r="Z446" t="s">
        <v>72</v>
      </c>
      <c r="AA446" t="s">
        <v>72</v>
      </c>
      <c r="AB446" t="s">
        <v>72</v>
      </c>
      <c r="AC446" t="s">
        <v>72</v>
      </c>
      <c r="AD446" t="s">
        <v>72</v>
      </c>
      <c r="AE446" t="s">
        <v>72</v>
      </c>
      <c r="AF446" t="s">
        <v>72</v>
      </c>
      <c r="AG446">
        <v>22</v>
      </c>
      <c r="AH446">
        <v>1</v>
      </c>
      <c r="AI446">
        <v>1</v>
      </c>
      <c r="AJ446">
        <v>0</v>
      </c>
      <c r="AK446">
        <v>1</v>
      </c>
      <c r="AL446" t="s">
        <v>1102</v>
      </c>
      <c r="AM446" t="s">
        <v>707</v>
      </c>
      <c r="AN446" t="s">
        <v>1121</v>
      </c>
      <c r="AO446" t="s">
        <v>13545</v>
      </c>
      <c r="AP446" t="s">
        <v>72</v>
      </c>
      <c r="AQ446" t="s">
        <v>13546</v>
      </c>
      <c r="AR446" t="s">
        <v>13547</v>
      </c>
      <c r="AS446" t="s">
        <v>72</v>
      </c>
      <c r="AT446" t="s">
        <v>72</v>
      </c>
      <c r="AU446">
        <v>2015</v>
      </c>
      <c r="AV446" t="s">
        <v>72</v>
      </c>
      <c r="AW446" t="s">
        <v>72</v>
      </c>
      <c r="AX446" t="s">
        <v>72</v>
      </c>
      <c r="AY446" t="s">
        <v>72</v>
      </c>
      <c r="AZ446" t="s">
        <v>72</v>
      </c>
      <c r="BA446" t="s">
        <v>72</v>
      </c>
      <c r="BB446">
        <v>1959</v>
      </c>
      <c r="BC446">
        <v>1968</v>
      </c>
      <c r="BD446" t="s">
        <v>72</v>
      </c>
      <c r="BE446" t="s">
        <v>72</v>
      </c>
      <c r="BF446" t="s">
        <v>72</v>
      </c>
      <c r="BG446" t="s">
        <v>72</v>
      </c>
      <c r="BH446" t="s">
        <v>72</v>
      </c>
      <c r="BI446">
        <v>10</v>
      </c>
      <c r="BJ446" t="s">
        <v>13548</v>
      </c>
      <c r="BK446" t="s">
        <v>8913</v>
      </c>
      <c r="BL446" t="s">
        <v>13549</v>
      </c>
      <c r="BM446" t="s">
        <v>72</v>
      </c>
      <c r="BN446" t="s">
        <v>72</v>
      </c>
      <c r="BO446" t="s">
        <v>72</v>
      </c>
      <c r="BP446" t="s">
        <v>72</v>
      </c>
      <c r="BQ446" t="s">
        <v>100</v>
      </c>
      <c r="BR446" t="s">
        <v>13550</v>
      </c>
      <c r="BS446" t="str">
        <f>HYPERLINK("https%3A%2F%2Fwww.webofscience.com%2Fwos%2Fwoscc%2Ffull-record%2FWOS:000380611600192","View Full Record in Web of Science")</f>
        <v>View Full Record in Web of Science</v>
      </c>
    </row>
    <row r="447" spans="1:71" hidden="1" x14ac:dyDescent="0.2">
      <c r="A447" t="s">
        <v>305</v>
      </c>
      <c r="B447" t="s">
        <v>10102</v>
      </c>
      <c r="C447" t="s">
        <v>72</v>
      </c>
      <c r="D447" t="s">
        <v>72</v>
      </c>
      <c r="E447" t="s">
        <v>1102</v>
      </c>
      <c r="F447" t="s">
        <v>10103</v>
      </c>
      <c r="G447" t="s">
        <v>72</v>
      </c>
      <c r="H447" t="s">
        <v>72</v>
      </c>
      <c r="I447" t="s">
        <v>10104</v>
      </c>
      <c r="J447" t="s">
        <v>10105</v>
      </c>
      <c r="K447" t="s">
        <v>72</v>
      </c>
      <c r="L447" t="s">
        <v>72</v>
      </c>
      <c r="M447" t="s">
        <v>76</v>
      </c>
      <c r="N447" t="s">
        <v>312</v>
      </c>
      <c r="O447" t="s">
        <v>10106</v>
      </c>
      <c r="P447" t="s">
        <v>10107</v>
      </c>
      <c r="Q447" t="s">
        <v>10108</v>
      </c>
      <c r="R447" t="s">
        <v>10109</v>
      </c>
      <c r="S447" t="s">
        <v>72</v>
      </c>
      <c r="T447" t="s">
        <v>10110</v>
      </c>
      <c r="U447" t="s">
        <v>72</v>
      </c>
      <c r="V447" t="s">
        <v>10111</v>
      </c>
      <c r="W447" t="s">
        <v>10112</v>
      </c>
      <c r="X447" t="s">
        <v>10113</v>
      </c>
      <c r="Y447" t="s">
        <v>10114</v>
      </c>
      <c r="Z447" t="s">
        <v>10115</v>
      </c>
      <c r="AA447" t="s">
        <v>72</v>
      </c>
      <c r="AB447" t="s">
        <v>72</v>
      </c>
      <c r="AC447" t="s">
        <v>72</v>
      </c>
      <c r="AD447" t="s">
        <v>72</v>
      </c>
      <c r="AE447" t="s">
        <v>72</v>
      </c>
      <c r="AF447" t="s">
        <v>72</v>
      </c>
      <c r="AG447">
        <v>21</v>
      </c>
      <c r="AH447">
        <v>0</v>
      </c>
      <c r="AI447">
        <v>0</v>
      </c>
      <c r="AJ447">
        <v>1</v>
      </c>
      <c r="AK447">
        <v>1</v>
      </c>
      <c r="AL447" t="s">
        <v>1102</v>
      </c>
      <c r="AM447" t="s">
        <v>707</v>
      </c>
      <c r="AN447" t="s">
        <v>1121</v>
      </c>
      <c r="AO447" t="s">
        <v>72</v>
      </c>
      <c r="AP447" t="s">
        <v>72</v>
      </c>
      <c r="AQ447" t="s">
        <v>10116</v>
      </c>
      <c r="AR447" t="s">
        <v>72</v>
      </c>
      <c r="AS447" t="s">
        <v>72</v>
      </c>
      <c r="AT447" t="s">
        <v>72</v>
      </c>
      <c r="AU447">
        <v>2021</v>
      </c>
      <c r="AV447" t="s">
        <v>72</v>
      </c>
      <c r="AW447" t="s">
        <v>72</v>
      </c>
      <c r="AX447" t="s">
        <v>72</v>
      </c>
      <c r="AY447" t="s">
        <v>72</v>
      </c>
      <c r="AZ447" t="s">
        <v>72</v>
      </c>
      <c r="BA447" t="s">
        <v>72</v>
      </c>
      <c r="BB447" t="s">
        <v>72</v>
      </c>
      <c r="BC447" t="s">
        <v>72</v>
      </c>
      <c r="BD447" t="s">
        <v>72</v>
      </c>
      <c r="BE447" t="s">
        <v>10117</v>
      </c>
      <c r="BF447" t="str">
        <f>HYPERLINK("http://dx.doi.org/10.1109/ISGTASIA49270.2021.9715671","http://dx.doi.org/10.1109/ISGTASIA49270.2021.9715671")</f>
        <v>http://dx.doi.org/10.1109/ISGTASIA49270.2021.9715671</v>
      </c>
      <c r="BG447" t="s">
        <v>72</v>
      </c>
      <c r="BH447" t="s">
        <v>72</v>
      </c>
      <c r="BI447">
        <v>5</v>
      </c>
      <c r="BJ447" t="s">
        <v>10118</v>
      </c>
      <c r="BK447" t="s">
        <v>10119</v>
      </c>
      <c r="BL447" t="s">
        <v>10120</v>
      </c>
      <c r="BM447" t="s">
        <v>72</v>
      </c>
      <c r="BN447" t="s">
        <v>72</v>
      </c>
      <c r="BO447" t="s">
        <v>72</v>
      </c>
      <c r="BP447" t="s">
        <v>72</v>
      </c>
      <c r="BQ447" t="s">
        <v>100</v>
      </c>
      <c r="BR447" t="s">
        <v>10121</v>
      </c>
      <c r="BS447" t="str">
        <f>HYPERLINK("https%3A%2F%2Fwww.webofscience.com%2Fwos%2Fwoscc%2Ffull-record%2FWOS:000812323700124","View Full Record in Web of Science")</f>
        <v>View Full Record in Web of Science</v>
      </c>
    </row>
    <row r="448" spans="1:71" hidden="1" x14ac:dyDescent="0.2">
      <c r="A448" t="s">
        <v>305</v>
      </c>
      <c r="B448" t="s">
        <v>8975</v>
      </c>
      <c r="C448" t="s">
        <v>72</v>
      </c>
      <c r="D448" t="s">
        <v>8976</v>
      </c>
      <c r="E448" t="s">
        <v>72</v>
      </c>
      <c r="F448" t="s">
        <v>8977</v>
      </c>
      <c r="G448" t="s">
        <v>72</v>
      </c>
      <c r="H448" t="s">
        <v>72</v>
      </c>
      <c r="I448" t="s">
        <v>8978</v>
      </c>
      <c r="J448" t="s">
        <v>8979</v>
      </c>
      <c r="K448" t="s">
        <v>8980</v>
      </c>
      <c r="L448" t="s">
        <v>72</v>
      </c>
      <c r="M448" t="s">
        <v>76</v>
      </c>
      <c r="N448" t="s">
        <v>312</v>
      </c>
      <c r="O448" t="s">
        <v>8981</v>
      </c>
      <c r="P448" t="s">
        <v>8982</v>
      </c>
      <c r="Q448" t="s">
        <v>8983</v>
      </c>
      <c r="R448" t="s">
        <v>72</v>
      </c>
      <c r="S448" t="s">
        <v>72</v>
      </c>
      <c r="T448" t="s">
        <v>8984</v>
      </c>
      <c r="U448" t="s">
        <v>72</v>
      </c>
      <c r="V448" t="s">
        <v>8985</v>
      </c>
      <c r="W448" t="s">
        <v>8986</v>
      </c>
      <c r="X448" t="s">
        <v>72</v>
      </c>
      <c r="Y448" t="s">
        <v>8987</v>
      </c>
      <c r="Z448" t="s">
        <v>8988</v>
      </c>
      <c r="AA448" t="s">
        <v>72</v>
      </c>
      <c r="AB448" t="s">
        <v>72</v>
      </c>
      <c r="AC448" t="s">
        <v>72</v>
      </c>
      <c r="AD448" t="s">
        <v>72</v>
      </c>
      <c r="AE448" t="s">
        <v>72</v>
      </c>
      <c r="AF448" t="s">
        <v>72</v>
      </c>
      <c r="AG448">
        <v>7</v>
      </c>
      <c r="AH448">
        <v>0</v>
      </c>
      <c r="AI448">
        <v>0</v>
      </c>
      <c r="AJ448">
        <v>1</v>
      </c>
      <c r="AK448">
        <v>3</v>
      </c>
      <c r="AL448" t="s">
        <v>8989</v>
      </c>
      <c r="AM448" t="s">
        <v>8990</v>
      </c>
      <c r="AN448" t="s">
        <v>8991</v>
      </c>
      <c r="AO448" t="s">
        <v>72</v>
      </c>
      <c r="AP448" t="s">
        <v>72</v>
      </c>
      <c r="AQ448" t="s">
        <v>8992</v>
      </c>
      <c r="AR448" t="s">
        <v>8993</v>
      </c>
      <c r="AS448" t="s">
        <v>8994</v>
      </c>
      <c r="AT448" t="s">
        <v>72</v>
      </c>
      <c r="AU448">
        <v>2013</v>
      </c>
      <c r="AV448" t="s">
        <v>72</v>
      </c>
      <c r="AW448" t="s">
        <v>72</v>
      </c>
      <c r="AX448" t="s">
        <v>72</v>
      </c>
      <c r="AY448" t="s">
        <v>72</v>
      </c>
      <c r="AZ448" t="s">
        <v>72</v>
      </c>
      <c r="BA448" t="s">
        <v>72</v>
      </c>
      <c r="BB448">
        <v>595</v>
      </c>
      <c r="BC448">
        <v>604</v>
      </c>
      <c r="BD448" t="s">
        <v>72</v>
      </c>
      <c r="BE448" t="s">
        <v>72</v>
      </c>
      <c r="BF448" t="s">
        <v>72</v>
      </c>
      <c r="BG448" t="s">
        <v>72</v>
      </c>
      <c r="BH448" t="s">
        <v>72</v>
      </c>
      <c r="BI448">
        <v>10</v>
      </c>
      <c r="BJ448" t="s">
        <v>8995</v>
      </c>
      <c r="BK448" t="s">
        <v>8996</v>
      </c>
      <c r="BL448" t="s">
        <v>8997</v>
      </c>
      <c r="BM448" t="s">
        <v>72</v>
      </c>
      <c r="BN448" t="s">
        <v>72</v>
      </c>
      <c r="BO448" t="s">
        <v>72</v>
      </c>
      <c r="BP448" t="s">
        <v>72</v>
      </c>
      <c r="BQ448" t="s">
        <v>100</v>
      </c>
      <c r="BR448" t="s">
        <v>8998</v>
      </c>
      <c r="BS448" t="str">
        <f>HYPERLINK("https%3A%2F%2Fwww.webofscience.com%2Fwos%2Fwoscc%2Ffull-record%2FWOS:000365217000060","View Full Record in Web of Science")</f>
        <v>View Full Record in Web of Science</v>
      </c>
    </row>
    <row r="449" spans="1:71" hidden="1" x14ac:dyDescent="0.2">
      <c r="A449" t="s">
        <v>70</v>
      </c>
      <c r="B449" t="s">
        <v>1445</v>
      </c>
      <c r="C449" t="s">
        <v>72</v>
      </c>
      <c r="D449" t="s">
        <v>72</v>
      </c>
      <c r="E449" t="s">
        <v>72</v>
      </c>
      <c r="F449" t="s">
        <v>1446</v>
      </c>
      <c r="G449" t="s">
        <v>72</v>
      </c>
      <c r="H449" t="s">
        <v>72</v>
      </c>
      <c r="I449" t="s">
        <v>1447</v>
      </c>
      <c r="J449" t="s">
        <v>1448</v>
      </c>
      <c r="K449" t="s">
        <v>72</v>
      </c>
      <c r="L449" t="s">
        <v>72</v>
      </c>
      <c r="M449" t="s">
        <v>76</v>
      </c>
      <c r="N449" t="s">
        <v>77</v>
      </c>
      <c r="O449" t="s">
        <v>72</v>
      </c>
      <c r="P449" t="s">
        <v>72</v>
      </c>
      <c r="Q449" t="s">
        <v>72</v>
      </c>
      <c r="R449" t="s">
        <v>72</v>
      </c>
      <c r="S449" t="s">
        <v>72</v>
      </c>
      <c r="T449" t="s">
        <v>1449</v>
      </c>
      <c r="U449" t="s">
        <v>1450</v>
      </c>
      <c r="V449" t="s">
        <v>1451</v>
      </c>
      <c r="W449" t="s">
        <v>1452</v>
      </c>
      <c r="X449" t="s">
        <v>1453</v>
      </c>
      <c r="Y449" t="s">
        <v>1454</v>
      </c>
      <c r="Z449" t="s">
        <v>1455</v>
      </c>
      <c r="AA449" t="s">
        <v>1456</v>
      </c>
      <c r="AB449" t="s">
        <v>1457</v>
      </c>
      <c r="AC449" t="s">
        <v>1458</v>
      </c>
      <c r="AD449" t="s">
        <v>1459</v>
      </c>
      <c r="AE449" t="s">
        <v>1460</v>
      </c>
      <c r="AF449" t="s">
        <v>72</v>
      </c>
      <c r="AG449">
        <v>45</v>
      </c>
      <c r="AH449">
        <v>12</v>
      </c>
      <c r="AI449">
        <v>12</v>
      </c>
      <c r="AJ449">
        <v>10</v>
      </c>
      <c r="AK449">
        <v>33</v>
      </c>
      <c r="AL449" t="s">
        <v>1461</v>
      </c>
      <c r="AM449" t="s">
        <v>1462</v>
      </c>
      <c r="AN449" t="s">
        <v>1463</v>
      </c>
      <c r="AO449" t="s">
        <v>1464</v>
      </c>
      <c r="AP449" t="s">
        <v>1465</v>
      </c>
      <c r="AQ449" t="s">
        <v>72</v>
      </c>
      <c r="AR449" t="s">
        <v>1466</v>
      </c>
      <c r="AS449" t="s">
        <v>1467</v>
      </c>
      <c r="AT449" t="s">
        <v>1468</v>
      </c>
      <c r="AU449">
        <v>2020</v>
      </c>
      <c r="AV449">
        <v>20</v>
      </c>
      <c r="AW449">
        <v>3</v>
      </c>
      <c r="AX449" t="s">
        <v>72</v>
      </c>
      <c r="AY449" t="s">
        <v>72</v>
      </c>
      <c r="AZ449" t="s">
        <v>72</v>
      </c>
      <c r="BA449" t="s">
        <v>72</v>
      </c>
      <c r="BB449" t="s">
        <v>72</v>
      </c>
      <c r="BC449" t="s">
        <v>72</v>
      </c>
      <c r="BD449">
        <v>85</v>
      </c>
      <c r="BE449" t="s">
        <v>1469</v>
      </c>
      <c r="BF449" t="str">
        <f>HYPERLINK("http://dx.doi.org/10.1007/s10113-020-01677-8","http://dx.doi.org/10.1007/s10113-020-01677-8")</f>
        <v>http://dx.doi.org/10.1007/s10113-020-01677-8</v>
      </c>
      <c r="BG449" t="s">
        <v>72</v>
      </c>
      <c r="BH449" t="s">
        <v>72</v>
      </c>
      <c r="BI449">
        <v>13</v>
      </c>
      <c r="BJ449" t="s">
        <v>1470</v>
      </c>
      <c r="BK449" t="s">
        <v>1471</v>
      </c>
      <c r="BL449" t="s">
        <v>1472</v>
      </c>
      <c r="BM449" t="s">
        <v>72</v>
      </c>
      <c r="BN449" t="s">
        <v>280</v>
      </c>
      <c r="BO449" t="s">
        <v>72</v>
      </c>
      <c r="BP449" t="s">
        <v>72</v>
      </c>
      <c r="BQ449" t="s">
        <v>100</v>
      </c>
      <c r="BR449" t="s">
        <v>1473</v>
      </c>
      <c r="BS449" t="str">
        <f>HYPERLINK("https%3A%2F%2Fwww.webofscience.com%2Fwos%2Fwoscc%2Ffull-record%2FWOS:000547248900001","View Full Record in Web of Science")</f>
        <v>View Full Record in Web of Science</v>
      </c>
    </row>
    <row r="450" spans="1:71" hidden="1" x14ac:dyDescent="0.2">
      <c r="A450" t="s">
        <v>70</v>
      </c>
      <c r="B450" t="s">
        <v>1520</v>
      </c>
      <c r="C450" t="s">
        <v>72</v>
      </c>
      <c r="D450" t="s">
        <v>72</v>
      </c>
      <c r="E450" t="s">
        <v>72</v>
      </c>
      <c r="F450" t="s">
        <v>1521</v>
      </c>
      <c r="G450" t="s">
        <v>72</v>
      </c>
      <c r="H450" t="s">
        <v>72</v>
      </c>
      <c r="I450" t="s">
        <v>1522</v>
      </c>
      <c r="J450" t="s">
        <v>1523</v>
      </c>
      <c r="K450" t="s">
        <v>72</v>
      </c>
      <c r="L450" t="s">
        <v>72</v>
      </c>
      <c r="M450" t="s">
        <v>76</v>
      </c>
      <c r="N450" t="s">
        <v>77</v>
      </c>
      <c r="O450" t="s">
        <v>72</v>
      </c>
      <c r="P450" t="s">
        <v>72</v>
      </c>
      <c r="Q450" t="s">
        <v>72</v>
      </c>
      <c r="R450" t="s">
        <v>72</v>
      </c>
      <c r="S450" t="s">
        <v>72</v>
      </c>
      <c r="T450" t="s">
        <v>1524</v>
      </c>
      <c r="U450" t="s">
        <v>1525</v>
      </c>
      <c r="V450" t="s">
        <v>1526</v>
      </c>
      <c r="W450" t="s">
        <v>1527</v>
      </c>
      <c r="X450" t="s">
        <v>1528</v>
      </c>
      <c r="Y450" t="s">
        <v>1529</v>
      </c>
      <c r="Z450" t="s">
        <v>72</v>
      </c>
      <c r="AA450" t="s">
        <v>72</v>
      </c>
      <c r="AB450" t="s">
        <v>72</v>
      </c>
      <c r="AC450" t="s">
        <v>1530</v>
      </c>
      <c r="AD450" t="s">
        <v>72</v>
      </c>
      <c r="AE450" t="s">
        <v>1531</v>
      </c>
      <c r="AF450" t="s">
        <v>72</v>
      </c>
      <c r="AG450">
        <v>37</v>
      </c>
      <c r="AH450">
        <v>0</v>
      </c>
      <c r="AI450">
        <v>0</v>
      </c>
      <c r="AJ450">
        <v>3</v>
      </c>
      <c r="AK450">
        <v>4</v>
      </c>
      <c r="AL450" t="s">
        <v>1532</v>
      </c>
      <c r="AM450" t="s">
        <v>1533</v>
      </c>
      <c r="AN450" t="s">
        <v>1534</v>
      </c>
      <c r="AO450" t="s">
        <v>1535</v>
      </c>
      <c r="AP450" t="s">
        <v>72</v>
      </c>
      <c r="AQ450" t="s">
        <v>72</v>
      </c>
      <c r="AR450" t="s">
        <v>1536</v>
      </c>
      <c r="AS450" t="s">
        <v>1537</v>
      </c>
      <c r="AT450" t="s">
        <v>929</v>
      </c>
      <c r="AU450">
        <v>2021</v>
      </c>
      <c r="AV450">
        <v>26</v>
      </c>
      <c r="AW450">
        <v>4</v>
      </c>
      <c r="AX450" t="s">
        <v>72</v>
      </c>
      <c r="AY450" t="s">
        <v>72</v>
      </c>
      <c r="AZ450" t="s">
        <v>72</v>
      </c>
      <c r="BA450" t="s">
        <v>72</v>
      </c>
      <c r="BB450" t="s">
        <v>72</v>
      </c>
      <c r="BC450" t="s">
        <v>72</v>
      </c>
      <c r="BD450">
        <v>9</v>
      </c>
      <c r="BE450" t="s">
        <v>1538</v>
      </c>
      <c r="BF450" t="str">
        <f>HYPERLINK("http://dx.doi.org/10.5751/ES-12708-260409","http://dx.doi.org/10.5751/ES-12708-260409")</f>
        <v>http://dx.doi.org/10.5751/ES-12708-260409</v>
      </c>
      <c r="BG450" t="s">
        <v>72</v>
      </c>
      <c r="BH450" t="s">
        <v>72</v>
      </c>
      <c r="BI450">
        <v>56</v>
      </c>
      <c r="BJ450" t="s">
        <v>1539</v>
      </c>
      <c r="BK450" t="s">
        <v>1471</v>
      </c>
      <c r="BL450" t="s">
        <v>1540</v>
      </c>
      <c r="BM450" t="s">
        <v>72</v>
      </c>
      <c r="BN450" t="s">
        <v>72</v>
      </c>
      <c r="BO450" t="s">
        <v>72</v>
      </c>
      <c r="BP450" t="s">
        <v>72</v>
      </c>
      <c r="BQ450" t="s">
        <v>100</v>
      </c>
      <c r="BR450" t="s">
        <v>1541</v>
      </c>
      <c r="BS450" t="str">
        <f>HYPERLINK("https%3A%2F%2Fwww.webofscience.com%2Fwos%2Fwoscc%2Ffull-record%2FWOS:000744211900009","View Full Record in Web of Science")</f>
        <v>View Full Record in Web of Science</v>
      </c>
    </row>
    <row r="451" spans="1:71" hidden="1" x14ac:dyDescent="0.2">
      <c r="A451" t="s">
        <v>70</v>
      </c>
      <c r="B451" t="s">
        <v>2491</v>
      </c>
      <c r="C451" t="s">
        <v>72</v>
      </c>
      <c r="D451" t="s">
        <v>72</v>
      </c>
      <c r="E451" t="s">
        <v>72</v>
      </c>
      <c r="F451" t="s">
        <v>2492</v>
      </c>
      <c r="G451" t="s">
        <v>72</v>
      </c>
      <c r="H451" t="s">
        <v>72</v>
      </c>
      <c r="I451" t="s">
        <v>2493</v>
      </c>
      <c r="J451" t="s">
        <v>2494</v>
      </c>
      <c r="K451" t="s">
        <v>72</v>
      </c>
      <c r="L451" t="s">
        <v>72</v>
      </c>
      <c r="M451" t="s">
        <v>76</v>
      </c>
      <c r="N451" t="s">
        <v>77</v>
      </c>
      <c r="O451" t="s">
        <v>72</v>
      </c>
      <c r="P451" t="s">
        <v>72</v>
      </c>
      <c r="Q451" t="s">
        <v>72</v>
      </c>
      <c r="R451" t="s">
        <v>72</v>
      </c>
      <c r="S451" t="s">
        <v>72</v>
      </c>
      <c r="T451" t="s">
        <v>2495</v>
      </c>
      <c r="U451" t="s">
        <v>2496</v>
      </c>
      <c r="V451" t="s">
        <v>2497</v>
      </c>
      <c r="W451" t="s">
        <v>2498</v>
      </c>
      <c r="X451" t="s">
        <v>2499</v>
      </c>
      <c r="Y451" t="s">
        <v>2500</v>
      </c>
      <c r="Z451" t="s">
        <v>2501</v>
      </c>
      <c r="AA451" t="s">
        <v>2502</v>
      </c>
      <c r="AB451" t="s">
        <v>2503</v>
      </c>
      <c r="AC451" t="s">
        <v>2504</v>
      </c>
      <c r="AD451" t="s">
        <v>2505</v>
      </c>
      <c r="AE451" t="s">
        <v>2506</v>
      </c>
      <c r="AF451" t="s">
        <v>72</v>
      </c>
      <c r="AG451">
        <v>51</v>
      </c>
      <c r="AH451">
        <v>2</v>
      </c>
      <c r="AI451">
        <v>2</v>
      </c>
      <c r="AJ451">
        <v>0</v>
      </c>
      <c r="AK451">
        <v>8</v>
      </c>
      <c r="AL451" t="s">
        <v>364</v>
      </c>
      <c r="AM451" t="s">
        <v>365</v>
      </c>
      <c r="AN451" t="s">
        <v>366</v>
      </c>
      <c r="AO451" t="s">
        <v>2507</v>
      </c>
      <c r="AP451" t="s">
        <v>2508</v>
      </c>
      <c r="AQ451" t="s">
        <v>72</v>
      </c>
      <c r="AR451" t="s">
        <v>2509</v>
      </c>
      <c r="AS451" t="s">
        <v>2510</v>
      </c>
      <c r="AT451" t="s">
        <v>72</v>
      </c>
      <c r="AU451">
        <v>2017</v>
      </c>
      <c r="AV451">
        <v>35</v>
      </c>
      <c r="AW451">
        <v>2</v>
      </c>
      <c r="AX451" t="s">
        <v>72</v>
      </c>
      <c r="AY451" t="s">
        <v>72</v>
      </c>
      <c r="AZ451" t="s">
        <v>72</v>
      </c>
      <c r="BA451" t="s">
        <v>72</v>
      </c>
      <c r="BB451">
        <v>139</v>
      </c>
      <c r="BC451">
        <v>147</v>
      </c>
      <c r="BD451" t="s">
        <v>72</v>
      </c>
      <c r="BE451" t="s">
        <v>2511</v>
      </c>
      <c r="BF451" t="str">
        <f>HYPERLINK("http://dx.doi.org/10.1080/14615517.2016.1239496","http://dx.doi.org/10.1080/14615517.2016.1239496")</f>
        <v>http://dx.doi.org/10.1080/14615517.2016.1239496</v>
      </c>
      <c r="BG451" t="s">
        <v>72</v>
      </c>
      <c r="BH451" t="s">
        <v>72</v>
      </c>
      <c r="BI451">
        <v>9</v>
      </c>
      <c r="BJ451" t="s">
        <v>2512</v>
      </c>
      <c r="BK451" t="s">
        <v>1471</v>
      </c>
      <c r="BL451" t="s">
        <v>2513</v>
      </c>
      <c r="BM451" t="s">
        <v>72</v>
      </c>
      <c r="BN451" t="s">
        <v>72</v>
      </c>
      <c r="BO451" t="s">
        <v>72</v>
      </c>
      <c r="BP451" t="s">
        <v>72</v>
      </c>
      <c r="BQ451" t="s">
        <v>100</v>
      </c>
      <c r="BR451" t="s">
        <v>2514</v>
      </c>
      <c r="BS451" t="str">
        <f>HYPERLINK("https%3A%2F%2Fwww.webofscience.com%2Fwos%2Fwoscc%2Ffull-record%2FWOS:000399494800004","View Full Record in Web of Science")</f>
        <v>View Full Record in Web of Science</v>
      </c>
    </row>
    <row r="452" spans="1:71" hidden="1" x14ac:dyDescent="0.2">
      <c r="A452" t="s">
        <v>70</v>
      </c>
      <c r="B452" t="s">
        <v>3264</v>
      </c>
      <c r="C452" t="s">
        <v>72</v>
      </c>
      <c r="D452" t="s">
        <v>72</v>
      </c>
      <c r="E452" t="s">
        <v>72</v>
      </c>
      <c r="F452" t="s">
        <v>3265</v>
      </c>
      <c r="G452" t="s">
        <v>72</v>
      </c>
      <c r="H452" t="s">
        <v>72</v>
      </c>
      <c r="I452" t="s">
        <v>3266</v>
      </c>
      <c r="J452" t="s">
        <v>3267</v>
      </c>
      <c r="K452" t="s">
        <v>72</v>
      </c>
      <c r="L452" t="s">
        <v>72</v>
      </c>
      <c r="M452" t="s">
        <v>76</v>
      </c>
      <c r="N452" t="s">
        <v>77</v>
      </c>
      <c r="O452" t="s">
        <v>72</v>
      </c>
      <c r="P452" t="s">
        <v>72</v>
      </c>
      <c r="Q452" t="s">
        <v>72</v>
      </c>
      <c r="R452" t="s">
        <v>72</v>
      </c>
      <c r="S452" t="s">
        <v>72</v>
      </c>
      <c r="T452" t="s">
        <v>3268</v>
      </c>
      <c r="U452" t="s">
        <v>3269</v>
      </c>
      <c r="V452" t="s">
        <v>3270</v>
      </c>
      <c r="W452" t="s">
        <v>3271</v>
      </c>
      <c r="X452" t="s">
        <v>3272</v>
      </c>
      <c r="Y452" t="s">
        <v>3273</v>
      </c>
      <c r="Z452" t="s">
        <v>3274</v>
      </c>
      <c r="AA452" t="s">
        <v>3275</v>
      </c>
      <c r="AB452" t="s">
        <v>3276</v>
      </c>
      <c r="AC452" t="s">
        <v>3277</v>
      </c>
      <c r="AD452" t="s">
        <v>3278</v>
      </c>
      <c r="AE452" t="s">
        <v>3279</v>
      </c>
      <c r="AF452" t="s">
        <v>72</v>
      </c>
      <c r="AG452">
        <v>55</v>
      </c>
      <c r="AH452">
        <v>13</v>
      </c>
      <c r="AI452">
        <v>13</v>
      </c>
      <c r="AJ452">
        <v>6</v>
      </c>
      <c r="AK452">
        <v>27</v>
      </c>
      <c r="AL452" t="s">
        <v>3280</v>
      </c>
      <c r="AM452" t="s">
        <v>620</v>
      </c>
      <c r="AN452" t="s">
        <v>3281</v>
      </c>
      <c r="AO452" t="s">
        <v>3282</v>
      </c>
      <c r="AP452" t="s">
        <v>72</v>
      </c>
      <c r="AQ452" t="s">
        <v>72</v>
      </c>
      <c r="AR452" t="s">
        <v>3283</v>
      </c>
      <c r="AS452" t="s">
        <v>3284</v>
      </c>
      <c r="AT452" t="s">
        <v>3285</v>
      </c>
      <c r="AU452">
        <v>2020</v>
      </c>
      <c r="AV452">
        <v>2</v>
      </c>
      <c r="AW452">
        <v>7</v>
      </c>
      <c r="AX452" t="s">
        <v>72</v>
      </c>
      <c r="AY452" t="s">
        <v>72</v>
      </c>
      <c r="AZ452" t="s">
        <v>72</v>
      </c>
      <c r="BA452" t="s">
        <v>72</v>
      </c>
      <c r="BB452" t="s">
        <v>72</v>
      </c>
      <c r="BC452" t="s">
        <v>72</v>
      </c>
      <c r="BD452">
        <v>75001</v>
      </c>
      <c r="BE452" t="s">
        <v>3286</v>
      </c>
      <c r="BF452" t="str">
        <f>HYPERLINK("http://dx.doi.org/10.1088/2515-7620/ab9c33","http://dx.doi.org/10.1088/2515-7620/ab9c33")</f>
        <v>http://dx.doi.org/10.1088/2515-7620/ab9c33</v>
      </c>
      <c r="BG452" t="s">
        <v>72</v>
      </c>
      <c r="BH452" t="s">
        <v>72</v>
      </c>
      <c r="BI452">
        <v>11</v>
      </c>
      <c r="BJ452" t="s">
        <v>3287</v>
      </c>
      <c r="BK452" t="s">
        <v>1471</v>
      </c>
      <c r="BL452" t="s">
        <v>3288</v>
      </c>
      <c r="BM452" t="s">
        <v>72</v>
      </c>
      <c r="BN452" t="s">
        <v>1975</v>
      </c>
      <c r="BO452" t="s">
        <v>72</v>
      </c>
      <c r="BP452" t="s">
        <v>72</v>
      </c>
      <c r="BQ452" t="s">
        <v>100</v>
      </c>
      <c r="BR452" t="s">
        <v>3289</v>
      </c>
      <c r="BS452" t="str">
        <f>HYPERLINK("https%3A%2F%2Fwww.webofscience.com%2Fwos%2Fwoscc%2Ffull-record%2FWOS:000561425700001","View Full Record in Web of Science")</f>
        <v>View Full Record in Web of Science</v>
      </c>
    </row>
    <row r="453" spans="1:71" hidden="1" x14ac:dyDescent="0.2">
      <c r="A453" t="s">
        <v>70</v>
      </c>
      <c r="B453" t="s">
        <v>3352</v>
      </c>
      <c r="C453" t="s">
        <v>72</v>
      </c>
      <c r="D453" t="s">
        <v>72</v>
      </c>
      <c r="E453" t="s">
        <v>72</v>
      </c>
      <c r="F453" t="s">
        <v>3353</v>
      </c>
      <c r="G453" t="s">
        <v>72</v>
      </c>
      <c r="H453" t="s">
        <v>72</v>
      </c>
      <c r="I453" t="s">
        <v>3354</v>
      </c>
      <c r="J453" t="s">
        <v>3355</v>
      </c>
      <c r="K453" t="s">
        <v>72</v>
      </c>
      <c r="L453" t="s">
        <v>72</v>
      </c>
      <c r="M453" t="s">
        <v>76</v>
      </c>
      <c r="N453" t="s">
        <v>77</v>
      </c>
      <c r="O453" t="s">
        <v>72</v>
      </c>
      <c r="P453" t="s">
        <v>72</v>
      </c>
      <c r="Q453" t="s">
        <v>72</v>
      </c>
      <c r="R453" t="s">
        <v>72</v>
      </c>
      <c r="S453" t="s">
        <v>72</v>
      </c>
      <c r="T453" t="s">
        <v>3356</v>
      </c>
      <c r="U453" t="s">
        <v>3357</v>
      </c>
      <c r="V453" t="s">
        <v>3358</v>
      </c>
      <c r="W453" t="s">
        <v>3359</v>
      </c>
      <c r="X453" t="s">
        <v>3360</v>
      </c>
      <c r="Y453" t="s">
        <v>3361</v>
      </c>
      <c r="Z453" t="s">
        <v>3026</v>
      </c>
      <c r="AA453" t="s">
        <v>72</v>
      </c>
      <c r="AB453" t="s">
        <v>72</v>
      </c>
      <c r="AC453" t="s">
        <v>72</v>
      </c>
      <c r="AD453" t="s">
        <v>72</v>
      </c>
      <c r="AE453" t="s">
        <v>72</v>
      </c>
      <c r="AF453" t="s">
        <v>72</v>
      </c>
      <c r="AG453">
        <v>74</v>
      </c>
      <c r="AH453">
        <v>6</v>
      </c>
      <c r="AI453">
        <v>7</v>
      </c>
      <c r="AJ453">
        <v>0</v>
      </c>
      <c r="AK453">
        <v>19</v>
      </c>
      <c r="AL453" t="s">
        <v>1698</v>
      </c>
      <c r="AM453" t="s">
        <v>707</v>
      </c>
      <c r="AN453" t="s">
        <v>1699</v>
      </c>
      <c r="AO453" t="s">
        <v>3362</v>
      </c>
      <c r="AP453" t="s">
        <v>3363</v>
      </c>
      <c r="AQ453" t="s">
        <v>72</v>
      </c>
      <c r="AR453" t="s">
        <v>3364</v>
      </c>
      <c r="AS453" t="s">
        <v>3365</v>
      </c>
      <c r="AT453" t="s">
        <v>776</v>
      </c>
      <c r="AU453">
        <v>2017</v>
      </c>
      <c r="AV453">
        <v>65</v>
      </c>
      <c r="AW453" t="s">
        <v>72</v>
      </c>
      <c r="AX453" t="s">
        <v>72</v>
      </c>
      <c r="AY453" t="s">
        <v>72</v>
      </c>
      <c r="AZ453" t="s">
        <v>72</v>
      </c>
      <c r="BA453" t="s">
        <v>72</v>
      </c>
      <c r="BB453">
        <v>63</v>
      </c>
      <c r="BC453">
        <v>74</v>
      </c>
      <c r="BD453" t="s">
        <v>72</v>
      </c>
      <c r="BE453" t="s">
        <v>3366</v>
      </c>
      <c r="BF453" t="str">
        <f>HYPERLINK("http://dx.doi.org/10.1016/j.eiar.2017.04.009","http://dx.doi.org/10.1016/j.eiar.2017.04.009")</f>
        <v>http://dx.doi.org/10.1016/j.eiar.2017.04.009</v>
      </c>
      <c r="BG453" t="s">
        <v>72</v>
      </c>
      <c r="BH453" t="s">
        <v>72</v>
      </c>
      <c r="BI453">
        <v>12</v>
      </c>
      <c r="BJ453" t="s">
        <v>2512</v>
      </c>
      <c r="BK453" t="s">
        <v>1471</v>
      </c>
      <c r="BL453" t="s">
        <v>3367</v>
      </c>
      <c r="BM453" t="s">
        <v>72</v>
      </c>
      <c r="BN453" t="s">
        <v>72</v>
      </c>
      <c r="BO453" t="s">
        <v>72</v>
      </c>
      <c r="BP453" t="s">
        <v>72</v>
      </c>
      <c r="BQ453" t="s">
        <v>100</v>
      </c>
      <c r="BR453" t="s">
        <v>3368</v>
      </c>
      <c r="BS453" t="str">
        <f>HYPERLINK("https%3A%2F%2Fwww.webofscience.com%2Fwos%2Fwoscc%2Ffull-record%2FWOS:000403513600007","View Full Record in Web of Science")</f>
        <v>View Full Record in Web of Science</v>
      </c>
    </row>
    <row r="454" spans="1:71" hidden="1" x14ac:dyDescent="0.2">
      <c r="A454" t="s">
        <v>70</v>
      </c>
      <c r="B454" t="s">
        <v>4259</v>
      </c>
      <c r="C454" t="s">
        <v>72</v>
      </c>
      <c r="D454" t="s">
        <v>72</v>
      </c>
      <c r="E454" t="s">
        <v>72</v>
      </c>
      <c r="F454" t="s">
        <v>4260</v>
      </c>
      <c r="G454" t="s">
        <v>72</v>
      </c>
      <c r="H454" t="s">
        <v>72</v>
      </c>
      <c r="I454" t="s">
        <v>4261</v>
      </c>
      <c r="J454" t="s">
        <v>4262</v>
      </c>
      <c r="K454" t="s">
        <v>72</v>
      </c>
      <c r="L454" t="s">
        <v>72</v>
      </c>
      <c r="M454" t="s">
        <v>76</v>
      </c>
      <c r="N454" t="s">
        <v>77</v>
      </c>
      <c r="O454" t="s">
        <v>72</v>
      </c>
      <c r="P454" t="s">
        <v>72</v>
      </c>
      <c r="Q454" t="s">
        <v>72</v>
      </c>
      <c r="R454" t="s">
        <v>72</v>
      </c>
      <c r="S454" t="s">
        <v>72</v>
      </c>
      <c r="T454" t="s">
        <v>4263</v>
      </c>
      <c r="U454" t="s">
        <v>4264</v>
      </c>
      <c r="V454" t="s">
        <v>4265</v>
      </c>
      <c r="W454" t="s">
        <v>4266</v>
      </c>
      <c r="X454" t="s">
        <v>4267</v>
      </c>
      <c r="Y454" t="s">
        <v>4268</v>
      </c>
      <c r="Z454" t="s">
        <v>1484</v>
      </c>
      <c r="AA454" t="s">
        <v>4269</v>
      </c>
      <c r="AB454" t="s">
        <v>4270</v>
      </c>
      <c r="AC454" t="s">
        <v>4271</v>
      </c>
      <c r="AD454" t="s">
        <v>4272</v>
      </c>
      <c r="AE454" t="s">
        <v>4273</v>
      </c>
      <c r="AF454" t="s">
        <v>72</v>
      </c>
      <c r="AG454">
        <v>25</v>
      </c>
      <c r="AH454">
        <v>2</v>
      </c>
      <c r="AI454">
        <v>2</v>
      </c>
      <c r="AJ454">
        <v>2</v>
      </c>
      <c r="AK454">
        <v>13</v>
      </c>
      <c r="AL454" t="s">
        <v>1260</v>
      </c>
      <c r="AM454" t="s">
        <v>964</v>
      </c>
      <c r="AN454" t="s">
        <v>965</v>
      </c>
      <c r="AO454" t="s">
        <v>4274</v>
      </c>
      <c r="AP454" t="s">
        <v>72</v>
      </c>
      <c r="AQ454" t="s">
        <v>72</v>
      </c>
      <c r="AR454" t="s">
        <v>4262</v>
      </c>
      <c r="AS454" t="s">
        <v>4275</v>
      </c>
      <c r="AT454" t="s">
        <v>639</v>
      </c>
      <c r="AU454">
        <v>2019</v>
      </c>
      <c r="AV454">
        <v>10</v>
      </c>
      <c r="AW454">
        <v>8</v>
      </c>
      <c r="AX454" t="s">
        <v>72</v>
      </c>
      <c r="AY454" t="s">
        <v>72</v>
      </c>
      <c r="AZ454" t="s">
        <v>72</v>
      </c>
      <c r="BA454" t="s">
        <v>72</v>
      </c>
      <c r="BB454" t="s">
        <v>72</v>
      </c>
      <c r="BC454" t="s">
        <v>72</v>
      </c>
      <c r="BD454" t="s">
        <v>4276</v>
      </c>
      <c r="BE454" t="s">
        <v>4277</v>
      </c>
      <c r="BF454" t="str">
        <f>HYPERLINK("http://dx.doi.org/10.1002/ecs2.2801","http://dx.doi.org/10.1002/ecs2.2801")</f>
        <v>http://dx.doi.org/10.1002/ecs2.2801</v>
      </c>
      <c r="BG454" t="s">
        <v>72</v>
      </c>
      <c r="BH454" t="s">
        <v>72</v>
      </c>
      <c r="BI454">
        <v>10</v>
      </c>
      <c r="BJ454" t="s">
        <v>4278</v>
      </c>
      <c r="BK454" t="s">
        <v>1471</v>
      </c>
      <c r="BL454" t="s">
        <v>4279</v>
      </c>
      <c r="BM454" t="s">
        <v>72</v>
      </c>
      <c r="BN454" t="s">
        <v>222</v>
      </c>
      <c r="BO454" t="s">
        <v>72</v>
      </c>
      <c r="BP454" t="s">
        <v>72</v>
      </c>
      <c r="BQ454" t="s">
        <v>100</v>
      </c>
      <c r="BR454" t="s">
        <v>4280</v>
      </c>
      <c r="BS454" t="str">
        <f>HYPERLINK("https%3A%2F%2Fwww.webofscience.com%2Fwos%2Fwoscc%2Ffull-record%2FWOS:000483832300008","View Full Record in Web of Science")</f>
        <v>View Full Record in Web of Science</v>
      </c>
    </row>
    <row r="455" spans="1:71" hidden="1" x14ac:dyDescent="0.2">
      <c r="A455" t="s">
        <v>70</v>
      </c>
      <c r="B455" t="s">
        <v>7267</v>
      </c>
      <c r="C455" t="s">
        <v>72</v>
      </c>
      <c r="D455" t="s">
        <v>72</v>
      </c>
      <c r="E455" t="s">
        <v>72</v>
      </c>
      <c r="F455" t="s">
        <v>7268</v>
      </c>
      <c r="G455" t="s">
        <v>72</v>
      </c>
      <c r="H455" t="s">
        <v>72</v>
      </c>
      <c r="I455" t="s">
        <v>7269</v>
      </c>
      <c r="J455" t="s">
        <v>7270</v>
      </c>
      <c r="K455" t="s">
        <v>72</v>
      </c>
      <c r="L455" t="s">
        <v>72</v>
      </c>
      <c r="M455" t="s">
        <v>76</v>
      </c>
      <c r="N455" t="s">
        <v>1503</v>
      </c>
      <c r="O455" t="s">
        <v>72</v>
      </c>
      <c r="P455" t="s">
        <v>72</v>
      </c>
      <c r="Q455" t="s">
        <v>72</v>
      </c>
      <c r="R455" t="s">
        <v>72</v>
      </c>
      <c r="S455" t="s">
        <v>72</v>
      </c>
      <c r="T455" t="s">
        <v>7271</v>
      </c>
      <c r="U455" t="s">
        <v>7272</v>
      </c>
      <c r="V455" t="s">
        <v>7273</v>
      </c>
      <c r="W455" t="s">
        <v>7274</v>
      </c>
      <c r="X455" t="s">
        <v>1482</v>
      </c>
      <c r="Y455" t="s">
        <v>4268</v>
      </c>
      <c r="Z455" t="s">
        <v>1484</v>
      </c>
      <c r="AA455" t="s">
        <v>7275</v>
      </c>
      <c r="AB455" t="s">
        <v>7276</v>
      </c>
      <c r="AC455" t="s">
        <v>5517</v>
      </c>
      <c r="AD455" t="s">
        <v>5518</v>
      </c>
      <c r="AE455" t="s">
        <v>7277</v>
      </c>
      <c r="AF455" t="s">
        <v>72</v>
      </c>
      <c r="AG455">
        <v>45</v>
      </c>
      <c r="AH455">
        <v>103</v>
      </c>
      <c r="AI455">
        <v>103</v>
      </c>
      <c r="AJ455">
        <v>3</v>
      </c>
      <c r="AK455">
        <v>79</v>
      </c>
      <c r="AL455" t="s">
        <v>1260</v>
      </c>
      <c r="AM455" t="s">
        <v>964</v>
      </c>
      <c r="AN455" t="s">
        <v>965</v>
      </c>
      <c r="AO455" t="s">
        <v>7278</v>
      </c>
      <c r="AP455" t="s">
        <v>7279</v>
      </c>
      <c r="AQ455" t="s">
        <v>72</v>
      </c>
      <c r="AR455" t="s">
        <v>7280</v>
      </c>
      <c r="AS455" t="s">
        <v>7281</v>
      </c>
      <c r="AT455" t="s">
        <v>951</v>
      </c>
      <c r="AU455">
        <v>2016</v>
      </c>
      <c r="AV455">
        <v>7</v>
      </c>
      <c r="AW455">
        <v>11</v>
      </c>
      <c r="AX455" t="s">
        <v>72</v>
      </c>
      <c r="AY455" t="s">
        <v>72</v>
      </c>
      <c r="AZ455" t="s">
        <v>72</v>
      </c>
      <c r="BA455" t="s">
        <v>72</v>
      </c>
      <c r="BB455">
        <v>1262</v>
      </c>
      <c r="BC455">
        <v>1272</v>
      </c>
      <c r="BD455" t="s">
        <v>72</v>
      </c>
      <c r="BE455" t="s">
        <v>7282</v>
      </c>
      <c r="BF455" t="str">
        <f>HYPERLINK("http://dx.doi.org/10.1111/2041-210X.12602","http://dx.doi.org/10.1111/2041-210X.12602")</f>
        <v>http://dx.doi.org/10.1111/2041-210X.12602</v>
      </c>
      <c r="BG455" t="s">
        <v>72</v>
      </c>
      <c r="BH455" t="s">
        <v>72</v>
      </c>
      <c r="BI455">
        <v>11</v>
      </c>
      <c r="BJ455" t="s">
        <v>4278</v>
      </c>
      <c r="BK455" t="s">
        <v>1471</v>
      </c>
      <c r="BL455" t="s">
        <v>7283</v>
      </c>
      <c r="BM455" t="s">
        <v>72</v>
      </c>
      <c r="BN455" t="s">
        <v>1497</v>
      </c>
      <c r="BO455" t="s">
        <v>72</v>
      </c>
      <c r="BP455" t="s">
        <v>72</v>
      </c>
      <c r="BQ455" t="s">
        <v>100</v>
      </c>
      <c r="BR455" t="s">
        <v>7284</v>
      </c>
      <c r="BS455" t="str">
        <f>HYPERLINK("https%3A%2F%2Fwww.webofscience.com%2Fwos%2Fwoscc%2Ffull-record%2FWOS:000387669600001","View Full Record in Web of Science")</f>
        <v>View Full Record in Web of Science</v>
      </c>
    </row>
    <row r="456" spans="1:71" hidden="1" x14ac:dyDescent="0.2">
      <c r="A456" t="s">
        <v>70</v>
      </c>
      <c r="B456" t="s">
        <v>8617</v>
      </c>
      <c r="C456" t="s">
        <v>72</v>
      </c>
      <c r="D456" t="s">
        <v>72</v>
      </c>
      <c r="E456" t="s">
        <v>72</v>
      </c>
      <c r="F456" t="s">
        <v>8618</v>
      </c>
      <c r="G456" t="s">
        <v>72</v>
      </c>
      <c r="H456" t="s">
        <v>72</v>
      </c>
      <c r="I456" t="s">
        <v>8619</v>
      </c>
      <c r="J456" t="s">
        <v>8620</v>
      </c>
      <c r="K456" t="s">
        <v>72</v>
      </c>
      <c r="L456" t="s">
        <v>72</v>
      </c>
      <c r="M456" t="s">
        <v>76</v>
      </c>
      <c r="N456" t="s">
        <v>77</v>
      </c>
      <c r="O456" t="s">
        <v>72</v>
      </c>
      <c r="P456" t="s">
        <v>72</v>
      </c>
      <c r="Q456" t="s">
        <v>72</v>
      </c>
      <c r="R456" t="s">
        <v>72</v>
      </c>
      <c r="S456" t="s">
        <v>72</v>
      </c>
      <c r="T456" t="s">
        <v>8621</v>
      </c>
      <c r="U456" t="s">
        <v>8622</v>
      </c>
      <c r="V456" t="s">
        <v>8623</v>
      </c>
      <c r="W456" t="s">
        <v>8624</v>
      </c>
      <c r="X456" t="s">
        <v>8625</v>
      </c>
      <c r="Y456" t="s">
        <v>8626</v>
      </c>
      <c r="Z456" t="s">
        <v>8627</v>
      </c>
      <c r="AA456" t="s">
        <v>72</v>
      </c>
      <c r="AB456" t="s">
        <v>72</v>
      </c>
      <c r="AC456" t="s">
        <v>72</v>
      </c>
      <c r="AD456" t="s">
        <v>72</v>
      </c>
      <c r="AE456" t="s">
        <v>72</v>
      </c>
      <c r="AF456" t="s">
        <v>72</v>
      </c>
      <c r="AG456">
        <v>28</v>
      </c>
      <c r="AH456">
        <v>1</v>
      </c>
      <c r="AI456">
        <v>1</v>
      </c>
      <c r="AJ456">
        <v>2</v>
      </c>
      <c r="AK456">
        <v>6</v>
      </c>
      <c r="AL456" t="s">
        <v>924</v>
      </c>
      <c r="AM456" t="s">
        <v>168</v>
      </c>
      <c r="AN456" t="s">
        <v>925</v>
      </c>
      <c r="AO456" t="s">
        <v>8628</v>
      </c>
      <c r="AP456" t="s">
        <v>8629</v>
      </c>
      <c r="AQ456" t="s">
        <v>72</v>
      </c>
      <c r="AR456" t="s">
        <v>8630</v>
      </c>
      <c r="AS456" t="s">
        <v>8631</v>
      </c>
      <c r="AT456" t="s">
        <v>555</v>
      </c>
      <c r="AU456">
        <v>2021</v>
      </c>
      <c r="AV456">
        <v>61</v>
      </c>
      <c r="AW456" t="s">
        <v>72</v>
      </c>
      <c r="AX456" t="s">
        <v>72</v>
      </c>
      <c r="AY456" t="s">
        <v>72</v>
      </c>
      <c r="AZ456" t="s">
        <v>72</v>
      </c>
      <c r="BA456" t="s">
        <v>72</v>
      </c>
      <c r="BB456" t="s">
        <v>72</v>
      </c>
      <c r="BC456" t="s">
        <v>72</v>
      </c>
      <c r="BD456">
        <v>101203</v>
      </c>
      <c r="BE456" t="s">
        <v>8632</v>
      </c>
      <c r="BF456" t="str">
        <f>HYPERLINK("http://dx.doi.org/10.1016/j.ecoinf.2020.101203","http://dx.doi.org/10.1016/j.ecoinf.2020.101203")</f>
        <v>http://dx.doi.org/10.1016/j.ecoinf.2020.101203</v>
      </c>
      <c r="BG456" t="s">
        <v>72</v>
      </c>
      <c r="BH456" t="s">
        <v>72</v>
      </c>
      <c r="BI456">
        <v>8</v>
      </c>
      <c r="BJ456" t="s">
        <v>4278</v>
      </c>
      <c r="BK456" t="s">
        <v>1471</v>
      </c>
      <c r="BL456" t="s">
        <v>8633</v>
      </c>
      <c r="BM456" t="s">
        <v>72</v>
      </c>
      <c r="BN456" t="s">
        <v>72</v>
      </c>
      <c r="BO456" t="s">
        <v>72</v>
      </c>
      <c r="BP456" t="s">
        <v>72</v>
      </c>
      <c r="BQ456" t="s">
        <v>100</v>
      </c>
      <c r="BR456" t="s">
        <v>8634</v>
      </c>
      <c r="BS456" t="str">
        <f>HYPERLINK("https%3A%2F%2Fwww.webofscience.com%2Fwos%2Fwoscc%2Ffull-record%2FWOS:000632609300002","View Full Record in Web of Science")</f>
        <v>View Full Record in Web of Science</v>
      </c>
    </row>
    <row r="457" spans="1:71" hidden="1" x14ac:dyDescent="0.2">
      <c r="A457" t="s">
        <v>70</v>
      </c>
      <c r="B457" t="s">
        <v>9889</v>
      </c>
      <c r="C457" t="s">
        <v>72</v>
      </c>
      <c r="D457" t="s">
        <v>72</v>
      </c>
      <c r="E457" t="s">
        <v>72</v>
      </c>
      <c r="F457" t="s">
        <v>9890</v>
      </c>
      <c r="G457" t="s">
        <v>72</v>
      </c>
      <c r="H457" t="s">
        <v>72</v>
      </c>
      <c r="I457" t="s">
        <v>9891</v>
      </c>
      <c r="J457" t="s">
        <v>9892</v>
      </c>
      <c r="K457" t="s">
        <v>72</v>
      </c>
      <c r="L457" t="s">
        <v>72</v>
      </c>
      <c r="M457" t="s">
        <v>76</v>
      </c>
      <c r="N457" t="s">
        <v>1503</v>
      </c>
      <c r="O457" t="s">
        <v>72</v>
      </c>
      <c r="P457" t="s">
        <v>72</v>
      </c>
      <c r="Q457" t="s">
        <v>72</v>
      </c>
      <c r="R457" t="s">
        <v>72</v>
      </c>
      <c r="S457" t="s">
        <v>72</v>
      </c>
      <c r="T457" t="s">
        <v>72</v>
      </c>
      <c r="U457" t="s">
        <v>9893</v>
      </c>
      <c r="V457" t="s">
        <v>9894</v>
      </c>
      <c r="W457" t="s">
        <v>9895</v>
      </c>
      <c r="X457" t="s">
        <v>5512</v>
      </c>
      <c r="Y457" t="s">
        <v>4268</v>
      </c>
      <c r="Z457" t="s">
        <v>1484</v>
      </c>
      <c r="AA457" t="s">
        <v>9896</v>
      </c>
      <c r="AB457" t="s">
        <v>9897</v>
      </c>
      <c r="AC457" t="s">
        <v>9898</v>
      </c>
      <c r="AD457" t="s">
        <v>9899</v>
      </c>
      <c r="AE457" t="s">
        <v>9900</v>
      </c>
      <c r="AF457" t="s">
        <v>72</v>
      </c>
      <c r="AG457">
        <v>38</v>
      </c>
      <c r="AH457">
        <v>48</v>
      </c>
      <c r="AI457">
        <v>60</v>
      </c>
      <c r="AJ457">
        <v>17</v>
      </c>
      <c r="AK457">
        <v>134</v>
      </c>
      <c r="AL457" t="s">
        <v>1260</v>
      </c>
      <c r="AM457" t="s">
        <v>964</v>
      </c>
      <c r="AN457" t="s">
        <v>965</v>
      </c>
      <c r="AO457" t="s">
        <v>9901</v>
      </c>
      <c r="AP457" t="s">
        <v>9902</v>
      </c>
      <c r="AQ457" t="s">
        <v>72</v>
      </c>
      <c r="AR457" t="s">
        <v>9903</v>
      </c>
      <c r="AS457" t="s">
        <v>9904</v>
      </c>
      <c r="AT457" t="s">
        <v>555</v>
      </c>
      <c r="AU457">
        <v>2019</v>
      </c>
      <c r="AV457">
        <v>17</v>
      </c>
      <c r="AW457">
        <v>2</v>
      </c>
      <c r="AX457" t="s">
        <v>72</v>
      </c>
      <c r="AY457" t="s">
        <v>72</v>
      </c>
      <c r="AZ457" t="s">
        <v>72</v>
      </c>
      <c r="BA457" t="s">
        <v>72</v>
      </c>
      <c r="BB457">
        <v>109</v>
      </c>
      <c r="BC457">
        <v>116</v>
      </c>
      <c r="BD457" t="s">
        <v>72</v>
      </c>
      <c r="BE457" t="s">
        <v>9905</v>
      </c>
      <c r="BF457" t="str">
        <f>HYPERLINK("http://dx.doi.org/10.1002/fee.1993","http://dx.doi.org/10.1002/fee.1993")</f>
        <v>http://dx.doi.org/10.1002/fee.1993</v>
      </c>
      <c r="BG457" t="s">
        <v>72</v>
      </c>
      <c r="BH457" t="s">
        <v>72</v>
      </c>
      <c r="BI457">
        <v>8</v>
      </c>
      <c r="BJ457" t="s">
        <v>9906</v>
      </c>
      <c r="BK457" t="s">
        <v>1471</v>
      </c>
      <c r="BL457" t="s">
        <v>9907</v>
      </c>
      <c r="BM457" t="s">
        <v>72</v>
      </c>
      <c r="BN457" t="s">
        <v>72</v>
      </c>
      <c r="BO457" t="s">
        <v>72</v>
      </c>
      <c r="BP457" t="s">
        <v>72</v>
      </c>
      <c r="BQ457" t="s">
        <v>100</v>
      </c>
      <c r="BR457" t="s">
        <v>9908</v>
      </c>
      <c r="BS457" t="str">
        <f>HYPERLINK("https%3A%2F%2Fwww.webofscience.com%2Fwos%2Fwoscc%2Ffull-record%2FWOS:000460098600011","View Full Record in Web of Science")</f>
        <v>View Full Record in Web of Science</v>
      </c>
    </row>
    <row r="458" spans="1:71" hidden="1" x14ac:dyDescent="0.2">
      <c r="A458" t="s">
        <v>70</v>
      </c>
      <c r="B458" t="s">
        <v>11535</v>
      </c>
      <c r="C458" t="s">
        <v>72</v>
      </c>
      <c r="D458" t="s">
        <v>72</v>
      </c>
      <c r="E458" t="s">
        <v>72</v>
      </c>
      <c r="F458" t="s">
        <v>11536</v>
      </c>
      <c r="G458" t="s">
        <v>72</v>
      </c>
      <c r="H458" t="s">
        <v>72</v>
      </c>
      <c r="I458" t="s">
        <v>11537</v>
      </c>
      <c r="J458" t="s">
        <v>11538</v>
      </c>
      <c r="K458" t="s">
        <v>72</v>
      </c>
      <c r="L458" t="s">
        <v>72</v>
      </c>
      <c r="M458" t="s">
        <v>76</v>
      </c>
      <c r="N458" t="s">
        <v>77</v>
      </c>
      <c r="O458" t="s">
        <v>72</v>
      </c>
      <c r="P458" t="s">
        <v>72</v>
      </c>
      <c r="Q458" t="s">
        <v>72</v>
      </c>
      <c r="R458" t="s">
        <v>72</v>
      </c>
      <c r="S458" t="s">
        <v>72</v>
      </c>
      <c r="T458" t="s">
        <v>11539</v>
      </c>
      <c r="U458" t="s">
        <v>11540</v>
      </c>
      <c r="V458" t="s">
        <v>11541</v>
      </c>
      <c r="W458" t="s">
        <v>11542</v>
      </c>
      <c r="X458" t="s">
        <v>11543</v>
      </c>
      <c r="Y458" t="s">
        <v>11544</v>
      </c>
      <c r="Z458" t="s">
        <v>11545</v>
      </c>
      <c r="AA458" t="s">
        <v>11546</v>
      </c>
      <c r="AB458" t="s">
        <v>11547</v>
      </c>
      <c r="AC458" t="s">
        <v>11548</v>
      </c>
      <c r="AD458" t="s">
        <v>11549</v>
      </c>
      <c r="AE458" t="s">
        <v>11550</v>
      </c>
      <c r="AF458" t="s">
        <v>72</v>
      </c>
      <c r="AG458">
        <v>56</v>
      </c>
      <c r="AH458">
        <v>5</v>
      </c>
      <c r="AI458">
        <v>5</v>
      </c>
      <c r="AJ458">
        <v>0</v>
      </c>
      <c r="AK458">
        <v>10</v>
      </c>
      <c r="AL458" t="s">
        <v>11551</v>
      </c>
      <c r="AM458" t="s">
        <v>11552</v>
      </c>
      <c r="AN458" t="s">
        <v>11553</v>
      </c>
      <c r="AO458" t="s">
        <v>11554</v>
      </c>
      <c r="AP458" t="s">
        <v>11555</v>
      </c>
      <c r="AQ458" t="s">
        <v>72</v>
      </c>
      <c r="AR458" t="s">
        <v>11556</v>
      </c>
      <c r="AS458" t="s">
        <v>11557</v>
      </c>
      <c r="AT458" t="s">
        <v>95</v>
      </c>
      <c r="AU458">
        <v>2020</v>
      </c>
      <c r="AV458">
        <v>36</v>
      </c>
      <c r="AW458">
        <v>1</v>
      </c>
      <c r="AX458" t="s">
        <v>72</v>
      </c>
      <c r="AY458" t="s">
        <v>72</v>
      </c>
      <c r="AZ458" t="s">
        <v>72</v>
      </c>
      <c r="BA458" t="s">
        <v>72</v>
      </c>
      <c r="BB458">
        <v>24</v>
      </c>
      <c r="BC458">
        <v>32</v>
      </c>
      <c r="BD458" t="s">
        <v>72</v>
      </c>
      <c r="BE458" t="s">
        <v>11558</v>
      </c>
      <c r="BF458" t="str">
        <f>HYPERLINK("http://dx.doi.org/10.3808/jei.201900423","http://dx.doi.org/10.3808/jei.201900423")</f>
        <v>http://dx.doi.org/10.3808/jei.201900423</v>
      </c>
      <c r="BG458" t="s">
        <v>72</v>
      </c>
      <c r="BH458" t="s">
        <v>72</v>
      </c>
      <c r="BI458">
        <v>9</v>
      </c>
      <c r="BJ458" t="s">
        <v>3287</v>
      </c>
      <c r="BK458" t="s">
        <v>1471</v>
      </c>
      <c r="BL458" t="s">
        <v>11559</v>
      </c>
      <c r="BM458" t="s">
        <v>72</v>
      </c>
      <c r="BN458" t="s">
        <v>1497</v>
      </c>
      <c r="BO458" t="s">
        <v>72</v>
      </c>
      <c r="BP458" t="s">
        <v>72</v>
      </c>
      <c r="BQ458" t="s">
        <v>100</v>
      </c>
      <c r="BR458" t="s">
        <v>11560</v>
      </c>
      <c r="BS458" t="str">
        <f>HYPERLINK("https%3A%2F%2Fwww.webofscience.com%2Fwos%2Fwoscc%2Ffull-record%2FWOS:000574777500003","View Full Record in Web of Science")</f>
        <v>View Full Record in Web of Science</v>
      </c>
    </row>
    <row r="459" spans="1:71" hidden="1" x14ac:dyDescent="0.2">
      <c r="A459" t="s">
        <v>70</v>
      </c>
      <c r="B459" t="s">
        <v>11619</v>
      </c>
      <c r="C459" t="s">
        <v>72</v>
      </c>
      <c r="D459" t="s">
        <v>72</v>
      </c>
      <c r="E459" t="s">
        <v>72</v>
      </c>
      <c r="F459" t="s">
        <v>11620</v>
      </c>
      <c r="G459" t="s">
        <v>72</v>
      </c>
      <c r="H459" t="s">
        <v>72</v>
      </c>
      <c r="I459" t="s">
        <v>11621</v>
      </c>
      <c r="J459" t="s">
        <v>11622</v>
      </c>
      <c r="K459" t="s">
        <v>72</v>
      </c>
      <c r="L459" t="s">
        <v>72</v>
      </c>
      <c r="M459" t="s">
        <v>76</v>
      </c>
      <c r="N459" t="s">
        <v>77</v>
      </c>
      <c r="O459" t="s">
        <v>72</v>
      </c>
      <c r="P459" t="s">
        <v>72</v>
      </c>
      <c r="Q459" t="s">
        <v>72</v>
      </c>
      <c r="R459" t="s">
        <v>72</v>
      </c>
      <c r="S459" t="s">
        <v>72</v>
      </c>
      <c r="T459" t="s">
        <v>11623</v>
      </c>
      <c r="U459" t="s">
        <v>11624</v>
      </c>
      <c r="V459" t="s">
        <v>11625</v>
      </c>
      <c r="W459" t="s">
        <v>11626</v>
      </c>
      <c r="X459" t="s">
        <v>9771</v>
      </c>
      <c r="Y459" t="s">
        <v>11627</v>
      </c>
      <c r="Z459" t="s">
        <v>11628</v>
      </c>
      <c r="AA459" t="s">
        <v>11629</v>
      </c>
      <c r="AB459" t="s">
        <v>72</v>
      </c>
      <c r="AC459" t="s">
        <v>11630</v>
      </c>
      <c r="AD459" t="s">
        <v>11631</v>
      </c>
      <c r="AE459" t="s">
        <v>11632</v>
      </c>
      <c r="AF459" t="s">
        <v>72</v>
      </c>
      <c r="AG459">
        <v>70</v>
      </c>
      <c r="AH459">
        <v>12</v>
      </c>
      <c r="AI459">
        <v>12</v>
      </c>
      <c r="AJ459">
        <v>3</v>
      </c>
      <c r="AK459">
        <v>10</v>
      </c>
      <c r="AL459" t="s">
        <v>924</v>
      </c>
      <c r="AM459" t="s">
        <v>168</v>
      </c>
      <c r="AN459" t="s">
        <v>925</v>
      </c>
      <c r="AO459" t="s">
        <v>11633</v>
      </c>
      <c r="AP459" t="s">
        <v>11634</v>
      </c>
      <c r="AQ459" t="s">
        <v>72</v>
      </c>
      <c r="AR459" t="s">
        <v>11635</v>
      </c>
      <c r="AS459" t="s">
        <v>11636</v>
      </c>
      <c r="AT459" t="s">
        <v>555</v>
      </c>
      <c r="AU459">
        <v>2020</v>
      </c>
      <c r="AV459">
        <v>61</v>
      </c>
      <c r="AW459" t="s">
        <v>72</v>
      </c>
      <c r="AX459" t="s">
        <v>72</v>
      </c>
      <c r="AY459" t="s">
        <v>72</v>
      </c>
      <c r="AZ459" t="s">
        <v>72</v>
      </c>
      <c r="BA459" t="s">
        <v>72</v>
      </c>
      <c r="BB459" t="s">
        <v>72</v>
      </c>
      <c r="BC459" t="s">
        <v>72</v>
      </c>
      <c r="BD459">
        <v>101355</v>
      </c>
      <c r="BE459" t="s">
        <v>11637</v>
      </c>
      <c r="BF459" t="str">
        <f>HYPERLINK("http://dx.doi.org/10.1016/j.erss.2019.101355","http://dx.doi.org/10.1016/j.erss.2019.101355")</f>
        <v>http://dx.doi.org/10.1016/j.erss.2019.101355</v>
      </c>
      <c r="BG459" t="s">
        <v>72</v>
      </c>
      <c r="BH459" t="s">
        <v>72</v>
      </c>
      <c r="BI459">
        <v>16</v>
      </c>
      <c r="BJ459" t="s">
        <v>2512</v>
      </c>
      <c r="BK459" t="s">
        <v>1471</v>
      </c>
      <c r="BL459" t="s">
        <v>11638</v>
      </c>
      <c r="BM459" t="s">
        <v>72</v>
      </c>
      <c r="BN459" t="s">
        <v>280</v>
      </c>
      <c r="BO459" t="s">
        <v>72</v>
      </c>
      <c r="BP459" t="s">
        <v>72</v>
      </c>
      <c r="BQ459" t="s">
        <v>100</v>
      </c>
      <c r="BR459" t="s">
        <v>11639</v>
      </c>
      <c r="BS459" t="str">
        <f>HYPERLINK("https%3A%2F%2Fwww.webofscience.com%2Fwos%2Fwoscc%2Ffull-record%2FWOS:000514868000018","View Full Record in Web of Science")</f>
        <v>View Full Record in Web of Science</v>
      </c>
    </row>
    <row r="460" spans="1:71" hidden="1" x14ac:dyDescent="0.2">
      <c r="A460" t="s">
        <v>70</v>
      </c>
      <c r="B460" t="s">
        <v>14154</v>
      </c>
      <c r="C460" t="s">
        <v>72</v>
      </c>
      <c r="D460" t="s">
        <v>72</v>
      </c>
      <c r="E460" t="s">
        <v>72</v>
      </c>
      <c r="F460" t="s">
        <v>14155</v>
      </c>
      <c r="G460" t="s">
        <v>72</v>
      </c>
      <c r="H460" t="s">
        <v>72</v>
      </c>
      <c r="I460" t="s">
        <v>14156</v>
      </c>
      <c r="J460" t="s">
        <v>11622</v>
      </c>
      <c r="K460" t="s">
        <v>72</v>
      </c>
      <c r="L460" t="s">
        <v>72</v>
      </c>
      <c r="M460" t="s">
        <v>76</v>
      </c>
      <c r="N460" t="s">
        <v>77</v>
      </c>
      <c r="O460" t="s">
        <v>72</v>
      </c>
      <c r="P460" t="s">
        <v>72</v>
      </c>
      <c r="Q460" t="s">
        <v>72</v>
      </c>
      <c r="R460" t="s">
        <v>72</v>
      </c>
      <c r="S460" t="s">
        <v>72</v>
      </c>
      <c r="T460" t="s">
        <v>14157</v>
      </c>
      <c r="U460" t="s">
        <v>14158</v>
      </c>
      <c r="V460" t="s">
        <v>14159</v>
      </c>
      <c r="W460" t="s">
        <v>14160</v>
      </c>
      <c r="X460" t="s">
        <v>14161</v>
      </c>
      <c r="Y460" t="s">
        <v>14162</v>
      </c>
      <c r="Z460" t="s">
        <v>14163</v>
      </c>
      <c r="AA460" t="s">
        <v>14164</v>
      </c>
      <c r="AB460" t="s">
        <v>14165</v>
      </c>
      <c r="AC460" t="s">
        <v>14166</v>
      </c>
      <c r="AD460" t="s">
        <v>14167</v>
      </c>
      <c r="AE460" t="s">
        <v>14168</v>
      </c>
      <c r="AF460" t="s">
        <v>72</v>
      </c>
      <c r="AG460">
        <v>75</v>
      </c>
      <c r="AH460">
        <v>5</v>
      </c>
      <c r="AI460">
        <v>5</v>
      </c>
      <c r="AJ460">
        <v>7</v>
      </c>
      <c r="AK460">
        <v>22</v>
      </c>
      <c r="AL460" t="s">
        <v>924</v>
      </c>
      <c r="AM460" t="s">
        <v>168</v>
      </c>
      <c r="AN460" t="s">
        <v>925</v>
      </c>
      <c r="AO460" t="s">
        <v>11633</v>
      </c>
      <c r="AP460" t="s">
        <v>11634</v>
      </c>
      <c r="AQ460" t="s">
        <v>72</v>
      </c>
      <c r="AR460" t="s">
        <v>11635</v>
      </c>
      <c r="AS460" t="s">
        <v>11636</v>
      </c>
      <c r="AT460" t="s">
        <v>929</v>
      </c>
      <c r="AU460">
        <v>2020</v>
      </c>
      <c r="AV460">
        <v>70</v>
      </c>
      <c r="AW460" t="s">
        <v>72</v>
      </c>
      <c r="AX460" t="s">
        <v>72</v>
      </c>
      <c r="AY460" t="s">
        <v>72</v>
      </c>
      <c r="AZ460" t="s">
        <v>72</v>
      </c>
      <c r="BA460" t="s">
        <v>72</v>
      </c>
      <c r="BB460" t="s">
        <v>72</v>
      </c>
      <c r="BC460" t="s">
        <v>72</v>
      </c>
      <c r="BD460">
        <v>101691</v>
      </c>
      <c r="BE460" t="s">
        <v>14169</v>
      </c>
      <c r="BF460" t="str">
        <f>HYPERLINK("http://dx.doi.org/10.1016/j.erss.2020.101691","http://dx.doi.org/10.1016/j.erss.2020.101691")</f>
        <v>http://dx.doi.org/10.1016/j.erss.2020.101691</v>
      </c>
      <c r="BG460" t="s">
        <v>72</v>
      </c>
      <c r="BH460" t="s">
        <v>72</v>
      </c>
      <c r="BI460">
        <v>9</v>
      </c>
      <c r="BJ460" t="s">
        <v>2512</v>
      </c>
      <c r="BK460" t="s">
        <v>1471</v>
      </c>
      <c r="BL460" t="s">
        <v>14170</v>
      </c>
      <c r="BM460" t="s">
        <v>72</v>
      </c>
      <c r="BN460" t="s">
        <v>72</v>
      </c>
      <c r="BO460" t="s">
        <v>72</v>
      </c>
      <c r="BP460" t="s">
        <v>72</v>
      </c>
      <c r="BQ460" t="s">
        <v>100</v>
      </c>
      <c r="BR460" t="s">
        <v>14171</v>
      </c>
      <c r="BS460" t="str">
        <f>HYPERLINK("https%3A%2F%2Fwww.webofscience.com%2Fwos%2Fwoscc%2Ffull-record%2FWOS:000596623700003","View Full Record in Web of Science")</f>
        <v>View Full Record in Web of Science</v>
      </c>
    </row>
    <row r="461" spans="1:71" hidden="1" x14ac:dyDescent="0.2">
      <c r="A461" t="s">
        <v>70</v>
      </c>
      <c r="B461" t="s">
        <v>15214</v>
      </c>
      <c r="C461" t="s">
        <v>72</v>
      </c>
      <c r="D461" t="s">
        <v>72</v>
      </c>
      <c r="E461" t="s">
        <v>72</v>
      </c>
      <c r="F461" t="s">
        <v>15215</v>
      </c>
      <c r="G461" t="s">
        <v>72</v>
      </c>
      <c r="H461" t="s">
        <v>72</v>
      </c>
      <c r="I461" t="s">
        <v>15216</v>
      </c>
      <c r="J461" t="s">
        <v>15217</v>
      </c>
      <c r="K461" t="s">
        <v>72</v>
      </c>
      <c r="L461" t="s">
        <v>72</v>
      </c>
      <c r="M461" t="s">
        <v>76</v>
      </c>
      <c r="N461" t="s">
        <v>77</v>
      </c>
      <c r="O461" t="s">
        <v>72</v>
      </c>
      <c r="P461" t="s">
        <v>72</v>
      </c>
      <c r="Q461" t="s">
        <v>72</v>
      </c>
      <c r="R461" t="s">
        <v>72</v>
      </c>
      <c r="S461" t="s">
        <v>72</v>
      </c>
      <c r="T461" t="s">
        <v>15218</v>
      </c>
      <c r="U461" t="s">
        <v>15219</v>
      </c>
      <c r="V461" t="s">
        <v>15220</v>
      </c>
      <c r="W461" t="s">
        <v>15221</v>
      </c>
      <c r="X461" t="s">
        <v>15222</v>
      </c>
      <c r="Y461" t="s">
        <v>15223</v>
      </c>
      <c r="Z461" t="s">
        <v>15224</v>
      </c>
      <c r="AA461" t="s">
        <v>72</v>
      </c>
      <c r="AB461" t="s">
        <v>72</v>
      </c>
      <c r="AC461" t="s">
        <v>15225</v>
      </c>
      <c r="AD461" t="s">
        <v>15226</v>
      </c>
      <c r="AE461" t="s">
        <v>15227</v>
      </c>
      <c r="AF461" t="s">
        <v>72</v>
      </c>
      <c r="AG461">
        <v>117</v>
      </c>
      <c r="AH461">
        <v>0</v>
      </c>
      <c r="AI461">
        <v>0</v>
      </c>
      <c r="AJ461">
        <v>1</v>
      </c>
      <c r="AK461">
        <v>1</v>
      </c>
      <c r="AL461" t="s">
        <v>901</v>
      </c>
      <c r="AM461" t="s">
        <v>902</v>
      </c>
      <c r="AN461" t="s">
        <v>903</v>
      </c>
      <c r="AO461" t="s">
        <v>72</v>
      </c>
      <c r="AP461" t="s">
        <v>15228</v>
      </c>
      <c r="AQ461" t="s">
        <v>72</v>
      </c>
      <c r="AR461" t="s">
        <v>15229</v>
      </c>
      <c r="AS461" t="s">
        <v>15230</v>
      </c>
      <c r="AT461" t="s">
        <v>15231</v>
      </c>
      <c r="AU461">
        <v>2022</v>
      </c>
      <c r="AV461">
        <v>10</v>
      </c>
      <c r="AW461" t="s">
        <v>72</v>
      </c>
      <c r="AX461" t="s">
        <v>72</v>
      </c>
      <c r="AY461" t="s">
        <v>72</v>
      </c>
      <c r="AZ461" t="s">
        <v>72</v>
      </c>
      <c r="BA461" t="s">
        <v>72</v>
      </c>
      <c r="BB461" t="s">
        <v>72</v>
      </c>
      <c r="BC461" t="s">
        <v>72</v>
      </c>
      <c r="BD461">
        <v>947962</v>
      </c>
      <c r="BE461" t="s">
        <v>15232</v>
      </c>
      <c r="BF461" t="str">
        <f>HYPERLINK("http://dx.doi.org/10.3389/fenvs.2022.947962","http://dx.doi.org/10.3389/fenvs.2022.947962")</f>
        <v>http://dx.doi.org/10.3389/fenvs.2022.947962</v>
      </c>
      <c r="BG461" t="s">
        <v>72</v>
      </c>
      <c r="BH461" t="s">
        <v>72</v>
      </c>
      <c r="BI461">
        <v>17</v>
      </c>
      <c r="BJ461" t="s">
        <v>3287</v>
      </c>
      <c r="BK461" t="s">
        <v>1471</v>
      </c>
      <c r="BL461" t="s">
        <v>15233</v>
      </c>
      <c r="BM461" t="s">
        <v>72</v>
      </c>
      <c r="BN461" t="s">
        <v>222</v>
      </c>
      <c r="BO461" t="s">
        <v>72</v>
      </c>
      <c r="BP461" t="s">
        <v>72</v>
      </c>
      <c r="BQ461" t="s">
        <v>100</v>
      </c>
      <c r="BR461" t="s">
        <v>15234</v>
      </c>
      <c r="BS461" t="str">
        <f>HYPERLINK("https%3A%2F%2Fwww.webofscience.com%2Fwos%2Fwoscc%2Ffull-record%2FWOS:000863895100001","View Full Record in Web of Science")</f>
        <v>View Full Record in Web of Science</v>
      </c>
    </row>
    <row r="462" spans="1:71" hidden="1" x14ac:dyDescent="0.2">
      <c r="A462" t="s">
        <v>70</v>
      </c>
      <c r="B462" t="s">
        <v>16562</v>
      </c>
      <c r="C462" t="s">
        <v>72</v>
      </c>
      <c r="D462" t="s">
        <v>72</v>
      </c>
      <c r="E462" t="s">
        <v>72</v>
      </c>
      <c r="F462" t="s">
        <v>16563</v>
      </c>
      <c r="G462" t="s">
        <v>72</v>
      </c>
      <c r="H462" t="s">
        <v>72</v>
      </c>
      <c r="I462" t="s">
        <v>16564</v>
      </c>
      <c r="J462" t="s">
        <v>7270</v>
      </c>
      <c r="K462" t="s">
        <v>72</v>
      </c>
      <c r="L462" t="s">
        <v>72</v>
      </c>
      <c r="M462" t="s">
        <v>76</v>
      </c>
      <c r="N462" t="s">
        <v>77</v>
      </c>
      <c r="O462" t="s">
        <v>72</v>
      </c>
      <c r="P462" t="s">
        <v>72</v>
      </c>
      <c r="Q462" t="s">
        <v>72</v>
      </c>
      <c r="R462" t="s">
        <v>72</v>
      </c>
      <c r="S462" t="s">
        <v>72</v>
      </c>
      <c r="T462" t="s">
        <v>16565</v>
      </c>
      <c r="U462" t="s">
        <v>16566</v>
      </c>
      <c r="V462" t="s">
        <v>16567</v>
      </c>
      <c r="W462" t="s">
        <v>16568</v>
      </c>
      <c r="X462" t="s">
        <v>16569</v>
      </c>
      <c r="Y462" t="s">
        <v>16570</v>
      </c>
      <c r="Z462" t="s">
        <v>16571</v>
      </c>
      <c r="AA462" t="s">
        <v>16572</v>
      </c>
      <c r="AB462" t="s">
        <v>16573</v>
      </c>
      <c r="AC462" t="s">
        <v>16574</v>
      </c>
      <c r="AD462" t="s">
        <v>7993</v>
      </c>
      <c r="AE462" t="s">
        <v>16575</v>
      </c>
      <c r="AF462" t="s">
        <v>72</v>
      </c>
      <c r="AG462">
        <v>45</v>
      </c>
      <c r="AH462">
        <v>3</v>
      </c>
      <c r="AI462">
        <v>4</v>
      </c>
      <c r="AJ462">
        <v>4</v>
      </c>
      <c r="AK462">
        <v>17</v>
      </c>
      <c r="AL462" t="s">
        <v>1260</v>
      </c>
      <c r="AM462" t="s">
        <v>964</v>
      </c>
      <c r="AN462" t="s">
        <v>965</v>
      </c>
      <c r="AO462" t="s">
        <v>7278</v>
      </c>
      <c r="AP462" t="s">
        <v>7279</v>
      </c>
      <c r="AQ462" t="s">
        <v>72</v>
      </c>
      <c r="AR462" t="s">
        <v>7280</v>
      </c>
      <c r="AS462" t="s">
        <v>7281</v>
      </c>
      <c r="AT462" t="s">
        <v>776</v>
      </c>
      <c r="AU462">
        <v>2021</v>
      </c>
      <c r="AV462">
        <v>12</v>
      </c>
      <c r="AW462">
        <v>7</v>
      </c>
      <c r="AX462" t="s">
        <v>72</v>
      </c>
      <c r="AY462" t="s">
        <v>72</v>
      </c>
      <c r="AZ462" t="s">
        <v>72</v>
      </c>
      <c r="BA462" t="s">
        <v>72</v>
      </c>
      <c r="BB462">
        <v>1226</v>
      </c>
      <c r="BC462">
        <v>1239</v>
      </c>
      <c r="BD462" t="s">
        <v>72</v>
      </c>
      <c r="BE462" t="s">
        <v>16576</v>
      </c>
      <c r="BF462" t="str">
        <f>HYPERLINK("http://dx.doi.org/10.1111/2041-210X.13608","http://dx.doi.org/10.1111/2041-210X.13608")</f>
        <v>http://dx.doi.org/10.1111/2041-210X.13608</v>
      </c>
      <c r="BG462" t="s">
        <v>72</v>
      </c>
      <c r="BH462" t="s">
        <v>4075</v>
      </c>
      <c r="BI462">
        <v>14</v>
      </c>
      <c r="BJ462" t="s">
        <v>4278</v>
      </c>
      <c r="BK462" t="s">
        <v>1471</v>
      </c>
      <c r="BL462" t="s">
        <v>16577</v>
      </c>
      <c r="BM462" t="s">
        <v>72</v>
      </c>
      <c r="BN462" t="s">
        <v>1128</v>
      </c>
      <c r="BO462" t="s">
        <v>72</v>
      </c>
      <c r="BP462" t="s">
        <v>72</v>
      </c>
      <c r="BQ462" t="s">
        <v>100</v>
      </c>
      <c r="BR462" t="s">
        <v>16578</v>
      </c>
      <c r="BS462" t="str">
        <f>HYPERLINK("https%3A%2F%2Fwww.webofscience.com%2Fwos%2Fwoscc%2Ffull-record%2FWOS:000647946900001","View Full Record in Web of Science")</f>
        <v>View Full Record in Web of Science</v>
      </c>
    </row>
    <row r="463" spans="1:71" hidden="1" x14ac:dyDescent="0.2">
      <c r="A463" t="s">
        <v>70</v>
      </c>
      <c r="B463" t="s">
        <v>17094</v>
      </c>
      <c r="C463" t="s">
        <v>72</v>
      </c>
      <c r="D463" t="s">
        <v>72</v>
      </c>
      <c r="E463" t="s">
        <v>72</v>
      </c>
      <c r="F463" t="s">
        <v>17095</v>
      </c>
      <c r="G463" t="s">
        <v>72</v>
      </c>
      <c r="H463" t="s">
        <v>72</v>
      </c>
      <c r="I463" t="s">
        <v>17096</v>
      </c>
      <c r="J463" t="s">
        <v>7270</v>
      </c>
      <c r="K463" t="s">
        <v>72</v>
      </c>
      <c r="L463" t="s">
        <v>72</v>
      </c>
      <c r="M463" t="s">
        <v>76</v>
      </c>
      <c r="N463" t="s">
        <v>77</v>
      </c>
      <c r="O463" t="s">
        <v>72</v>
      </c>
      <c r="P463" t="s">
        <v>72</v>
      </c>
      <c r="Q463" t="s">
        <v>72</v>
      </c>
      <c r="R463" t="s">
        <v>72</v>
      </c>
      <c r="S463" t="s">
        <v>72</v>
      </c>
      <c r="T463" t="s">
        <v>17097</v>
      </c>
      <c r="U463" t="s">
        <v>17098</v>
      </c>
      <c r="V463" t="s">
        <v>17099</v>
      </c>
      <c r="W463" t="s">
        <v>17100</v>
      </c>
      <c r="X463" t="s">
        <v>17101</v>
      </c>
      <c r="Y463" t="s">
        <v>17102</v>
      </c>
      <c r="Z463" t="s">
        <v>17103</v>
      </c>
      <c r="AA463" t="s">
        <v>17104</v>
      </c>
      <c r="AB463" t="s">
        <v>17105</v>
      </c>
      <c r="AC463" t="s">
        <v>17106</v>
      </c>
      <c r="AD463" t="s">
        <v>17107</v>
      </c>
      <c r="AE463" t="s">
        <v>17108</v>
      </c>
      <c r="AF463" t="s">
        <v>72</v>
      </c>
      <c r="AG463">
        <v>130</v>
      </c>
      <c r="AH463">
        <v>0</v>
      </c>
      <c r="AI463">
        <v>0</v>
      </c>
      <c r="AJ463">
        <v>18</v>
      </c>
      <c r="AK463">
        <v>18</v>
      </c>
      <c r="AL463" t="s">
        <v>1260</v>
      </c>
      <c r="AM463" t="s">
        <v>964</v>
      </c>
      <c r="AN463" t="s">
        <v>965</v>
      </c>
      <c r="AO463" t="s">
        <v>7278</v>
      </c>
      <c r="AP463" t="s">
        <v>7279</v>
      </c>
      <c r="AQ463" t="s">
        <v>72</v>
      </c>
      <c r="AR463" t="s">
        <v>7280</v>
      </c>
      <c r="AS463" t="s">
        <v>7281</v>
      </c>
      <c r="AT463" t="s">
        <v>951</v>
      </c>
      <c r="AU463">
        <v>2022</v>
      </c>
      <c r="AV463">
        <v>13</v>
      </c>
      <c r="AW463">
        <v>11</v>
      </c>
      <c r="AX463" t="s">
        <v>72</v>
      </c>
      <c r="AY463" t="s">
        <v>72</v>
      </c>
      <c r="AZ463" t="s">
        <v>72</v>
      </c>
      <c r="BA463" t="s">
        <v>72</v>
      </c>
      <c r="BB463">
        <v>2603</v>
      </c>
      <c r="BC463">
        <v>2621</v>
      </c>
      <c r="BD463" t="s">
        <v>72</v>
      </c>
      <c r="BE463" t="s">
        <v>17109</v>
      </c>
      <c r="BF463" t="str">
        <f>HYPERLINK("http://dx.doi.org/10.1111/2041-210X.13992","http://dx.doi.org/10.1111/2041-210X.13992")</f>
        <v>http://dx.doi.org/10.1111/2041-210X.13992</v>
      </c>
      <c r="BG463" t="s">
        <v>72</v>
      </c>
      <c r="BH463" t="s">
        <v>2868</v>
      </c>
      <c r="BI463">
        <v>19</v>
      </c>
      <c r="BJ463" t="s">
        <v>4278</v>
      </c>
      <c r="BK463" t="s">
        <v>1471</v>
      </c>
      <c r="BL463" t="s">
        <v>17110</v>
      </c>
      <c r="BM463" t="s">
        <v>72</v>
      </c>
      <c r="BN463" t="s">
        <v>1128</v>
      </c>
      <c r="BO463" t="s">
        <v>72</v>
      </c>
      <c r="BP463" t="s">
        <v>72</v>
      </c>
      <c r="BQ463" t="s">
        <v>100</v>
      </c>
      <c r="BR463" t="s">
        <v>17111</v>
      </c>
      <c r="BS463" t="str">
        <f>HYPERLINK("https%3A%2F%2Fwww.webofscience.com%2Fwos%2Fwoscc%2Ffull-record%2FWOS:000868730100001","View Full Record in Web of Science")</f>
        <v>View Full Record in Web of Science</v>
      </c>
    </row>
    <row r="464" spans="1:71" hidden="1" x14ac:dyDescent="0.2">
      <c r="A464" t="s">
        <v>70</v>
      </c>
      <c r="B464" t="s">
        <v>2774</v>
      </c>
      <c r="C464" t="s">
        <v>72</v>
      </c>
      <c r="D464" t="s">
        <v>72</v>
      </c>
      <c r="E464" t="s">
        <v>72</v>
      </c>
      <c r="F464" t="s">
        <v>2775</v>
      </c>
      <c r="G464" t="s">
        <v>72</v>
      </c>
      <c r="H464" t="s">
        <v>72</v>
      </c>
      <c r="I464" t="s">
        <v>2776</v>
      </c>
      <c r="J464" t="s">
        <v>2777</v>
      </c>
      <c r="K464" t="s">
        <v>72</v>
      </c>
      <c r="L464" t="s">
        <v>72</v>
      </c>
      <c r="M464" t="s">
        <v>76</v>
      </c>
      <c r="N464" t="s">
        <v>77</v>
      </c>
      <c r="O464" t="s">
        <v>72</v>
      </c>
      <c r="P464" t="s">
        <v>72</v>
      </c>
      <c r="Q464" t="s">
        <v>72</v>
      </c>
      <c r="R464" t="s">
        <v>72</v>
      </c>
      <c r="S464" t="s">
        <v>72</v>
      </c>
      <c r="T464" t="s">
        <v>2778</v>
      </c>
      <c r="U464" t="s">
        <v>2779</v>
      </c>
      <c r="V464" t="s">
        <v>2780</v>
      </c>
      <c r="W464" t="s">
        <v>2781</v>
      </c>
      <c r="X464" t="s">
        <v>2782</v>
      </c>
      <c r="Y464" t="s">
        <v>2783</v>
      </c>
      <c r="Z464" t="s">
        <v>2784</v>
      </c>
      <c r="AA464" t="s">
        <v>72</v>
      </c>
      <c r="AB464" t="s">
        <v>72</v>
      </c>
      <c r="AC464" t="s">
        <v>2785</v>
      </c>
      <c r="AD464" t="s">
        <v>2786</v>
      </c>
      <c r="AE464" t="s">
        <v>2787</v>
      </c>
      <c r="AF464" t="s">
        <v>72</v>
      </c>
      <c r="AG464">
        <v>38</v>
      </c>
      <c r="AH464">
        <v>0</v>
      </c>
      <c r="AI464">
        <v>0</v>
      </c>
      <c r="AJ464">
        <v>3</v>
      </c>
      <c r="AK464">
        <v>10</v>
      </c>
      <c r="AL464" t="s">
        <v>1260</v>
      </c>
      <c r="AM464" t="s">
        <v>964</v>
      </c>
      <c r="AN464" t="s">
        <v>965</v>
      </c>
      <c r="AO464" t="s">
        <v>2788</v>
      </c>
      <c r="AP464" t="s">
        <v>72</v>
      </c>
      <c r="AQ464" t="s">
        <v>72</v>
      </c>
      <c r="AR464" t="s">
        <v>2789</v>
      </c>
      <c r="AS464" t="s">
        <v>2790</v>
      </c>
      <c r="AT464" t="s">
        <v>395</v>
      </c>
      <c r="AU464">
        <v>2021</v>
      </c>
      <c r="AV464">
        <v>11</v>
      </c>
      <c r="AW464">
        <v>20</v>
      </c>
      <c r="AX464" t="s">
        <v>72</v>
      </c>
      <c r="AY464" t="s">
        <v>72</v>
      </c>
      <c r="AZ464" t="s">
        <v>72</v>
      </c>
      <c r="BA464" t="s">
        <v>72</v>
      </c>
      <c r="BB464">
        <v>13920</v>
      </c>
      <c r="BC464">
        <v>13929</v>
      </c>
      <c r="BD464" t="s">
        <v>72</v>
      </c>
      <c r="BE464" t="s">
        <v>2791</v>
      </c>
      <c r="BF464" t="str">
        <f>HYPERLINK("http://dx.doi.org/10.1002/ece3.8098","http://dx.doi.org/10.1002/ece3.8098")</f>
        <v>http://dx.doi.org/10.1002/ece3.8098</v>
      </c>
      <c r="BG464" t="s">
        <v>72</v>
      </c>
      <c r="BH464" t="s">
        <v>2792</v>
      </c>
      <c r="BI464">
        <v>10</v>
      </c>
      <c r="BJ464" s="8" t="s">
        <v>17617</v>
      </c>
      <c r="BK464" t="s">
        <v>2793</v>
      </c>
      <c r="BL464" t="s">
        <v>2794</v>
      </c>
      <c r="BM464">
        <v>34707828</v>
      </c>
      <c r="BN464" t="s">
        <v>1975</v>
      </c>
      <c r="BO464" t="s">
        <v>72</v>
      </c>
      <c r="BP464" t="s">
        <v>72</v>
      </c>
      <c r="BQ464" t="s">
        <v>100</v>
      </c>
      <c r="BR464" t="s">
        <v>2795</v>
      </c>
      <c r="BS464" t="str">
        <f>HYPERLINK("https%3A%2F%2Fwww.webofscience.com%2Fwos%2Fwoscc%2Ffull-record%2FWOS:000696507200001","View Full Record in Web of Science")</f>
        <v>View Full Record in Web of Science</v>
      </c>
    </row>
    <row r="465" spans="1:71" hidden="1" x14ac:dyDescent="0.2">
      <c r="A465" t="s">
        <v>70</v>
      </c>
      <c r="B465" t="s">
        <v>4032</v>
      </c>
      <c r="C465" t="s">
        <v>72</v>
      </c>
      <c r="D465" t="s">
        <v>72</v>
      </c>
      <c r="E465" t="s">
        <v>72</v>
      </c>
      <c r="F465" t="s">
        <v>4033</v>
      </c>
      <c r="G465" t="s">
        <v>72</v>
      </c>
      <c r="H465" t="s">
        <v>72</v>
      </c>
      <c r="I465" t="s">
        <v>4034</v>
      </c>
      <c r="J465" t="s">
        <v>4035</v>
      </c>
      <c r="K465" t="s">
        <v>72</v>
      </c>
      <c r="L465" t="s">
        <v>72</v>
      </c>
      <c r="M465" t="s">
        <v>76</v>
      </c>
      <c r="N465" t="s">
        <v>77</v>
      </c>
      <c r="O465" t="s">
        <v>72</v>
      </c>
      <c r="P465" t="s">
        <v>72</v>
      </c>
      <c r="Q465" t="s">
        <v>72</v>
      </c>
      <c r="R465" t="s">
        <v>72</v>
      </c>
      <c r="S465" t="s">
        <v>72</v>
      </c>
      <c r="T465" t="s">
        <v>4036</v>
      </c>
      <c r="U465" t="s">
        <v>4037</v>
      </c>
      <c r="V465" t="s">
        <v>4038</v>
      </c>
      <c r="W465" t="s">
        <v>4039</v>
      </c>
      <c r="X465" t="s">
        <v>2020</v>
      </c>
      <c r="Y465" t="s">
        <v>4040</v>
      </c>
      <c r="Z465" t="s">
        <v>4041</v>
      </c>
      <c r="AA465" t="s">
        <v>4042</v>
      </c>
      <c r="AB465" t="s">
        <v>4043</v>
      </c>
      <c r="AC465" t="s">
        <v>4044</v>
      </c>
      <c r="AD465" t="s">
        <v>4045</v>
      </c>
      <c r="AE465" t="s">
        <v>4046</v>
      </c>
      <c r="AF465" t="s">
        <v>72</v>
      </c>
      <c r="AG465">
        <v>91</v>
      </c>
      <c r="AH465">
        <v>11</v>
      </c>
      <c r="AI465">
        <v>11</v>
      </c>
      <c r="AJ465">
        <v>14</v>
      </c>
      <c r="AK465">
        <v>40</v>
      </c>
      <c r="AL465" t="s">
        <v>1596</v>
      </c>
      <c r="AM465" t="s">
        <v>451</v>
      </c>
      <c r="AN465" t="s">
        <v>1597</v>
      </c>
      <c r="AO465" t="s">
        <v>4047</v>
      </c>
      <c r="AP465" t="s">
        <v>4048</v>
      </c>
      <c r="AQ465" t="s">
        <v>72</v>
      </c>
      <c r="AR465" t="s">
        <v>4049</v>
      </c>
      <c r="AS465" t="s">
        <v>4050</v>
      </c>
      <c r="AT465" t="s">
        <v>95</v>
      </c>
      <c r="AU465">
        <v>2021</v>
      </c>
      <c r="AV465">
        <v>70</v>
      </c>
      <c r="AW465" t="s">
        <v>72</v>
      </c>
      <c r="AX465" t="s">
        <v>72</v>
      </c>
      <c r="AY465" t="s">
        <v>72</v>
      </c>
      <c r="AZ465" t="s">
        <v>72</v>
      </c>
      <c r="BA465" t="s">
        <v>72</v>
      </c>
      <c r="BB465" t="s">
        <v>72</v>
      </c>
      <c r="BC465" t="s">
        <v>72</v>
      </c>
      <c r="BD465">
        <v>102353</v>
      </c>
      <c r="BE465" t="s">
        <v>4051</v>
      </c>
      <c r="BF465" t="str">
        <f>HYPERLINK("http://dx.doi.org/10.1016/j.gloenvcha.2021.102353","http://dx.doi.org/10.1016/j.gloenvcha.2021.102353")</f>
        <v>http://dx.doi.org/10.1016/j.gloenvcha.2021.102353</v>
      </c>
      <c r="BG465" t="s">
        <v>72</v>
      </c>
      <c r="BH465" t="s">
        <v>2792</v>
      </c>
      <c r="BI465">
        <v>12</v>
      </c>
      <c r="BJ465" t="s">
        <v>4052</v>
      </c>
      <c r="BK465" t="s">
        <v>4053</v>
      </c>
      <c r="BL465" t="s">
        <v>4054</v>
      </c>
      <c r="BM465" t="s">
        <v>72</v>
      </c>
      <c r="BN465" t="s">
        <v>2403</v>
      </c>
      <c r="BO465" t="s">
        <v>72</v>
      </c>
      <c r="BP465" t="s">
        <v>72</v>
      </c>
      <c r="BQ465" t="s">
        <v>100</v>
      </c>
      <c r="BR465" t="s">
        <v>4055</v>
      </c>
      <c r="BS465" t="str">
        <f>HYPERLINK("https%3A%2F%2Fwww.webofscience.com%2Fwos%2Fwoscc%2Ffull-record%2FWOS:000704267800008","View Full Record in Web of Science")</f>
        <v>View Full Record in Web of Science</v>
      </c>
    </row>
    <row r="466" spans="1:71" hidden="1" x14ac:dyDescent="0.2">
      <c r="A466" t="s">
        <v>70</v>
      </c>
      <c r="B466" t="s">
        <v>14508</v>
      </c>
      <c r="C466" t="s">
        <v>72</v>
      </c>
      <c r="D466" t="s">
        <v>72</v>
      </c>
      <c r="E466" t="s">
        <v>72</v>
      </c>
      <c r="F466" t="s">
        <v>14509</v>
      </c>
      <c r="G466" t="s">
        <v>72</v>
      </c>
      <c r="H466" t="s">
        <v>72</v>
      </c>
      <c r="I466" t="s">
        <v>14510</v>
      </c>
      <c r="J466" t="s">
        <v>4035</v>
      </c>
      <c r="K466" t="s">
        <v>72</v>
      </c>
      <c r="L466" t="s">
        <v>72</v>
      </c>
      <c r="M466" t="s">
        <v>76</v>
      </c>
      <c r="N466" t="s">
        <v>77</v>
      </c>
      <c r="O466" t="s">
        <v>72</v>
      </c>
      <c r="P466" t="s">
        <v>72</v>
      </c>
      <c r="Q466" t="s">
        <v>72</v>
      </c>
      <c r="R466" t="s">
        <v>72</v>
      </c>
      <c r="S466" t="s">
        <v>72</v>
      </c>
      <c r="T466" t="s">
        <v>14511</v>
      </c>
      <c r="U466" t="s">
        <v>14512</v>
      </c>
      <c r="V466" t="s">
        <v>14513</v>
      </c>
      <c r="W466" t="s">
        <v>14514</v>
      </c>
      <c r="X466" t="s">
        <v>8058</v>
      </c>
      <c r="Y466" t="s">
        <v>14515</v>
      </c>
      <c r="Z466" t="s">
        <v>8060</v>
      </c>
      <c r="AA466" t="s">
        <v>8061</v>
      </c>
      <c r="AB466" t="s">
        <v>8062</v>
      </c>
      <c r="AC466" t="s">
        <v>14516</v>
      </c>
      <c r="AD466" t="s">
        <v>14517</v>
      </c>
      <c r="AE466" t="s">
        <v>14518</v>
      </c>
      <c r="AF466" t="s">
        <v>72</v>
      </c>
      <c r="AG466">
        <v>33</v>
      </c>
      <c r="AH466">
        <v>53</v>
      </c>
      <c r="AI466">
        <v>54</v>
      </c>
      <c r="AJ466">
        <v>4</v>
      </c>
      <c r="AK466">
        <v>43</v>
      </c>
      <c r="AL466" t="s">
        <v>1596</v>
      </c>
      <c r="AM466" t="s">
        <v>451</v>
      </c>
      <c r="AN466" t="s">
        <v>1597</v>
      </c>
      <c r="AO466" t="s">
        <v>4047</v>
      </c>
      <c r="AP466" t="s">
        <v>4048</v>
      </c>
      <c r="AQ466" t="s">
        <v>72</v>
      </c>
      <c r="AR466" t="s">
        <v>4049</v>
      </c>
      <c r="AS466" t="s">
        <v>4050</v>
      </c>
      <c r="AT466" t="s">
        <v>95</v>
      </c>
      <c r="AU466">
        <v>2017</v>
      </c>
      <c r="AV466">
        <v>46</v>
      </c>
      <c r="AW466" t="s">
        <v>72</v>
      </c>
      <c r="AX466" t="s">
        <v>72</v>
      </c>
      <c r="AY466" t="s">
        <v>72</v>
      </c>
      <c r="AZ466" t="s">
        <v>72</v>
      </c>
      <c r="BA466" t="s">
        <v>72</v>
      </c>
      <c r="BB466">
        <v>34</v>
      </c>
      <c r="BC466">
        <v>41</v>
      </c>
      <c r="BD466" t="s">
        <v>72</v>
      </c>
      <c r="BE466" t="s">
        <v>14519</v>
      </c>
      <c r="BF466" t="str">
        <f>HYPERLINK("http://dx.doi.org/10.1016/j.gloenvcha.2017.06.005","http://dx.doi.org/10.1016/j.gloenvcha.2017.06.005")</f>
        <v>http://dx.doi.org/10.1016/j.gloenvcha.2017.06.005</v>
      </c>
      <c r="BG466" t="s">
        <v>72</v>
      </c>
      <c r="BH466" t="s">
        <v>72</v>
      </c>
      <c r="BI466">
        <v>8</v>
      </c>
      <c r="BJ466" t="s">
        <v>4052</v>
      </c>
      <c r="BK466" t="s">
        <v>4053</v>
      </c>
      <c r="BL466" t="s">
        <v>14520</v>
      </c>
      <c r="BM466" t="s">
        <v>72</v>
      </c>
      <c r="BN466" t="s">
        <v>280</v>
      </c>
      <c r="BO466" t="s">
        <v>72</v>
      </c>
      <c r="BP466" t="s">
        <v>72</v>
      </c>
      <c r="BQ466" t="s">
        <v>100</v>
      </c>
      <c r="BR466" t="s">
        <v>14521</v>
      </c>
      <c r="BS466" t="str">
        <f>HYPERLINK("https%3A%2F%2Fwww.webofscience.com%2Fwos%2Fwoscc%2Ffull-record%2FWOS:000413381500004","View Full Record in Web of Science")</f>
        <v>View Full Record in Web of Science</v>
      </c>
    </row>
    <row r="467" spans="1:71" hidden="1" x14ac:dyDescent="0.2">
      <c r="A467" t="s">
        <v>70</v>
      </c>
      <c r="B467" t="s">
        <v>14784</v>
      </c>
      <c r="C467" t="s">
        <v>72</v>
      </c>
      <c r="D467" t="s">
        <v>72</v>
      </c>
      <c r="E467" t="s">
        <v>72</v>
      </c>
      <c r="F467" t="s">
        <v>14785</v>
      </c>
      <c r="G467" t="s">
        <v>72</v>
      </c>
      <c r="H467" t="s">
        <v>72</v>
      </c>
      <c r="I467" t="s">
        <v>14786</v>
      </c>
      <c r="J467" t="s">
        <v>4035</v>
      </c>
      <c r="K467" t="s">
        <v>72</v>
      </c>
      <c r="L467" t="s">
        <v>72</v>
      </c>
      <c r="M467" t="s">
        <v>76</v>
      </c>
      <c r="N467" t="s">
        <v>77</v>
      </c>
      <c r="O467" t="s">
        <v>72</v>
      </c>
      <c r="P467" t="s">
        <v>72</v>
      </c>
      <c r="Q467" t="s">
        <v>72</v>
      </c>
      <c r="R467" t="s">
        <v>72</v>
      </c>
      <c r="S467" t="s">
        <v>72</v>
      </c>
      <c r="T467" t="s">
        <v>14787</v>
      </c>
      <c r="U467" t="s">
        <v>14788</v>
      </c>
      <c r="V467" t="s">
        <v>14789</v>
      </c>
      <c r="W467" t="s">
        <v>14790</v>
      </c>
      <c r="X467" t="s">
        <v>14791</v>
      </c>
      <c r="Y467" t="s">
        <v>14792</v>
      </c>
      <c r="Z467" t="s">
        <v>14793</v>
      </c>
      <c r="AA467" t="s">
        <v>14794</v>
      </c>
      <c r="AB467" t="s">
        <v>14795</v>
      </c>
      <c r="AC467" t="s">
        <v>14796</v>
      </c>
      <c r="AD467" t="s">
        <v>14797</v>
      </c>
      <c r="AE467" t="s">
        <v>14798</v>
      </c>
      <c r="AF467" t="s">
        <v>72</v>
      </c>
      <c r="AG467">
        <v>64</v>
      </c>
      <c r="AH467">
        <v>16</v>
      </c>
      <c r="AI467">
        <v>16</v>
      </c>
      <c r="AJ467">
        <v>4</v>
      </c>
      <c r="AK467">
        <v>26</v>
      </c>
      <c r="AL467" t="s">
        <v>1596</v>
      </c>
      <c r="AM467" t="s">
        <v>451</v>
      </c>
      <c r="AN467" t="s">
        <v>1597</v>
      </c>
      <c r="AO467" t="s">
        <v>4047</v>
      </c>
      <c r="AP467" t="s">
        <v>4048</v>
      </c>
      <c r="AQ467" t="s">
        <v>72</v>
      </c>
      <c r="AR467" t="s">
        <v>4049</v>
      </c>
      <c r="AS467" t="s">
        <v>4050</v>
      </c>
      <c r="AT467" t="s">
        <v>951</v>
      </c>
      <c r="AU467">
        <v>2020</v>
      </c>
      <c r="AV467">
        <v>65</v>
      </c>
      <c r="AW467" t="s">
        <v>72</v>
      </c>
      <c r="AX467" t="s">
        <v>72</v>
      </c>
      <c r="AY467" t="s">
        <v>72</v>
      </c>
      <c r="AZ467" t="s">
        <v>72</v>
      </c>
      <c r="BA467" t="s">
        <v>72</v>
      </c>
      <c r="BB467" t="s">
        <v>72</v>
      </c>
      <c r="BC467" t="s">
        <v>72</v>
      </c>
      <c r="BD467">
        <v>102189</v>
      </c>
      <c r="BE467" t="s">
        <v>14799</v>
      </c>
      <c r="BF467" t="str">
        <f>HYPERLINK("http://dx.doi.org/10.1016/j.gloenvcha.2020.102189","http://dx.doi.org/10.1016/j.gloenvcha.2020.102189")</f>
        <v>http://dx.doi.org/10.1016/j.gloenvcha.2020.102189</v>
      </c>
      <c r="BG467" t="s">
        <v>72</v>
      </c>
      <c r="BH467" t="s">
        <v>72</v>
      </c>
      <c r="BI467">
        <v>10</v>
      </c>
      <c r="BJ467" t="s">
        <v>4052</v>
      </c>
      <c r="BK467" t="s">
        <v>4053</v>
      </c>
      <c r="BL467" t="s">
        <v>14800</v>
      </c>
      <c r="BM467" t="s">
        <v>72</v>
      </c>
      <c r="BN467" t="s">
        <v>72</v>
      </c>
      <c r="BO467" t="s">
        <v>72</v>
      </c>
      <c r="BP467" t="s">
        <v>72</v>
      </c>
      <c r="BQ467" t="s">
        <v>100</v>
      </c>
      <c r="BR467" t="s">
        <v>14801</v>
      </c>
      <c r="BS467" t="str">
        <f>HYPERLINK("https%3A%2F%2Fwww.webofscience.com%2Fwos%2Fwoscc%2Ffull-record%2FWOS:000602819700003","View Full Record in Web of Science")</f>
        <v>View Full Record in Web of Science</v>
      </c>
    </row>
    <row r="468" spans="1:71" hidden="1" x14ac:dyDescent="0.2">
      <c r="A468" t="s">
        <v>70</v>
      </c>
      <c r="B468" t="s">
        <v>15401</v>
      </c>
      <c r="C468" t="s">
        <v>72</v>
      </c>
      <c r="D468" t="s">
        <v>72</v>
      </c>
      <c r="E468" t="s">
        <v>72</v>
      </c>
      <c r="F468" t="s">
        <v>15402</v>
      </c>
      <c r="G468" t="s">
        <v>72</v>
      </c>
      <c r="H468" t="s">
        <v>72</v>
      </c>
      <c r="I468" t="s">
        <v>15403</v>
      </c>
      <c r="J468" t="s">
        <v>4035</v>
      </c>
      <c r="K468" t="s">
        <v>72</v>
      </c>
      <c r="L468" t="s">
        <v>72</v>
      </c>
      <c r="M468" t="s">
        <v>76</v>
      </c>
      <c r="N468" t="s">
        <v>77</v>
      </c>
      <c r="O468" t="s">
        <v>72</v>
      </c>
      <c r="P468" t="s">
        <v>72</v>
      </c>
      <c r="Q468" t="s">
        <v>72</v>
      </c>
      <c r="R468" t="s">
        <v>72</v>
      </c>
      <c r="S468" t="s">
        <v>72</v>
      </c>
      <c r="T468" t="s">
        <v>15404</v>
      </c>
      <c r="U468" t="s">
        <v>15405</v>
      </c>
      <c r="V468" t="s">
        <v>15406</v>
      </c>
      <c r="W468" t="s">
        <v>15407</v>
      </c>
      <c r="X468" t="s">
        <v>15408</v>
      </c>
      <c r="Y468" t="s">
        <v>15409</v>
      </c>
      <c r="Z468" t="s">
        <v>15410</v>
      </c>
      <c r="AA468" t="s">
        <v>72</v>
      </c>
      <c r="AB468" t="s">
        <v>72</v>
      </c>
      <c r="AC468" t="s">
        <v>15411</v>
      </c>
      <c r="AD468" t="s">
        <v>15411</v>
      </c>
      <c r="AE468" t="s">
        <v>15412</v>
      </c>
      <c r="AF468" t="s">
        <v>72</v>
      </c>
      <c r="AG468">
        <v>97</v>
      </c>
      <c r="AH468">
        <v>22</v>
      </c>
      <c r="AI468">
        <v>23</v>
      </c>
      <c r="AJ468">
        <v>6</v>
      </c>
      <c r="AK468">
        <v>33</v>
      </c>
      <c r="AL468" t="s">
        <v>1596</v>
      </c>
      <c r="AM468" t="s">
        <v>451</v>
      </c>
      <c r="AN468" t="s">
        <v>1597</v>
      </c>
      <c r="AO468" t="s">
        <v>4047</v>
      </c>
      <c r="AP468" t="s">
        <v>4048</v>
      </c>
      <c r="AQ468" t="s">
        <v>72</v>
      </c>
      <c r="AR468" t="s">
        <v>4049</v>
      </c>
      <c r="AS468" t="s">
        <v>4050</v>
      </c>
      <c r="AT468" t="s">
        <v>555</v>
      </c>
      <c r="AU468">
        <v>2020</v>
      </c>
      <c r="AV468">
        <v>61</v>
      </c>
      <c r="AW468" t="s">
        <v>72</v>
      </c>
      <c r="AX468" t="s">
        <v>72</v>
      </c>
      <c r="AY468" t="s">
        <v>72</v>
      </c>
      <c r="AZ468" t="s">
        <v>72</v>
      </c>
      <c r="BA468" t="s">
        <v>72</v>
      </c>
      <c r="BB468" t="s">
        <v>72</v>
      </c>
      <c r="BC468" t="s">
        <v>72</v>
      </c>
      <c r="BD468">
        <v>102038</v>
      </c>
      <c r="BE468" t="s">
        <v>15413</v>
      </c>
      <c r="BF468" t="str">
        <f>HYPERLINK("http://dx.doi.org/10.1016/j.gloenvcha.2020.102038","http://dx.doi.org/10.1016/j.gloenvcha.2020.102038")</f>
        <v>http://dx.doi.org/10.1016/j.gloenvcha.2020.102038</v>
      </c>
      <c r="BG468" t="s">
        <v>72</v>
      </c>
      <c r="BH468" t="s">
        <v>72</v>
      </c>
      <c r="BI468">
        <v>12</v>
      </c>
      <c r="BJ468" t="s">
        <v>4052</v>
      </c>
      <c r="BK468" t="s">
        <v>4053</v>
      </c>
      <c r="BL468" t="s">
        <v>15414</v>
      </c>
      <c r="BM468" t="s">
        <v>72</v>
      </c>
      <c r="BN468" t="s">
        <v>72</v>
      </c>
      <c r="BO468" t="s">
        <v>72</v>
      </c>
      <c r="BP468" t="s">
        <v>72</v>
      </c>
      <c r="BQ468" t="s">
        <v>100</v>
      </c>
      <c r="BR468" t="s">
        <v>15415</v>
      </c>
      <c r="BS468" t="str">
        <f>HYPERLINK("https%3A%2F%2Fwww.webofscience.com%2Fwos%2Fwoscc%2Ffull-record%2FWOS:000527300300010","View Full Record in Web of Science")</f>
        <v>View Full Record in Web of Science</v>
      </c>
    </row>
    <row r="469" spans="1:71" x14ac:dyDescent="0.2">
      <c r="A469" t="s">
        <v>70</v>
      </c>
      <c r="B469" t="s">
        <v>1216</v>
      </c>
      <c r="C469" t="s">
        <v>72</v>
      </c>
      <c r="D469" t="s">
        <v>72</v>
      </c>
      <c r="E469" t="s">
        <v>72</v>
      </c>
      <c r="F469" t="s">
        <v>1217</v>
      </c>
      <c r="G469" t="s">
        <v>72</v>
      </c>
      <c r="H469" t="s">
        <v>72</v>
      </c>
      <c r="I469" t="s">
        <v>1218</v>
      </c>
      <c r="J469" t="s">
        <v>1219</v>
      </c>
      <c r="K469" t="s">
        <v>72</v>
      </c>
      <c r="L469" t="s">
        <v>72</v>
      </c>
      <c r="M469" t="s">
        <v>76</v>
      </c>
      <c r="N469" t="s">
        <v>77</v>
      </c>
      <c r="O469" t="s">
        <v>72</v>
      </c>
      <c r="P469" t="s">
        <v>72</v>
      </c>
      <c r="Q469" t="s">
        <v>72</v>
      </c>
      <c r="R469" t="s">
        <v>72</v>
      </c>
      <c r="S469" t="s">
        <v>72</v>
      </c>
      <c r="T469" t="s">
        <v>1220</v>
      </c>
      <c r="U469" t="s">
        <v>1221</v>
      </c>
      <c r="V469" t="s">
        <v>1222</v>
      </c>
      <c r="W469" t="s">
        <v>1223</v>
      </c>
      <c r="X469" t="s">
        <v>1224</v>
      </c>
      <c r="Y469" t="s">
        <v>1225</v>
      </c>
      <c r="Z469" t="s">
        <v>1226</v>
      </c>
      <c r="AA469" t="s">
        <v>72</v>
      </c>
      <c r="AB469" t="s">
        <v>1227</v>
      </c>
      <c r="AC469" t="s">
        <v>72</v>
      </c>
      <c r="AD469" t="s">
        <v>72</v>
      </c>
      <c r="AE469" t="s">
        <v>72</v>
      </c>
      <c r="AF469" t="s">
        <v>72</v>
      </c>
      <c r="AG469">
        <v>88</v>
      </c>
      <c r="AH469">
        <v>0</v>
      </c>
      <c r="AI469">
        <v>0</v>
      </c>
      <c r="AJ469">
        <v>1</v>
      </c>
      <c r="AK469">
        <v>16</v>
      </c>
      <c r="AL469" t="s">
        <v>364</v>
      </c>
      <c r="AM469" t="s">
        <v>365</v>
      </c>
      <c r="AN469" t="s">
        <v>366</v>
      </c>
      <c r="AO469" t="s">
        <v>1228</v>
      </c>
      <c r="AP469" t="s">
        <v>1229</v>
      </c>
      <c r="AQ469" t="s">
        <v>72</v>
      </c>
      <c r="AR469" t="s">
        <v>1230</v>
      </c>
      <c r="AS469" t="s">
        <v>1231</v>
      </c>
      <c r="AT469" t="s">
        <v>1232</v>
      </c>
      <c r="AU469">
        <v>2021</v>
      </c>
      <c r="AV469">
        <v>30</v>
      </c>
      <c r="AW469">
        <v>4</v>
      </c>
      <c r="AX469" t="s">
        <v>72</v>
      </c>
      <c r="AY469" t="s">
        <v>72</v>
      </c>
      <c r="AZ469" t="s">
        <v>72</v>
      </c>
      <c r="BA469" t="s">
        <v>72</v>
      </c>
      <c r="BB469">
        <v>538</v>
      </c>
      <c r="BC469">
        <v>558</v>
      </c>
      <c r="BD469" t="s">
        <v>72</v>
      </c>
      <c r="BE469" t="s">
        <v>1233</v>
      </c>
      <c r="BF469" t="str">
        <f>HYPERLINK("http://dx.doi.org/10.1080/09644016.2020.1786333","http://dx.doi.org/10.1080/09644016.2020.1786333")</f>
        <v>http://dx.doi.org/10.1080/09644016.2020.1786333</v>
      </c>
      <c r="BG469" t="s">
        <v>72</v>
      </c>
      <c r="BH469" t="s">
        <v>480</v>
      </c>
      <c r="BI469">
        <v>21</v>
      </c>
      <c r="BJ469" t="s">
        <v>1234</v>
      </c>
      <c r="BK469" s="1" t="s">
        <v>17619</v>
      </c>
      <c r="BL469" t="s">
        <v>1235</v>
      </c>
      <c r="BM469" t="s">
        <v>72</v>
      </c>
      <c r="BN469" t="s">
        <v>72</v>
      </c>
      <c r="BO469" t="s">
        <v>72</v>
      </c>
      <c r="BP469" t="s">
        <v>72</v>
      </c>
      <c r="BQ469" t="s">
        <v>100</v>
      </c>
      <c r="BR469" t="s">
        <v>1236</v>
      </c>
      <c r="BS469" t="str">
        <f>HYPERLINK("https%3A%2F%2Fwww.webofscience.com%2Fwos%2Fwoscc%2Ffull-record%2FWOS:000547443600001","View Full Record in Web of Science")</f>
        <v>View Full Record in Web of Science</v>
      </c>
    </row>
    <row r="470" spans="1:71" x14ac:dyDescent="0.2">
      <c r="A470" t="s">
        <v>70</v>
      </c>
      <c r="B470" t="s">
        <v>6630</v>
      </c>
      <c r="C470" t="s">
        <v>72</v>
      </c>
      <c r="D470" t="s">
        <v>72</v>
      </c>
      <c r="E470" t="s">
        <v>72</v>
      </c>
      <c r="F470" t="s">
        <v>6631</v>
      </c>
      <c r="G470" t="s">
        <v>72</v>
      </c>
      <c r="H470" t="s">
        <v>72</v>
      </c>
      <c r="I470" t="s">
        <v>6632</v>
      </c>
      <c r="J470" t="s">
        <v>1219</v>
      </c>
      <c r="K470" t="s">
        <v>72</v>
      </c>
      <c r="L470" t="s">
        <v>72</v>
      </c>
      <c r="M470" t="s">
        <v>76</v>
      </c>
      <c r="N470" t="s">
        <v>77</v>
      </c>
      <c r="O470" t="s">
        <v>72</v>
      </c>
      <c r="P470" t="s">
        <v>72</v>
      </c>
      <c r="Q470" t="s">
        <v>72</v>
      </c>
      <c r="R470" t="s">
        <v>72</v>
      </c>
      <c r="S470" t="s">
        <v>72</v>
      </c>
      <c r="T470" t="s">
        <v>6633</v>
      </c>
      <c r="U470" t="s">
        <v>6634</v>
      </c>
      <c r="V470" t="s">
        <v>6635</v>
      </c>
      <c r="W470" t="s">
        <v>6636</v>
      </c>
      <c r="X470" t="s">
        <v>825</v>
      </c>
      <c r="Y470" t="s">
        <v>6637</v>
      </c>
      <c r="Z470" t="s">
        <v>6638</v>
      </c>
      <c r="AA470" t="s">
        <v>6639</v>
      </c>
      <c r="AB470" t="s">
        <v>6640</v>
      </c>
      <c r="AC470" t="s">
        <v>72</v>
      </c>
      <c r="AD470" t="s">
        <v>72</v>
      </c>
      <c r="AE470" t="s">
        <v>72</v>
      </c>
      <c r="AF470" t="s">
        <v>72</v>
      </c>
      <c r="AG470">
        <v>47</v>
      </c>
      <c r="AH470">
        <v>14</v>
      </c>
      <c r="AI470">
        <v>14</v>
      </c>
      <c r="AJ470">
        <v>3</v>
      </c>
      <c r="AK470">
        <v>24</v>
      </c>
      <c r="AL470" t="s">
        <v>364</v>
      </c>
      <c r="AM470" t="s">
        <v>365</v>
      </c>
      <c r="AN470" t="s">
        <v>366</v>
      </c>
      <c r="AO470" t="s">
        <v>1228</v>
      </c>
      <c r="AP470" t="s">
        <v>1229</v>
      </c>
      <c r="AQ470" t="s">
        <v>72</v>
      </c>
      <c r="AR470" t="s">
        <v>1230</v>
      </c>
      <c r="AS470" t="s">
        <v>1231</v>
      </c>
      <c r="AT470" t="s">
        <v>72</v>
      </c>
      <c r="AU470">
        <v>2014</v>
      </c>
      <c r="AV470">
        <v>23</v>
      </c>
      <c r="AW470">
        <v>4</v>
      </c>
      <c r="AX470" t="s">
        <v>72</v>
      </c>
      <c r="AY470" t="s">
        <v>72</v>
      </c>
      <c r="AZ470" t="s">
        <v>72</v>
      </c>
      <c r="BA470" t="s">
        <v>72</v>
      </c>
      <c r="BB470">
        <v>610</v>
      </c>
      <c r="BC470">
        <v>631</v>
      </c>
      <c r="BD470" t="s">
        <v>72</v>
      </c>
      <c r="BE470" t="s">
        <v>6641</v>
      </c>
      <c r="BF470" t="str">
        <f>HYPERLINK("http://dx.doi.org/10.1080/09644016.2014.904068","http://dx.doi.org/10.1080/09644016.2014.904068")</f>
        <v>http://dx.doi.org/10.1080/09644016.2014.904068</v>
      </c>
      <c r="BG470" t="s">
        <v>72</v>
      </c>
      <c r="BH470" t="s">
        <v>72</v>
      </c>
      <c r="BI470">
        <v>22</v>
      </c>
      <c r="BJ470" t="s">
        <v>1234</v>
      </c>
      <c r="BK470" s="1" t="s">
        <v>17619</v>
      </c>
      <c r="BL470" t="s">
        <v>6642</v>
      </c>
      <c r="BM470" t="s">
        <v>72</v>
      </c>
      <c r="BN470" t="s">
        <v>559</v>
      </c>
      <c r="BO470" t="s">
        <v>72</v>
      </c>
      <c r="BP470" t="s">
        <v>72</v>
      </c>
      <c r="BQ470" t="s">
        <v>100</v>
      </c>
      <c r="BR470" t="s">
        <v>6643</v>
      </c>
      <c r="BS470" t="str">
        <f>HYPERLINK("https%3A%2F%2Fwww.webofscience.com%2Fwos%2Fwoscc%2Ffull-record%2FWOS:000342137300005","View Full Record in Web of Science")</f>
        <v>View Full Record in Web of Science</v>
      </c>
    </row>
    <row r="471" spans="1:71" hidden="1" x14ac:dyDescent="0.2">
      <c r="A471" t="s">
        <v>70</v>
      </c>
      <c r="B471" t="s">
        <v>10144</v>
      </c>
      <c r="C471" t="s">
        <v>72</v>
      </c>
      <c r="D471" t="s">
        <v>72</v>
      </c>
      <c r="E471" t="s">
        <v>72</v>
      </c>
      <c r="F471" t="s">
        <v>10145</v>
      </c>
      <c r="G471" t="s">
        <v>72</v>
      </c>
      <c r="H471" t="s">
        <v>72</v>
      </c>
      <c r="I471" t="s">
        <v>10146</v>
      </c>
      <c r="J471" t="s">
        <v>10147</v>
      </c>
      <c r="K471" t="s">
        <v>72</v>
      </c>
      <c r="L471" t="s">
        <v>72</v>
      </c>
      <c r="M471" t="s">
        <v>76</v>
      </c>
      <c r="N471" t="s">
        <v>77</v>
      </c>
      <c r="O471" t="s">
        <v>72</v>
      </c>
      <c r="P471" t="s">
        <v>72</v>
      </c>
      <c r="Q471" t="s">
        <v>72</v>
      </c>
      <c r="R471" t="s">
        <v>72</v>
      </c>
      <c r="S471" t="s">
        <v>72</v>
      </c>
      <c r="T471" t="s">
        <v>10148</v>
      </c>
      <c r="U471" t="s">
        <v>10149</v>
      </c>
      <c r="V471" t="s">
        <v>10150</v>
      </c>
      <c r="W471" t="s">
        <v>10151</v>
      </c>
      <c r="X471" t="s">
        <v>10152</v>
      </c>
      <c r="Y471" t="s">
        <v>10153</v>
      </c>
      <c r="Z471" t="s">
        <v>10154</v>
      </c>
      <c r="AA471" t="s">
        <v>10155</v>
      </c>
      <c r="AB471" t="s">
        <v>10156</v>
      </c>
      <c r="AC471" t="s">
        <v>72</v>
      </c>
      <c r="AD471" t="s">
        <v>72</v>
      </c>
      <c r="AE471" t="s">
        <v>72</v>
      </c>
      <c r="AF471" t="s">
        <v>72</v>
      </c>
      <c r="AG471">
        <v>82</v>
      </c>
      <c r="AH471">
        <v>6</v>
      </c>
      <c r="AI471">
        <v>6</v>
      </c>
      <c r="AJ471">
        <v>9</v>
      </c>
      <c r="AK471">
        <v>25</v>
      </c>
      <c r="AL471" t="s">
        <v>450</v>
      </c>
      <c r="AM471" t="s">
        <v>451</v>
      </c>
      <c r="AN471" t="s">
        <v>452</v>
      </c>
      <c r="AO471" t="s">
        <v>10157</v>
      </c>
      <c r="AP471" t="s">
        <v>10158</v>
      </c>
      <c r="AQ471" t="s">
        <v>72</v>
      </c>
      <c r="AR471" t="s">
        <v>10159</v>
      </c>
      <c r="AS471" t="s">
        <v>10160</v>
      </c>
      <c r="AT471" t="s">
        <v>197</v>
      </c>
      <c r="AU471">
        <v>2021</v>
      </c>
      <c r="AV471">
        <v>166</v>
      </c>
      <c r="AW471" t="s">
        <v>72</v>
      </c>
      <c r="AX471" t="s">
        <v>72</v>
      </c>
      <c r="AY471" t="s">
        <v>72</v>
      </c>
      <c r="AZ471" t="s">
        <v>72</v>
      </c>
      <c r="BA471" t="s">
        <v>72</v>
      </c>
      <c r="BB471" t="s">
        <v>72</v>
      </c>
      <c r="BC471" t="s">
        <v>72</v>
      </c>
      <c r="BD471">
        <v>112211</v>
      </c>
      <c r="BE471" t="s">
        <v>10161</v>
      </c>
      <c r="BF471" t="str">
        <f>HYPERLINK("http://dx.doi.org/10.1016/j.marpolbul.2021.112211","http://dx.doi.org/10.1016/j.marpolbul.2021.112211")</f>
        <v>http://dx.doi.org/10.1016/j.marpolbul.2021.112211</v>
      </c>
      <c r="BG471" t="s">
        <v>72</v>
      </c>
      <c r="BH471" t="s">
        <v>397</v>
      </c>
      <c r="BI471">
        <v>13</v>
      </c>
      <c r="BJ471" s="8" t="s">
        <v>17617</v>
      </c>
      <c r="BK471" t="s">
        <v>10162</v>
      </c>
      <c r="BL471" t="s">
        <v>10163</v>
      </c>
      <c r="BM471">
        <v>33711608</v>
      </c>
      <c r="BN471" t="s">
        <v>251</v>
      </c>
      <c r="BO471" t="s">
        <v>72</v>
      </c>
      <c r="BP471" t="s">
        <v>72</v>
      </c>
      <c r="BQ471" t="s">
        <v>100</v>
      </c>
      <c r="BR471" t="s">
        <v>10164</v>
      </c>
      <c r="BS471" t="str">
        <f>HYPERLINK("https%3A%2F%2Fwww.webofscience.com%2Fwos%2Fwoscc%2Ffull-record%2FWOS:000648436200003","View Full Record in Web of Science")</f>
        <v>View Full Record in Web of Science</v>
      </c>
    </row>
    <row r="472" spans="1:71" hidden="1" x14ac:dyDescent="0.2">
      <c r="A472" t="s">
        <v>70</v>
      </c>
      <c r="B472" t="s">
        <v>8051</v>
      </c>
      <c r="C472" t="s">
        <v>72</v>
      </c>
      <c r="D472" t="s">
        <v>72</v>
      </c>
      <c r="E472" t="s">
        <v>72</v>
      </c>
      <c r="F472" t="s">
        <v>8052</v>
      </c>
      <c r="G472" t="s">
        <v>72</v>
      </c>
      <c r="H472" t="s">
        <v>72</v>
      </c>
      <c r="I472" t="s">
        <v>8053</v>
      </c>
      <c r="J472" t="s">
        <v>8054</v>
      </c>
      <c r="K472" t="s">
        <v>72</v>
      </c>
      <c r="L472" t="s">
        <v>72</v>
      </c>
      <c r="M472" t="s">
        <v>76</v>
      </c>
      <c r="N472" t="s">
        <v>77</v>
      </c>
      <c r="O472" t="s">
        <v>72</v>
      </c>
      <c r="P472" t="s">
        <v>72</v>
      </c>
      <c r="Q472" t="s">
        <v>72</v>
      </c>
      <c r="R472" t="s">
        <v>72</v>
      </c>
      <c r="S472" t="s">
        <v>72</v>
      </c>
      <c r="T472" t="s">
        <v>72</v>
      </c>
      <c r="U472" t="s">
        <v>8055</v>
      </c>
      <c r="V472" t="s">
        <v>8056</v>
      </c>
      <c r="W472" t="s">
        <v>8057</v>
      </c>
      <c r="X472" t="s">
        <v>8058</v>
      </c>
      <c r="Y472" t="s">
        <v>8059</v>
      </c>
      <c r="Z472" t="s">
        <v>8060</v>
      </c>
      <c r="AA472" t="s">
        <v>8061</v>
      </c>
      <c r="AB472" t="s">
        <v>8062</v>
      </c>
      <c r="AC472" t="s">
        <v>8063</v>
      </c>
      <c r="AD472" t="s">
        <v>8064</v>
      </c>
      <c r="AE472" t="s">
        <v>8065</v>
      </c>
      <c r="AF472" t="s">
        <v>72</v>
      </c>
      <c r="AG472">
        <v>28</v>
      </c>
      <c r="AH472">
        <v>66</v>
      </c>
      <c r="AI472">
        <v>66</v>
      </c>
      <c r="AJ472">
        <v>2</v>
      </c>
      <c r="AK472">
        <v>37</v>
      </c>
      <c r="AL472" t="s">
        <v>8066</v>
      </c>
      <c r="AM472" t="s">
        <v>337</v>
      </c>
      <c r="AN472" t="s">
        <v>8067</v>
      </c>
      <c r="AO472" t="s">
        <v>8068</v>
      </c>
      <c r="AP472" t="s">
        <v>8069</v>
      </c>
      <c r="AQ472" t="s">
        <v>72</v>
      </c>
      <c r="AR472" t="s">
        <v>8070</v>
      </c>
      <c r="AS472" t="s">
        <v>8071</v>
      </c>
      <c r="AT472" t="s">
        <v>639</v>
      </c>
      <c r="AU472">
        <v>2015</v>
      </c>
      <c r="AV472">
        <v>5</v>
      </c>
      <c r="AW472">
        <v>8</v>
      </c>
      <c r="AX472" t="s">
        <v>72</v>
      </c>
      <c r="AY472" t="s">
        <v>72</v>
      </c>
      <c r="AZ472" t="s">
        <v>72</v>
      </c>
      <c r="BA472" t="s">
        <v>72</v>
      </c>
      <c r="BB472">
        <v>744</v>
      </c>
      <c r="BC472" t="s">
        <v>8072</v>
      </c>
      <c r="BD472" t="s">
        <v>72</v>
      </c>
      <c r="BE472" t="s">
        <v>8073</v>
      </c>
      <c r="BF472" t="str">
        <f>HYPERLINK("http://dx.doi.org/10.1038/NCLIMATE2663","http://dx.doi.org/10.1038/NCLIMATE2663")</f>
        <v>http://dx.doi.org/10.1038/NCLIMATE2663</v>
      </c>
      <c r="BG472" t="s">
        <v>72</v>
      </c>
      <c r="BH472" t="s">
        <v>72</v>
      </c>
      <c r="BI472">
        <v>5</v>
      </c>
      <c r="BJ472" t="s">
        <v>8074</v>
      </c>
      <c r="BK472" t="s">
        <v>8075</v>
      </c>
      <c r="BL472" t="s">
        <v>8076</v>
      </c>
      <c r="BM472" t="s">
        <v>72</v>
      </c>
      <c r="BN472" t="s">
        <v>559</v>
      </c>
      <c r="BO472" t="s">
        <v>72</v>
      </c>
      <c r="BP472" t="s">
        <v>72</v>
      </c>
      <c r="BQ472" t="s">
        <v>100</v>
      </c>
      <c r="BR472" t="s">
        <v>8077</v>
      </c>
      <c r="BS472" t="str">
        <f>HYPERLINK("https%3A%2F%2Fwww.webofscience.com%2Fwos%2Fwoscc%2Ffull-record%2FWOS:000358484400016","View Full Record in Web of Science")</f>
        <v>View Full Record in Web of Science</v>
      </c>
    </row>
    <row r="473" spans="1:71" hidden="1" x14ac:dyDescent="0.2">
      <c r="A473" t="s">
        <v>70</v>
      </c>
      <c r="B473" t="s">
        <v>10693</v>
      </c>
      <c r="C473" t="s">
        <v>72</v>
      </c>
      <c r="D473" t="s">
        <v>72</v>
      </c>
      <c r="E473" t="s">
        <v>72</v>
      </c>
      <c r="F473" t="s">
        <v>10694</v>
      </c>
      <c r="G473" t="s">
        <v>72</v>
      </c>
      <c r="H473" t="s">
        <v>72</v>
      </c>
      <c r="I473" t="s">
        <v>10695</v>
      </c>
      <c r="J473" t="s">
        <v>10696</v>
      </c>
      <c r="K473" t="s">
        <v>72</v>
      </c>
      <c r="L473" t="s">
        <v>72</v>
      </c>
      <c r="M473" t="s">
        <v>76</v>
      </c>
      <c r="N473" t="s">
        <v>77</v>
      </c>
      <c r="O473" t="s">
        <v>72</v>
      </c>
      <c r="P473" t="s">
        <v>72</v>
      </c>
      <c r="Q473" t="s">
        <v>72</v>
      </c>
      <c r="R473" t="s">
        <v>72</v>
      </c>
      <c r="S473" t="s">
        <v>72</v>
      </c>
      <c r="T473" t="s">
        <v>10697</v>
      </c>
      <c r="U473" t="s">
        <v>10698</v>
      </c>
      <c r="V473" t="s">
        <v>10699</v>
      </c>
      <c r="W473" t="s">
        <v>10700</v>
      </c>
      <c r="X473" t="s">
        <v>10701</v>
      </c>
      <c r="Y473" t="s">
        <v>10702</v>
      </c>
      <c r="Z473" t="s">
        <v>10703</v>
      </c>
      <c r="AA473" t="s">
        <v>10704</v>
      </c>
      <c r="AB473" t="s">
        <v>10705</v>
      </c>
      <c r="AC473" t="s">
        <v>10706</v>
      </c>
      <c r="AD473" t="s">
        <v>10707</v>
      </c>
      <c r="AE473" t="s">
        <v>10706</v>
      </c>
      <c r="AF473" t="s">
        <v>72</v>
      </c>
      <c r="AG473">
        <v>102</v>
      </c>
      <c r="AH473">
        <v>19</v>
      </c>
      <c r="AI473">
        <v>19</v>
      </c>
      <c r="AJ473">
        <v>4</v>
      </c>
      <c r="AK473">
        <v>37</v>
      </c>
      <c r="AL473" t="s">
        <v>1260</v>
      </c>
      <c r="AM473" t="s">
        <v>964</v>
      </c>
      <c r="AN473" t="s">
        <v>965</v>
      </c>
      <c r="AO473" t="s">
        <v>10708</v>
      </c>
      <c r="AP473" t="s">
        <v>10709</v>
      </c>
      <c r="AQ473" t="s">
        <v>72</v>
      </c>
      <c r="AR473" t="s">
        <v>10710</v>
      </c>
      <c r="AS473" t="s">
        <v>10711</v>
      </c>
      <c r="AT473" t="s">
        <v>1286</v>
      </c>
      <c r="AU473">
        <v>2019</v>
      </c>
      <c r="AV473">
        <v>10</v>
      </c>
      <c r="AW473">
        <v>3</v>
      </c>
      <c r="AX473" t="s">
        <v>72</v>
      </c>
      <c r="AY473" t="s">
        <v>72</v>
      </c>
      <c r="AZ473" t="s">
        <v>72</v>
      </c>
      <c r="BA473" t="s">
        <v>72</v>
      </c>
      <c r="BB473" t="s">
        <v>72</v>
      </c>
      <c r="BC473" t="s">
        <v>72</v>
      </c>
      <c r="BD473" t="s">
        <v>10712</v>
      </c>
      <c r="BE473" t="s">
        <v>10713</v>
      </c>
      <c r="BF473" t="str">
        <f>HYPERLINK("http://dx.doi.org/10.1002/wcc.576","http://dx.doi.org/10.1002/wcc.576")</f>
        <v>http://dx.doi.org/10.1002/wcc.576</v>
      </c>
      <c r="BG473" t="s">
        <v>72</v>
      </c>
      <c r="BH473" t="s">
        <v>72</v>
      </c>
      <c r="BI473">
        <v>15</v>
      </c>
      <c r="BJ473" t="s">
        <v>10714</v>
      </c>
      <c r="BK473" t="s">
        <v>8075</v>
      </c>
      <c r="BL473" t="s">
        <v>10715</v>
      </c>
      <c r="BM473" t="s">
        <v>72</v>
      </c>
      <c r="BN473" t="s">
        <v>559</v>
      </c>
      <c r="BO473" t="s">
        <v>72</v>
      </c>
      <c r="BP473" t="s">
        <v>72</v>
      </c>
      <c r="BQ473" t="s">
        <v>100</v>
      </c>
      <c r="BR473" t="s">
        <v>10716</v>
      </c>
      <c r="BS473" t="str">
        <f>HYPERLINK("https%3A%2F%2Fwww.webofscience.com%2Fwos%2Fwoscc%2Ffull-record%2FWOS:000466382600007","View Full Record in Web of Science")</f>
        <v>View Full Record in Web of Science</v>
      </c>
    </row>
    <row r="474" spans="1:71" hidden="1" x14ac:dyDescent="0.2">
      <c r="A474" t="s">
        <v>70</v>
      </c>
      <c r="B474" t="s">
        <v>16403</v>
      </c>
      <c r="C474" t="s">
        <v>72</v>
      </c>
      <c r="D474" t="s">
        <v>72</v>
      </c>
      <c r="E474" t="s">
        <v>72</v>
      </c>
      <c r="F474" t="s">
        <v>16404</v>
      </c>
      <c r="G474" t="s">
        <v>72</v>
      </c>
      <c r="H474" t="s">
        <v>72</v>
      </c>
      <c r="I474" t="s">
        <v>16405</v>
      </c>
      <c r="J474" t="s">
        <v>10696</v>
      </c>
      <c r="K474" t="s">
        <v>72</v>
      </c>
      <c r="L474" t="s">
        <v>72</v>
      </c>
      <c r="M474" t="s">
        <v>76</v>
      </c>
      <c r="N474" t="s">
        <v>352</v>
      </c>
      <c r="O474" t="s">
        <v>72</v>
      </c>
      <c r="P474" t="s">
        <v>72</v>
      </c>
      <c r="Q474" t="s">
        <v>72</v>
      </c>
      <c r="R474" t="s">
        <v>72</v>
      </c>
      <c r="S474" t="s">
        <v>72</v>
      </c>
      <c r="T474" t="s">
        <v>16406</v>
      </c>
      <c r="U474" t="s">
        <v>16407</v>
      </c>
      <c r="V474" t="s">
        <v>16408</v>
      </c>
      <c r="W474" t="s">
        <v>16409</v>
      </c>
      <c r="X474" t="s">
        <v>16410</v>
      </c>
      <c r="Y474" t="s">
        <v>16411</v>
      </c>
      <c r="Z474" t="s">
        <v>16412</v>
      </c>
      <c r="AA474" t="s">
        <v>72</v>
      </c>
      <c r="AB474" t="s">
        <v>16413</v>
      </c>
      <c r="AC474" t="s">
        <v>2227</v>
      </c>
      <c r="AD474" t="s">
        <v>2227</v>
      </c>
      <c r="AE474" t="s">
        <v>3402</v>
      </c>
      <c r="AF474" t="s">
        <v>72</v>
      </c>
      <c r="AG474">
        <v>82</v>
      </c>
      <c r="AH474">
        <v>0</v>
      </c>
      <c r="AI474">
        <v>0</v>
      </c>
      <c r="AJ474">
        <v>3</v>
      </c>
      <c r="AK474">
        <v>3</v>
      </c>
      <c r="AL474" t="s">
        <v>1260</v>
      </c>
      <c r="AM474" t="s">
        <v>964</v>
      </c>
      <c r="AN474" t="s">
        <v>965</v>
      </c>
      <c r="AO474" t="s">
        <v>10708</v>
      </c>
      <c r="AP474" t="s">
        <v>10709</v>
      </c>
      <c r="AQ474" t="s">
        <v>72</v>
      </c>
      <c r="AR474" t="s">
        <v>10710</v>
      </c>
      <c r="AS474" t="s">
        <v>10711</v>
      </c>
      <c r="AT474" t="s">
        <v>72</v>
      </c>
      <c r="AU474" t="s">
        <v>72</v>
      </c>
      <c r="AV474" t="s">
        <v>72</v>
      </c>
      <c r="AW474" t="s">
        <v>72</v>
      </c>
      <c r="AX474" t="s">
        <v>72</v>
      </c>
      <c r="AY474" t="s">
        <v>72</v>
      </c>
      <c r="AZ474" t="s">
        <v>72</v>
      </c>
      <c r="BA474" t="s">
        <v>72</v>
      </c>
      <c r="BB474" t="s">
        <v>72</v>
      </c>
      <c r="BC474" t="s">
        <v>72</v>
      </c>
      <c r="BD474" t="s">
        <v>72</v>
      </c>
      <c r="BE474" t="s">
        <v>16414</v>
      </c>
      <c r="BF474" t="str">
        <f>HYPERLINK("http://dx.doi.org/10.1002/wcc.806","http://dx.doi.org/10.1002/wcc.806")</f>
        <v>http://dx.doi.org/10.1002/wcc.806</v>
      </c>
      <c r="BG474" t="s">
        <v>72</v>
      </c>
      <c r="BH474" t="s">
        <v>2010</v>
      </c>
      <c r="BI474">
        <v>10</v>
      </c>
      <c r="BJ474" t="s">
        <v>10714</v>
      </c>
      <c r="BK474" t="s">
        <v>8075</v>
      </c>
      <c r="BL474" t="s">
        <v>16415</v>
      </c>
      <c r="BM474" t="s">
        <v>72</v>
      </c>
      <c r="BN474" t="s">
        <v>72</v>
      </c>
      <c r="BO474" t="s">
        <v>72</v>
      </c>
      <c r="BP474" t="s">
        <v>72</v>
      </c>
      <c r="BQ474" t="s">
        <v>100</v>
      </c>
      <c r="BR474" t="s">
        <v>16416</v>
      </c>
      <c r="BS474" t="str">
        <f>HYPERLINK("https%3A%2F%2Fwww.webofscience.com%2Fwos%2Fwoscc%2Ffull-record%2FWOS:000879077700001","View Full Record in Web of Science")</f>
        <v>View Full Record in Web of Science</v>
      </c>
    </row>
    <row r="475" spans="1:71" hidden="1" x14ac:dyDescent="0.2">
      <c r="A475" t="s">
        <v>70</v>
      </c>
      <c r="B475" t="s">
        <v>15277</v>
      </c>
      <c r="C475" t="s">
        <v>72</v>
      </c>
      <c r="D475" t="s">
        <v>72</v>
      </c>
      <c r="E475" t="s">
        <v>72</v>
      </c>
      <c r="F475" t="s">
        <v>15278</v>
      </c>
      <c r="G475" t="s">
        <v>72</v>
      </c>
      <c r="H475" t="s">
        <v>72</v>
      </c>
      <c r="I475" t="s">
        <v>15279</v>
      </c>
      <c r="J475" t="s">
        <v>15280</v>
      </c>
      <c r="K475" t="s">
        <v>72</v>
      </c>
      <c r="L475" t="s">
        <v>72</v>
      </c>
      <c r="M475" t="s">
        <v>76</v>
      </c>
      <c r="N475" t="s">
        <v>77</v>
      </c>
      <c r="O475" t="s">
        <v>72</v>
      </c>
      <c r="P475" t="s">
        <v>72</v>
      </c>
      <c r="Q475" t="s">
        <v>72</v>
      </c>
      <c r="R475" t="s">
        <v>72</v>
      </c>
      <c r="S475" t="s">
        <v>72</v>
      </c>
      <c r="T475" t="s">
        <v>15281</v>
      </c>
      <c r="U475" t="s">
        <v>15282</v>
      </c>
      <c r="V475" t="s">
        <v>15283</v>
      </c>
      <c r="W475" t="s">
        <v>15284</v>
      </c>
      <c r="X475" t="s">
        <v>15285</v>
      </c>
      <c r="Y475" t="s">
        <v>1454</v>
      </c>
      <c r="Z475" t="s">
        <v>15286</v>
      </c>
      <c r="AA475" t="s">
        <v>15287</v>
      </c>
      <c r="AB475" t="s">
        <v>15288</v>
      </c>
      <c r="AC475" t="s">
        <v>15289</v>
      </c>
      <c r="AD475" t="s">
        <v>15290</v>
      </c>
      <c r="AE475" t="s">
        <v>15291</v>
      </c>
      <c r="AF475" t="s">
        <v>72</v>
      </c>
      <c r="AG475">
        <v>66</v>
      </c>
      <c r="AH475">
        <v>2</v>
      </c>
      <c r="AI475">
        <v>2</v>
      </c>
      <c r="AJ475">
        <v>3</v>
      </c>
      <c r="AK475">
        <v>11</v>
      </c>
      <c r="AL475" t="s">
        <v>2073</v>
      </c>
      <c r="AM475" t="s">
        <v>365</v>
      </c>
      <c r="AN475" t="s">
        <v>2074</v>
      </c>
      <c r="AO475" t="s">
        <v>15292</v>
      </c>
      <c r="AP475" t="s">
        <v>15293</v>
      </c>
      <c r="AQ475" t="s">
        <v>72</v>
      </c>
      <c r="AR475" t="s">
        <v>15294</v>
      </c>
      <c r="AS475" t="s">
        <v>15295</v>
      </c>
      <c r="AT475" t="s">
        <v>15296</v>
      </c>
      <c r="AU475">
        <v>2022</v>
      </c>
      <c r="AV475">
        <v>22</v>
      </c>
      <c r="AW475">
        <v>1</v>
      </c>
      <c r="AX475" t="s">
        <v>72</v>
      </c>
      <c r="AY475" t="s">
        <v>72</v>
      </c>
      <c r="AZ475" t="s">
        <v>72</v>
      </c>
      <c r="BA475" t="s">
        <v>72</v>
      </c>
      <c r="BB475">
        <v>97</v>
      </c>
      <c r="BC475">
        <v>111</v>
      </c>
      <c r="BD475" t="s">
        <v>72</v>
      </c>
      <c r="BE475" t="s">
        <v>15297</v>
      </c>
      <c r="BF475" t="str">
        <f>HYPERLINK("http://dx.doi.org/10.1080/14693062.2021.2018986","http://dx.doi.org/10.1080/14693062.2021.2018986")</f>
        <v>http://dx.doi.org/10.1080/14693062.2021.2018986</v>
      </c>
      <c r="BG475" t="s">
        <v>72</v>
      </c>
      <c r="BH475" t="s">
        <v>1288</v>
      </c>
      <c r="BI475">
        <v>15</v>
      </c>
      <c r="BJ475" t="s">
        <v>15298</v>
      </c>
      <c r="BK475" t="s">
        <v>15299</v>
      </c>
      <c r="BL475" t="s">
        <v>15300</v>
      </c>
      <c r="BM475" t="s">
        <v>72</v>
      </c>
      <c r="BN475" t="s">
        <v>346</v>
      </c>
      <c r="BO475" t="s">
        <v>72</v>
      </c>
      <c r="BP475" t="s">
        <v>72</v>
      </c>
      <c r="BQ475" t="s">
        <v>100</v>
      </c>
      <c r="BR475" t="s">
        <v>15301</v>
      </c>
      <c r="BS475" t="str">
        <f>HYPERLINK("https%3A%2F%2Fwww.webofscience.com%2Fwos%2Fwoscc%2Ffull-record%2FWOS:000738504600001","View Full Record in Web of Science")</f>
        <v>View Full Record in Web of Science</v>
      </c>
    </row>
    <row r="476" spans="1:71" hidden="1" x14ac:dyDescent="0.2">
      <c r="A476" t="s">
        <v>70</v>
      </c>
      <c r="B476" t="s">
        <v>16642</v>
      </c>
      <c r="C476" t="s">
        <v>72</v>
      </c>
      <c r="D476" t="s">
        <v>72</v>
      </c>
      <c r="E476" t="s">
        <v>72</v>
      </c>
      <c r="F476" t="s">
        <v>16643</v>
      </c>
      <c r="G476" t="s">
        <v>72</v>
      </c>
      <c r="H476" t="s">
        <v>72</v>
      </c>
      <c r="I476" t="s">
        <v>16644</v>
      </c>
      <c r="J476" t="s">
        <v>15280</v>
      </c>
      <c r="K476" t="s">
        <v>72</v>
      </c>
      <c r="L476" t="s">
        <v>72</v>
      </c>
      <c r="M476" t="s">
        <v>76</v>
      </c>
      <c r="N476" t="s">
        <v>77</v>
      </c>
      <c r="O476" t="s">
        <v>72</v>
      </c>
      <c r="P476" t="s">
        <v>72</v>
      </c>
      <c r="Q476" t="s">
        <v>72</v>
      </c>
      <c r="R476" t="s">
        <v>72</v>
      </c>
      <c r="S476" t="s">
        <v>72</v>
      </c>
      <c r="T476" t="s">
        <v>72</v>
      </c>
      <c r="U476" t="s">
        <v>16645</v>
      </c>
      <c r="V476" t="s">
        <v>16646</v>
      </c>
      <c r="W476" t="s">
        <v>16647</v>
      </c>
      <c r="X476" t="s">
        <v>16648</v>
      </c>
      <c r="Y476" t="s">
        <v>16649</v>
      </c>
      <c r="Z476" t="s">
        <v>16650</v>
      </c>
      <c r="AA476" t="s">
        <v>72</v>
      </c>
      <c r="AB476" t="s">
        <v>16651</v>
      </c>
      <c r="AC476" t="s">
        <v>72</v>
      </c>
      <c r="AD476" t="s">
        <v>72</v>
      </c>
      <c r="AE476" t="s">
        <v>72</v>
      </c>
      <c r="AF476" t="s">
        <v>72</v>
      </c>
      <c r="AG476">
        <v>54</v>
      </c>
      <c r="AH476">
        <v>27</v>
      </c>
      <c r="AI476">
        <v>27</v>
      </c>
      <c r="AJ476">
        <v>3</v>
      </c>
      <c r="AK476">
        <v>16</v>
      </c>
      <c r="AL476" t="s">
        <v>2073</v>
      </c>
      <c r="AM476" t="s">
        <v>365</v>
      </c>
      <c r="AN476" t="s">
        <v>2074</v>
      </c>
      <c r="AO476" t="s">
        <v>15292</v>
      </c>
      <c r="AP476" t="s">
        <v>15293</v>
      </c>
      <c r="AQ476" t="s">
        <v>72</v>
      </c>
      <c r="AR476" t="s">
        <v>15294</v>
      </c>
      <c r="AS476" t="s">
        <v>15295</v>
      </c>
      <c r="AT476" t="s">
        <v>16652</v>
      </c>
      <c r="AU476">
        <v>2020</v>
      </c>
      <c r="AV476">
        <v>20</v>
      </c>
      <c r="AW476">
        <v>4</v>
      </c>
      <c r="AX476" t="s">
        <v>72</v>
      </c>
      <c r="AY476" t="s">
        <v>72</v>
      </c>
      <c r="AZ476" t="s">
        <v>478</v>
      </c>
      <c r="BA476" t="s">
        <v>72</v>
      </c>
      <c r="BB476">
        <v>443</v>
      </c>
      <c r="BC476">
        <v>457</v>
      </c>
      <c r="BD476" t="s">
        <v>72</v>
      </c>
      <c r="BE476" t="s">
        <v>16653</v>
      </c>
      <c r="BF476" t="str">
        <f>HYPERLINK("http://dx.doi.org/10.1080/14693062.2019.1624252","http://dx.doi.org/10.1080/14693062.2019.1624252")</f>
        <v>http://dx.doi.org/10.1080/14693062.2019.1624252</v>
      </c>
      <c r="BG476" t="s">
        <v>72</v>
      </c>
      <c r="BH476" t="s">
        <v>13973</v>
      </c>
      <c r="BI476">
        <v>15</v>
      </c>
      <c r="BJ476" t="s">
        <v>15298</v>
      </c>
      <c r="BK476" t="s">
        <v>15299</v>
      </c>
      <c r="BL476" t="s">
        <v>16654</v>
      </c>
      <c r="BM476" t="s">
        <v>72</v>
      </c>
      <c r="BN476" t="s">
        <v>1128</v>
      </c>
      <c r="BO476" t="s">
        <v>72</v>
      </c>
      <c r="BP476" t="s">
        <v>72</v>
      </c>
      <c r="BQ476" t="s">
        <v>100</v>
      </c>
      <c r="BR476" t="s">
        <v>16655</v>
      </c>
      <c r="BS476" t="str">
        <f>HYPERLINK("https%3A%2F%2Fwww.webofscience.com%2Fwos%2Fwoscc%2Ffull-record%2FWOS:000475253000001","View Full Record in Web of Science")</f>
        <v>View Full Record in Web of Science</v>
      </c>
    </row>
    <row r="477" spans="1:71" hidden="1" x14ac:dyDescent="0.2">
      <c r="A477" t="s">
        <v>70</v>
      </c>
      <c r="B477" t="s">
        <v>4538</v>
      </c>
      <c r="C477" t="s">
        <v>72</v>
      </c>
      <c r="D477" t="s">
        <v>72</v>
      </c>
      <c r="E477" t="s">
        <v>72</v>
      </c>
      <c r="F477" t="s">
        <v>4539</v>
      </c>
      <c r="G477" t="s">
        <v>72</v>
      </c>
      <c r="H477" t="s">
        <v>72</v>
      </c>
      <c r="I477" t="s">
        <v>4540</v>
      </c>
      <c r="J477" t="s">
        <v>4541</v>
      </c>
      <c r="K477" t="s">
        <v>72</v>
      </c>
      <c r="L477" t="s">
        <v>72</v>
      </c>
      <c r="M477" t="s">
        <v>76</v>
      </c>
      <c r="N477" t="s">
        <v>77</v>
      </c>
      <c r="O477" t="s">
        <v>72</v>
      </c>
      <c r="P477" t="s">
        <v>72</v>
      </c>
      <c r="Q477" t="s">
        <v>72</v>
      </c>
      <c r="R477" t="s">
        <v>72</v>
      </c>
      <c r="S477" t="s">
        <v>72</v>
      </c>
      <c r="T477" t="s">
        <v>4542</v>
      </c>
      <c r="U477" t="s">
        <v>4543</v>
      </c>
      <c r="V477" t="s">
        <v>4544</v>
      </c>
      <c r="W477" t="s">
        <v>4545</v>
      </c>
      <c r="X477" t="s">
        <v>4546</v>
      </c>
      <c r="Y477" t="s">
        <v>4547</v>
      </c>
      <c r="Z477" t="s">
        <v>4548</v>
      </c>
      <c r="AA477" t="s">
        <v>72</v>
      </c>
      <c r="AB477" t="s">
        <v>4549</v>
      </c>
      <c r="AC477" t="s">
        <v>4550</v>
      </c>
      <c r="AD477" t="s">
        <v>4551</v>
      </c>
      <c r="AE477" t="s">
        <v>4552</v>
      </c>
      <c r="AF477" t="s">
        <v>72</v>
      </c>
      <c r="AG477">
        <v>78</v>
      </c>
      <c r="AH477">
        <v>2</v>
      </c>
      <c r="AI477">
        <v>2</v>
      </c>
      <c r="AJ477">
        <v>12</v>
      </c>
      <c r="AK477">
        <v>12</v>
      </c>
      <c r="AL477" t="s">
        <v>2426</v>
      </c>
      <c r="AM477" t="s">
        <v>2427</v>
      </c>
      <c r="AN477" t="s">
        <v>2428</v>
      </c>
      <c r="AO477" t="s">
        <v>72</v>
      </c>
      <c r="AP477" t="s">
        <v>4553</v>
      </c>
      <c r="AQ477" t="s">
        <v>72</v>
      </c>
      <c r="AR477" t="s">
        <v>4554</v>
      </c>
      <c r="AS477" t="s">
        <v>4555</v>
      </c>
      <c r="AT477" t="s">
        <v>197</v>
      </c>
      <c r="AU477">
        <v>2022</v>
      </c>
      <c r="AV477">
        <v>19</v>
      </c>
      <c r="AW477">
        <v>10</v>
      </c>
      <c r="AX477" t="s">
        <v>72</v>
      </c>
      <c r="AY477" t="s">
        <v>72</v>
      </c>
      <c r="AZ477" t="s">
        <v>72</v>
      </c>
      <c r="BA477" t="s">
        <v>72</v>
      </c>
      <c r="BB477" t="s">
        <v>72</v>
      </c>
      <c r="BC477" t="s">
        <v>72</v>
      </c>
      <c r="BD477">
        <v>6159</v>
      </c>
      <c r="BE477" t="s">
        <v>4556</v>
      </c>
      <c r="BF477" t="str">
        <f>HYPERLINK("http://dx.doi.org/10.3390/ijerph19106159","http://dx.doi.org/10.3390/ijerph19106159")</f>
        <v>http://dx.doi.org/10.3390/ijerph19106159</v>
      </c>
      <c r="BG477" t="s">
        <v>72</v>
      </c>
      <c r="BH477" t="s">
        <v>72</v>
      </c>
      <c r="BI477">
        <v>16</v>
      </c>
      <c r="BJ477" t="s">
        <v>4557</v>
      </c>
      <c r="BK477" t="s">
        <v>4558</v>
      </c>
      <c r="BL477" t="s">
        <v>4559</v>
      </c>
      <c r="BM477">
        <v>35627696</v>
      </c>
      <c r="BN477" t="s">
        <v>1975</v>
      </c>
      <c r="BO477" t="s">
        <v>72</v>
      </c>
      <c r="BP477" t="s">
        <v>72</v>
      </c>
      <c r="BQ477" t="s">
        <v>100</v>
      </c>
      <c r="BR477" t="s">
        <v>4560</v>
      </c>
      <c r="BS477" t="str">
        <f>HYPERLINK("https%3A%2F%2Fwww.webofscience.com%2Fwos%2Fwoscc%2Ffull-record%2FWOS:000801544000001","View Full Record in Web of Science")</f>
        <v>View Full Record in Web of Science</v>
      </c>
    </row>
    <row r="478" spans="1:71" hidden="1" x14ac:dyDescent="0.2">
      <c r="A478" t="s">
        <v>70</v>
      </c>
      <c r="B478" t="s">
        <v>9873</v>
      </c>
      <c r="C478" t="s">
        <v>72</v>
      </c>
      <c r="D478" t="s">
        <v>72</v>
      </c>
      <c r="E478" t="s">
        <v>72</v>
      </c>
      <c r="F478" t="s">
        <v>9874</v>
      </c>
      <c r="G478" t="s">
        <v>72</v>
      </c>
      <c r="H478" t="s">
        <v>72</v>
      </c>
      <c r="I478" t="s">
        <v>9875</v>
      </c>
      <c r="J478" t="s">
        <v>4541</v>
      </c>
      <c r="K478" t="s">
        <v>72</v>
      </c>
      <c r="L478" t="s">
        <v>72</v>
      </c>
      <c r="M478" t="s">
        <v>76</v>
      </c>
      <c r="N478" t="s">
        <v>77</v>
      </c>
      <c r="O478" t="s">
        <v>72</v>
      </c>
      <c r="P478" t="s">
        <v>72</v>
      </c>
      <c r="Q478" t="s">
        <v>72</v>
      </c>
      <c r="R478" t="s">
        <v>72</v>
      </c>
      <c r="S478" t="s">
        <v>72</v>
      </c>
      <c r="T478" t="s">
        <v>9876</v>
      </c>
      <c r="U478" t="s">
        <v>9877</v>
      </c>
      <c r="V478" t="s">
        <v>9878</v>
      </c>
      <c r="W478" t="s">
        <v>9879</v>
      </c>
      <c r="X478" t="s">
        <v>9880</v>
      </c>
      <c r="Y478" t="s">
        <v>9881</v>
      </c>
      <c r="Z478" t="s">
        <v>9882</v>
      </c>
      <c r="AA478" t="s">
        <v>72</v>
      </c>
      <c r="AB478" t="s">
        <v>72</v>
      </c>
      <c r="AC478" t="s">
        <v>9883</v>
      </c>
      <c r="AD478" t="s">
        <v>9884</v>
      </c>
      <c r="AE478" t="s">
        <v>9885</v>
      </c>
      <c r="AF478" t="s">
        <v>72</v>
      </c>
      <c r="AG478">
        <v>45</v>
      </c>
      <c r="AH478">
        <v>1</v>
      </c>
      <c r="AI478">
        <v>1</v>
      </c>
      <c r="AJ478">
        <v>8</v>
      </c>
      <c r="AK478">
        <v>56</v>
      </c>
      <c r="AL478" t="s">
        <v>2426</v>
      </c>
      <c r="AM478" t="s">
        <v>2427</v>
      </c>
      <c r="AN478" t="s">
        <v>2428</v>
      </c>
      <c r="AO478" t="s">
        <v>72</v>
      </c>
      <c r="AP478" t="s">
        <v>4553</v>
      </c>
      <c r="AQ478" t="s">
        <v>72</v>
      </c>
      <c r="AR478" t="s">
        <v>4554</v>
      </c>
      <c r="AS478" t="s">
        <v>4555</v>
      </c>
      <c r="AT478" t="s">
        <v>395</v>
      </c>
      <c r="AU478">
        <v>2020</v>
      </c>
      <c r="AV478">
        <v>17</v>
      </c>
      <c r="AW478">
        <v>20</v>
      </c>
      <c r="AX478" t="s">
        <v>72</v>
      </c>
      <c r="AY478" t="s">
        <v>72</v>
      </c>
      <c r="AZ478" t="s">
        <v>72</v>
      </c>
      <c r="BA478" t="s">
        <v>72</v>
      </c>
      <c r="BB478" t="s">
        <v>72</v>
      </c>
      <c r="BC478" t="s">
        <v>72</v>
      </c>
      <c r="BD478">
        <v>7407</v>
      </c>
      <c r="BE478" t="s">
        <v>9886</v>
      </c>
      <c r="BF478" t="str">
        <f>HYPERLINK("http://dx.doi.org/10.3390/ijerph17207407","http://dx.doi.org/10.3390/ijerph17207407")</f>
        <v>http://dx.doi.org/10.3390/ijerph17207407</v>
      </c>
      <c r="BG478" t="s">
        <v>72</v>
      </c>
      <c r="BH478" t="s">
        <v>72</v>
      </c>
      <c r="BI478">
        <v>21</v>
      </c>
      <c r="BJ478" t="s">
        <v>4557</v>
      </c>
      <c r="BK478" t="s">
        <v>4558</v>
      </c>
      <c r="BL478" t="s">
        <v>9887</v>
      </c>
      <c r="BM478">
        <v>33053709</v>
      </c>
      <c r="BN478" t="s">
        <v>910</v>
      </c>
      <c r="BO478" t="s">
        <v>72</v>
      </c>
      <c r="BP478" t="s">
        <v>72</v>
      </c>
      <c r="BQ478" t="s">
        <v>100</v>
      </c>
      <c r="BR478" t="s">
        <v>9888</v>
      </c>
      <c r="BS478" t="str">
        <f>HYPERLINK("https%3A%2F%2Fwww.webofscience.com%2Fwos%2Fwoscc%2Ffull-record%2FWOS:000585673200001","View Full Record in Web of Science")</f>
        <v>View Full Record in Web of Science</v>
      </c>
    </row>
    <row r="479" spans="1:71" hidden="1" x14ac:dyDescent="0.2">
      <c r="A479" t="s">
        <v>70</v>
      </c>
      <c r="B479" t="s">
        <v>16107</v>
      </c>
      <c r="C479" t="s">
        <v>72</v>
      </c>
      <c r="D479" t="s">
        <v>72</v>
      </c>
      <c r="E479" t="s">
        <v>72</v>
      </c>
      <c r="F479" t="s">
        <v>16108</v>
      </c>
      <c r="G479" t="s">
        <v>72</v>
      </c>
      <c r="H479" t="s">
        <v>72</v>
      </c>
      <c r="I479" t="s">
        <v>16109</v>
      </c>
      <c r="J479" t="s">
        <v>4541</v>
      </c>
      <c r="K479" t="s">
        <v>72</v>
      </c>
      <c r="L479" t="s">
        <v>72</v>
      </c>
      <c r="M479" t="s">
        <v>76</v>
      </c>
      <c r="N479" t="s">
        <v>77</v>
      </c>
      <c r="O479" t="s">
        <v>72</v>
      </c>
      <c r="P479" t="s">
        <v>72</v>
      </c>
      <c r="Q479" t="s">
        <v>72</v>
      </c>
      <c r="R479" t="s">
        <v>72</v>
      </c>
      <c r="S479" t="s">
        <v>72</v>
      </c>
      <c r="T479" t="s">
        <v>16110</v>
      </c>
      <c r="U479" t="s">
        <v>16111</v>
      </c>
      <c r="V479" t="s">
        <v>16112</v>
      </c>
      <c r="W479" t="s">
        <v>16113</v>
      </c>
      <c r="X479" t="s">
        <v>16114</v>
      </c>
      <c r="Y479" t="s">
        <v>16115</v>
      </c>
      <c r="Z479" t="s">
        <v>72</v>
      </c>
      <c r="AA479" t="s">
        <v>16116</v>
      </c>
      <c r="AB479" t="s">
        <v>16117</v>
      </c>
      <c r="AC479" t="s">
        <v>16118</v>
      </c>
      <c r="AD479" t="s">
        <v>16119</v>
      </c>
      <c r="AE479" t="s">
        <v>16120</v>
      </c>
      <c r="AF479" t="s">
        <v>72</v>
      </c>
      <c r="AG479">
        <v>79</v>
      </c>
      <c r="AH479">
        <v>8</v>
      </c>
      <c r="AI479">
        <v>8</v>
      </c>
      <c r="AJ479">
        <v>1</v>
      </c>
      <c r="AK479">
        <v>4</v>
      </c>
      <c r="AL479" t="s">
        <v>2426</v>
      </c>
      <c r="AM479" t="s">
        <v>2427</v>
      </c>
      <c r="AN479" t="s">
        <v>2428</v>
      </c>
      <c r="AO479" t="s">
        <v>72</v>
      </c>
      <c r="AP479" t="s">
        <v>4553</v>
      </c>
      <c r="AQ479" t="s">
        <v>72</v>
      </c>
      <c r="AR479" t="s">
        <v>4554</v>
      </c>
      <c r="AS479" t="s">
        <v>4555</v>
      </c>
      <c r="AT479" t="s">
        <v>951</v>
      </c>
      <c r="AU479">
        <v>2021</v>
      </c>
      <c r="AV479">
        <v>18</v>
      </c>
      <c r="AW479">
        <v>21</v>
      </c>
      <c r="AX479" t="s">
        <v>72</v>
      </c>
      <c r="AY479" t="s">
        <v>72</v>
      </c>
      <c r="AZ479" t="s">
        <v>72</v>
      </c>
      <c r="BA479" t="s">
        <v>72</v>
      </c>
      <c r="BB479" t="s">
        <v>72</v>
      </c>
      <c r="BC479" t="s">
        <v>72</v>
      </c>
      <c r="BD479">
        <v>11241</v>
      </c>
      <c r="BE479" t="s">
        <v>16121</v>
      </c>
      <c r="BF479" t="str">
        <f>HYPERLINK("http://dx.doi.org/10.3390/ijerph182111241","http://dx.doi.org/10.3390/ijerph182111241")</f>
        <v>http://dx.doi.org/10.3390/ijerph182111241</v>
      </c>
      <c r="BG479" t="s">
        <v>72</v>
      </c>
      <c r="BH479" t="s">
        <v>72</v>
      </c>
      <c r="BI479">
        <v>15</v>
      </c>
      <c r="BJ479" t="s">
        <v>4557</v>
      </c>
      <c r="BK479" t="s">
        <v>4558</v>
      </c>
      <c r="BL479" t="s">
        <v>16122</v>
      </c>
      <c r="BM479">
        <v>34769759</v>
      </c>
      <c r="BN479" t="s">
        <v>910</v>
      </c>
      <c r="BO479" t="s">
        <v>72</v>
      </c>
      <c r="BP479" t="s">
        <v>72</v>
      </c>
      <c r="BQ479" t="s">
        <v>100</v>
      </c>
      <c r="BR479" t="s">
        <v>16123</v>
      </c>
      <c r="BS479" t="str">
        <f>HYPERLINK("https%3A%2F%2Fwww.webofscience.com%2Fwos%2Fwoscc%2Ffull-record%2FWOS:000718667800001","View Full Record in Web of Science")</f>
        <v>View Full Record in Web of Science</v>
      </c>
    </row>
    <row r="480" spans="1:71" hidden="1" x14ac:dyDescent="0.2">
      <c r="A480" t="s">
        <v>70</v>
      </c>
      <c r="B480" t="s">
        <v>16905</v>
      </c>
      <c r="C480" t="s">
        <v>72</v>
      </c>
      <c r="D480" t="s">
        <v>72</v>
      </c>
      <c r="E480" t="s">
        <v>72</v>
      </c>
      <c r="F480" t="s">
        <v>16906</v>
      </c>
      <c r="G480" t="s">
        <v>72</v>
      </c>
      <c r="H480" t="s">
        <v>72</v>
      </c>
      <c r="I480" t="s">
        <v>16907</v>
      </c>
      <c r="J480" t="s">
        <v>4541</v>
      </c>
      <c r="K480" t="s">
        <v>72</v>
      </c>
      <c r="L480" t="s">
        <v>72</v>
      </c>
      <c r="M480" t="s">
        <v>76</v>
      </c>
      <c r="N480" t="s">
        <v>77</v>
      </c>
      <c r="O480" t="s">
        <v>72</v>
      </c>
      <c r="P480" t="s">
        <v>72</v>
      </c>
      <c r="Q480" t="s">
        <v>72</v>
      </c>
      <c r="R480" t="s">
        <v>72</v>
      </c>
      <c r="S480" t="s">
        <v>72</v>
      </c>
      <c r="T480" t="s">
        <v>16908</v>
      </c>
      <c r="U480" t="s">
        <v>16909</v>
      </c>
      <c r="V480" t="s">
        <v>16910</v>
      </c>
      <c r="W480" t="s">
        <v>16911</v>
      </c>
      <c r="X480" t="s">
        <v>16114</v>
      </c>
      <c r="Y480" t="s">
        <v>16912</v>
      </c>
      <c r="Z480" t="s">
        <v>16913</v>
      </c>
      <c r="AA480" t="s">
        <v>16914</v>
      </c>
      <c r="AB480" t="s">
        <v>16915</v>
      </c>
      <c r="AC480" t="s">
        <v>16916</v>
      </c>
      <c r="AD480" t="s">
        <v>16917</v>
      </c>
      <c r="AE480" t="s">
        <v>16918</v>
      </c>
      <c r="AF480" t="s">
        <v>72</v>
      </c>
      <c r="AG480">
        <v>74</v>
      </c>
      <c r="AH480">
        <v>12</v>
      </c>
      <c r="AI480">
        <v>12</v>
      </c>
      <c r="AJ480">
        <v>1</v>
      </c>
      <c r="AK480">
        <v>8</v>
      </c>
      <c r="AL480" t="s">
        <v>2426</v>
      </c>
      <c r="AM480" t="s">
        <v>2427</v>
      </c>
      <c r="AN480" t="s">
        <v>2428</v>
      </c>
      <c r="AO480" t="s">
        <v>72</v>
      </c>
      <c r="AP480" t="s">
        <v>4553</v>
      </c>
      <c r="AQ480" t="s">
        <v>72</v>
      </c>
      <c r="AR480" t="s">
        <v>4554</v>
      </c>
      <c r="AS480" t="s">
        <v>4555</v>
      </c>
      <c r="AT480" t="s">
        <v>639</v>
      </c>
      <c r="AU480">
        <v>2021</v>
      </c>
      <c r="AV480">
        <v>18</v>
      </c>
      <c r="AW480">
        <v>16</v>
      </c>
      <c r="AX480" t="s">
        <v>72</v>
      </c>
      <c r="AY480" t="s">
        <v>72</v>
      </c>
      <c r="AZ480" t="s">
        <v>72</v>
      </c>
      <c r="BA480" t="s">
        <v>72</v>
      </c>
      <c r="BB480" t="s">
        <v>72</v>
      </c>
      <c r="BC480" t="s">
        <v>72</v>
      </c>
      <c r="BD480">
        <v>8822</v>
      </c>
      <c r="BE480" t="s">
        <v>16919</v>
      </c>
      <c r="BF480" t="str">
        <f>HYPERLINK("http://dx.doi.org/10.3390/ijerph18168822","http://dx.doi.org/10.3390/ijerph18168822")</f>
        <v>http://dx.doi.org/10.3390/ijerph18168822</v>
      </c>
      <c r="BG480" t="s">
        <v>72</v>
      </c>
      <c r="BH480" t="s">
        <v>72</v>
      </c>
      <c r="BI480">
        <v>10</v>
      </c>
      <c r="BJ480" t="s">
        <v>4557</v>
      </c>
      <c r="BK480" t="s">
        <v>4558</v>
      </c>
      <c r="BL480" t="s">
        <v>16920</v>
      </c>
      <c r="BM480">
        <v>34444578</v>
      </c>
      <c r="BN480" t="s">
        <v>910</v>
      </c>
      <c r="BO480" t="s">
        <v>72</v>
      </c>
      <c r="BP480" t="s">
        <v>72</v>
      </c>
      <c r="BQ480" t="s">
        <v>100</v>
      </c>
      <c r="BR480" t="s">
        <v>16921</v>
      </c>
      <c r="BS480" t="str">
        <f>HYPERLINK("https%3A%2F%2Fwww.webofscience.com%2Fwos%2Fwoscc%2Ffull-record%2FWOS:000689185400001","View Full Record in Web of Science")</f>
        <v>View Full Record in Web of Science</v>
      </c>
    </row>
    <row r="481" spans="1:71" hidden="1" x14ac:dyDescent="0.2">
      <c r="A481" t="s">
        <v>70</v>
      </c>
      <c r="B481" t="s">
        <v>17246</v>
      </c>
      <c r="C481" t="s">
        <v>72</v>
      </c>
      <c r="D481" t="s">
        <v>72</v>
      </c>
      <c r="E481" t="s">
        <v>72</v>
      </c>
      <c r="F481" t="s">
        <v>17247</v>
      </c>
      <c r="G481" t="s">
        <v>72</v>
      </c>
      <c r="H481" t="s">
        <v>72</v>
      </c>
      <c r="I481" t="s">
        <v>17248</v>
      </c>
      <c r="J481" t="s">
        <v>4541</v>
      </c>
      <c r="K481" t="s">
        <v>72</v>
      </c>
      <c r="L481" t="s">
        <v>72</v>
      </c>
      <c r="M481" t="s">
        <v>76</v>
      </c>
      <c r="N481" t="s">
        <v>77</v>
      </c>
      <c r="O481" t="s">
        <v>72</v>
      </c>
      <c r="P481" t="s">
        <v>72</v>
      </c>
      <c r="Q481" t="s">
        <v>72</v>
      </c>
      <c r="R481" t="s">
        <v>72</v>
      </c>
      <c r="S481" t="s">
        <v>72</v>
      </c>
      <c r="T481" t="s">
        <v>17249</v>
      </c>
      <c r="U481" t="s">
        <v>17250</v>
      </c>
      <c r="V481" t="s">
        <v>17251</v>
      </c>
      <c r="W481" t="s">
        <v>17252</v>
      </c>
      <c r="X481" t="s">
        <v>16114</v>
      </c>
      <c r="Y481" t="s">
        <v>17253</v>
      </c>
      <c r="Z481" t="s">
        <v>16913</v>
      </c>
      <c r="AA481" t="s">
        <v>16116</v>
      </c>
      <c r="AB481" t="s">
        <v>17254</v>
      </c>
      <c r="AC481" t="s">
        <v>17255</v>
      </c>
      <c r="AD481" t="s">
        <v>17256</v>
      </c>
      <c r="AE481" t="s">
        <v>17257</v>
      </c>
      <c r="AF481" t="s">
        <v>72</v>
      </c>
      <c r="AG481">
        <v>28</v>
      </c>
      <c r="AH481">
        <v>9</v>
      </c>
      <c r="AI481">
        <v>9</v>
      </c>
      <c r="AJ481">
        <v>2</v>
      </c>
      <c r="AK481">
        <v>2</v>
      </c>
      <c r="AL481" t="s">
        <v>2426</v>
      </c>
      <c r="AM481" t="s">
        <v>2427</v>
      </c>
      <c r="AN481" t="s">
        <v>2428</v>
      </c>
      <c r="AO481" t="s">
        <v>72</v>
      </c>
      <c r="AP481" t="s">
        <v>4553</v>
      </c>
      <c r="AQ481" t="s">
        <v>72</v>
      </c>
      <c r="AR481" t="s">
        <v>4554</v>
      </c>
      <c r="AS481" t="s">
        <v>4555</v>
      </c>
      <c r="AT481" t="s">
        <v>951</v>
      </c>
      <c r="AU481">
        <v>2021</v>
      </c>
      <c r="AV481">
        <v>18</v>
      </c>
      <c r="AW481">
        <v>22</v>
      </c>
      <c r="AX481" t="s">
        <v>72</v>
      </c>
      <c r="AY481" t="s">
        <v>72</v>
      </c>
      <c r="AZ481" t="s">
        <v>72</v>
      </c>
      <c r="BA481" t="s">
        <v>72</v>
      </c>
      <c r="BB481" t="s">
        <v>72</v>
      </c>
      <c r="BC481" t="s">
        <v>72</v>
      </c>
      <c r="BD481">
        <v>11768</v>
      </c>
      <c r="BE481" t="s">
        <v>17258</v>
      </c>
      <c r="BF481" t="str">
        <f>HYPERLINK("http://dx.doi.org/10.3390/ijerph182211768","http://dx.doi.org/10.3390/ijerph182211768")</f>
        <v>http://dx.doi.org/10.3390/ijerph182211768</v>
      </c>
      <c r="BG481" t="s">
        <v>72</v>
      </c>
      <c r="BH481" t="s">
        <v>72</v>
      </c>
      <c r="BI481">
        <v>9</v>
      </c>
      <c r="BJ481" t="s">
        <v>4557</v>
      </c>
      <c r="BK481" t="s">
        <v>4558</v>
      </c>
      <c r="BL481" t="s">
        <v>17259</v>
      </c>
      <c r="BM481">
        <v>34831524</v>
      </c>
      <c r="BN481" t="s">
        <v>910</v>
      </c>
      <c r="BO481" t="s">
        <v>72</v>
      </c>
      <c r="BP481" t="s">
        <v>72</v>
      </c>
      <c r="BQ481" t="s">
        <v>100</v>
      </c>
      <c r="BR481" t="s">
        <v>17260</v>
      </c>
      <c r="BS481" t="str">
        <f>HYPERLINK("https%3A%2F%2Fwww.webofscience.com%2Fwos%2Fwoscc%2Ffull-record%2FWOS:000725087500001","View Full Record in Web of Science")</f>
        <v>View Full Record in Web of Science</v>
      </c>
    </row>
    <row r="482" spans="1:71" x14ac:dyDescent="0.2">
      <c r="A482" t="s">
        <v>70</v>
      </c>
      <c r="B482" t="s">
        <v>11256</v>
      </c>
      <c r="C482" t="s">
        <v>72</v>
      </c>
      <c r="D482" t="s">
        <v>72</v>
      </c>
      <c r="E482" t="s">
        <v>72</v>
      </c>
      <c r="F482" t="s">
        <v>11257</v>
      </c>
      <c r="G482" t="s">
        <v>72</v>
      </c>
      <c r="H482" t="s">
        <v>72</v>
      </c>
      <c r="I482" t="s">
        <v>11258</v>
      </c>
      <c r="J482" t="s">
        <v>11259</v>
      </c>
      <c r="K482" t="s">
        <v>72</v>
      </c>
      <c r="L482" t="s">
        <v>72</v>
      </c>
      <c r="M482" t="s">
        <v>76</v>
      </c>
      <c r="N482" t="s">
        <v>77</v>
      </c>
      <c r="O482" t="s">
        <v>72</v>
      </c>
      <c r="P482" t="s">
        <v>72</v>
      </c>
      <c r="Q482" t="s">
        <v>72</v>
      </c>
      <c r="R482" t="s">
        <v>72</v>
      </c>
      <c r="S482" t="s">
        <v>72</v>
      </c>
      <c r="T482" t="s">
        <v>11260</v>
      </c>
      <c r="U482" t="s">
        <v>11261</v>
      </c>
      <c r="V482" t="s">
        <v>11262</v>
      </c>
      <c r="W482" t="s">
        <v>11263</v>
      </c>
      <c r="X482" t="s">
        <v>11264</v>
      </c>
      <c r="Y482" t="s">
        <v>11265</v>
      </c>
      <c r="Z482" t="s">
        <v>11266</v>
      </c>
      <c r="AA482" t="s">
        <v>72</v>
      </c>
      <c r="AB482" t="s">
        <v>11267</v>
      </c>
      <c r="AC482" t="s">
        <v>72</v>
      </c>
      <c r="AD482" t="s">
        <v>72</v>
      </c>
      <c r="AE482" t="s">
        <v>72</v>
      </c>
      <c r="AF482" t="s">
        <v>72</v>
      </c>
      <c r="AG482">
        <v>81</v>
      </c>
      <c r="AH482">
        <v>19</v>
      </c>
      <c r="AI482">
        <v>19</v>
      </c>
      <c r="AJ482">
        <v>16</v>
      </c>
      <c r="AK482">
        <v>81</v>
      </c>
      <c r="AL482" t="s">
        <v>1596</v>
      </c>
      <c r="AM482" t="s">
        <v>451</v>
      </c>
      <c r="AN482" t="s">
        <v>1597</v>
      </c>
      <c r="AO482" t="s">
        <v>11268</v>
      </c>
      <c r="AP482" t="s">
        <v>11269</v>
      </c>
      <c r="AQ482" t="s">
        <v>72</v>
      </c>
      <c r="AR482" t="s">
        <v>11270</v>
      </c>
      <c r="AS482" t="s">
        <v>11271</v>
      </c>
      <c r="AT482" t="s">
        <v>149</v>
      </c>
      <c r="AU482">
        <v>2021</v>
      </c>
      <c r="AV482">
        <v>83</v>
      </c>
      <c r="AW482" t="s">
        <v>72</v>
      </c>
      <c r="AX482" t="s">
        <v>72</v>
      </c>
      <c r="AY482" t="s">
        <v>72</v>
      </c>
      <c r="AZ482" t="s">
        <v>72</v>
      </c>
      <c r="BA482" t="s">
        <v>72</v>
      </c>
      <c r="BB482" t="s">
        <v>72</v>
      </c>
      <c r="BC482" t="s">
        <v>72</v>
      </c>
      <c r="BD482">
        <v>104241</v>
      </c>
      <c r="BE482" t="s">
        <v>11272</v>
      </c>
      <c r="BF482" t="str">
        <f>HYPERLINK("http://dx.doi.org/10.1016/j.tourman.2020.104241","http://dx.doi.org/10.1016/j.tourman.2020.104241")</f>
        <v>http://dx.doi.org/10.1016/j.tourman.2020.104241</v>
      </c>
      <c r="BG482" t="s">
        <v>72</v>
      </c>
      <c r="BH482" t="s">
        <v>72</v>
      </c>
      <c r="BI482">
        <v>13</v>
      </c>
      <c r="BJ482" t="s">
        <v>11273</v>
      </c>
      <c r="BK482" t="s">
        <v>11274</v>
      </c>
      <c r="BL482" t="s">
        <v>11275</v>
      </c>
      <c r="BM482" t="s">
        <v>72</v>
      </c>
      <c r="BN482" t="s">
        <v>72</v>
      </c>
      <c r="BO482" t="s">
        <v>72</v>
      </c>
      <c r="BP482" t="s">
        <v>72</v>
      </c>
      <c r="BQ482" t="s">
        <v>100</v>
      </c>
      <c r="BR482" t="s">
        <v>11276</v>
      </c>
      <c r="BS482" t="str">
        <f>HYPERLINK("https%3A%2F%2Fwww.webofscience.com%2Fwos%2Fwoscc%2Ffull-record%2FWOS:000596370300014","View Full Record in Web of Science")</f>
        <v>View Full Record in Web of Science</v>
      </c>
    </row>
    <row r="483" spans="1:71" hidden="1" x14ac:dyDescent="0.2">
      <c r="A483" t="s">
        <v>70</v>
      </c>
      <c r="B483" t="s">
        <v>2993</v>
      </c>
      <c r="C483" t="s">
        <v>72</v>
      </c>
      <c r="D483" t="s">
        <v>72</v>
      </c>
      <c r="E483" t="s">
        <v>72</v>
      </c>
      <c r="F483" t="s">
        <v>2994</v>
      </c>
      <c r="G483" t="s">
        <v>72</v>
      </c>
      <c r="H483" t="s">
        <v>72</v>
      </c>
      <c r="I483" t="s">
        <v>2995</v>
      </c>
      <c r="J483" t="s">
        <v>2996</v>
      </c>
      <c r="K483" t="s">
        <v>72</v>
      </c>
      <c r="L483" t="s">
        <v>72</v>
      </c>
      <c r="M483" t="s">
        <v>76</v>
      </c>
      <c r="N483" t="s">
        <v>352</v>
      </c>
      <c r="O483" t="s">
        <v>72</v>
      </c>
      <c r="P483" t="s">
        <v>72</v>
      </c>
      <c r="Q483" t="s">
        <v>72</v>
      </c>
      <c r="R483" t="s">
        <v>72</v>
      </c>
      <c r="S483" t="s">
        <v>72</v>
      </c>
      <c r="T483" t="s">
        <v>2997</v>
      </c>
      <c r="U483" t="s">
        <v>2998</v>
      </c>
      <c r="V483" t="s">
        <v>2999</v>
      </c>
      <c r="W483" t="s">
        <v>3000</v>
      </c>
      <c r="X483" t="s">
        <v>3001</v>
      </c>
      <c r="Y483" t="s">
        <v>3002</v>
      </c>
      <c r="Z483" t="s">
        <v>3003</v>
      </c>
      <c r="AA483" t="s">
        <v>3004</v>
      </c>
      <c r="AB483" t="s">
        <v>3005</v>
      </c>
      <c r="AC483" t="s">
        <v>72</v>
      </c>
      <c r="AD483" t="s">
        <v>72</v>
      </c>
      <c r="AE483" t="s">
        <v>72</v>
      </c>
      <c r="AF483" t="s">
        <v>72</v>
      </c>
      <c r="AG483">
        <v>76</v>
      </c>
      <c r="AH483">
        <v>1</v>
      </c>
      <c r="AI483">
        <v>1</v>
      </c>
      <c r="AJ483">
        <v>2</v>
      </c>
      <c r="AK483">
        <v>6</v>
      </c>
      <c r="AL483" t="s">
        <v>2483</v>
      </c>
      <c r="AM483" t="s">
        <v>1280</v>
      </c>
      <c r="AN483" t="s">
        <v>2484</v>
      </c>
      <c r="AO483" t="s">
        <v>3006</v>
      </c>
      <c r="AP483" t="s">
        <v>3007</v>
      </c>
      <c r="AQ483" t="s">
        <v>72</v>
      </c>
      <c r="AR483" t="s">
        <v>3008</v>
      </c>
      <c r="AS483" t="s">
        <v>3009</v>
      </c>
      <c r="AT483" t="s">
        <v>72</v>
      </c>
      <c r="AU483" t="s">
        <v>72</v>
      </c>
      <c r="AV483" t="s">
        <v>72</v>
      </c>
      <c r="AW483" t="s">
        <v>72</v>
      </c>
      <c r="AX483" t="s">
        <v>72</v>
      </c>
      <c r="AY483" t="s">
        <v>72</v>
      </c>
      <c r="AZ483" t="s">
        <v>72</v>
      </c>
      <c r="BA483" t="s">
        <v>72</v>
      </c>
      <c r="BB483" t="s">
        <v>72</v>
      </c>
      <c r="BC483" t="s">
        <v>72</v>
      </c>
      <c r="BD483" t="s">
        <v>72</v>
      </c>
      <c r="BE483" t="s">
        <v>3010</v>
      </c>
      <c r="BF483" t="str">
        <f>HYPERLINK("http://dx.doi.org/10.1037/cdp0000413","http://dx.doi.org/10.1037/cdp0000413")</f>
        <v>http://dx.doi.org/10.1037/cdp0000413</v>
      </c>
      <c r="BG483" t="s">
        <v>72</v>
      </c>
      <c r="BH483" t="s">
        <v>3011</v>
      </c>
      <c r="BI483">
        <v>12</v>
      </c>
      <c r="BJ483" t="s">
        <v>3012</v>
      </c>
      <c r="BK483" t="s">
        <v>3013</v>
      </c>
      <c r="BL483" t="s">
        <v>3014</v>
      </c>
      <c r="BM483">
        <v>34323507</v>
      </c>
      <c r="BN483" t="s">
        <v>3015</v>
      </c>
      <c r="BO483" t="s">
        <v>72</v>
      </c>
      <c r="BP483" t="s">
        <v>72</v>
      </c>
      <c r="BQ483" t="s">
        <v>100</v>
      </c>
      <c r="BR483" t="s">
        <v>3016</v>
      </c>
      <c r="BS483" t="str">
        <f>HYPERLINK("https%3A%2F%2Fwww.webofscience.com%2Fwos%2Fwoscc%2Ffull-record%2FWOS:000733169100001","View Full Record in Web of Science")</f>
        <v>View Full Record in Web of Science</v>
      </c>
    </row>
    <row r="484" spans="1:71" hidden="1" x14ac:dyDescent="0.2">
      <c r="A484" t="s">
        <v>70</v>
      </c>
      <c r="B484" t="s">
        <v>12544</v>
      </c>
      <c r="C484" t="s">
        <v>72</v>
      </c>
      <c r="D484" t="s">
        <v>72</v>
      </c>
      <c r="E484" t="s">
        <v>72</v>
      </c>
      <c r="F484" t="s">
        <v>12545</v>
      </c>
      <c r="G484" t="s">
        <v>72</v>
      </c>
      <c r="H484" t="s">
        <v>72</v>
      </c>
      <c r="I484" t="s">
        <v>12546</v>
      </c>
      <c r="J484" t="s">
        <v>12547</v>
      </c>
      <c r="K484" t="s">
        <v>72</v>
      </c>
      <c r="L484" t="s">
        <v>72</v>
      </c>
      <c r="M484" t="s">
        <v>76</v>
      </c>
      <c r="N484" t="s">
        <v>77</v>
      </c>
      <c r="O484" t="s">
        <v>72</v>
      </c>
      <c r="P484" t="s">
        <v>72</v>
      </c>
      <c r="Q484" t="s">
        <v>72</v>
      </c>
      <c r="R484" t="s">
        <v>72</v>
      </c>
      <c r="S484" t="s">
        <v>72</v>
      </c>
      <c r="T484" t="s">
        <v>12548</v>
      </c>
      <c r="U484" t="s">
        <v>12549</v>
      </c>
      <c r="V484" t="s">
        <v>12550</v>
      </c>
      <c r="W484" t="s">
        <v>12551</v>
      </c>
      <c r="X484" t="s">
        <v>12552</v>
      </c>
      <c r="Y484" t="s">
        <v>12553</v>
      </c>
      <c r="Z484" t="s">
        <v>12554</v>
      </c>
      <c r="AA484" t="s">
        <v>12555</v>
      </c>
      <c r="AB484" t="s">
        <v>12556</v>
      </c>
      <c r="AC484" t="s">
        <v>12557</v>
      </c>
      <c r="AD484" t="s">
        <v>12558</v>
      </c>
      <c r="AE484" t="s">
        <v>12559</v>
      </c>
      <c r="AF484" t="s">
        <v>72</v>
      </c>
      <c r="AG484">
        <v>103</v>
      </c>
      <c r="AH484">
        <v>2</v>
      </c>
      <c r="AI484">
        <v>2</v>
      </c>
      <c r="AJ484">
        <v>4</v>
      </c>
      <c r="AK484">
        <v>7</v>
      </c>
      <c r="AL484" t="s">
        <v>1596</v>
      </c>
      <c r="AM484" t="s">
        <v>451</v>
      </c>
      <c r="AN484" t="s">
        <v>1597</v>
      </c>
      <c r="AO484" t="s">
        <v>12560</v>
      </c>
      <c r="AP484" t="s">
        <v>12561</v>
      </c>
      <c r="AQ484" t="s">
        <v>72</v>
      </c>
      <c r="AR484" t="s">
        <v>12562</v>
      </c>
      <c r="AS484" t="s">
        <v>12563</v>
      </c>
      <c r="AT484" t="s">
        <v>395</v>
      </c>
      <c r="AU484">
        <v>2021</v>
      </c>
      <c r="AV484">
        <v>93</v>
      </c>
      <c r="AW484" t="s">
        <v>72</v>
      </c>
      <c r="AX484" t="s">
        <v>72</v>
      </c>
      <c r="AY484" t="s">
        <v>72</v>
      </c>
      <c r="AZ484" t="s">
        <v>72</v>
      </c>
      <c r="BA484" t="s">
        <v>72</v>
      </c>
      <c r="BB484" t="s">
        <v>72</v>
      </c>
      <c r="BC484" t="s">
        <v>72</v>
      </c>
      <c r="BD484">
        <v>104270</v>
      </c>
      <c r="BE484" t="s">
        <v>12564</v>
      </c>
      <c r="BF484" t="str">
        <f>HYPERLINK("http://dx.doi.org/10.1016/j.foodqual.2021.104270","http://dx.doi.org/10.1016/j.foodqual.2021.104270")</f>
        <v>http://dx.doi.org/10.1016/j.foodqual.2021.104270</v>
      </c>
      <c r="BG484" t="s">
        <v>72</v>
      </c>
      <c r="BH484" t="s">
        <v>4075</v>
      </c>
      <c r="BI484">
        <v>14</v>
      </c>
      <c r="BJ484" t="s">
        <v>12565</v>
      </c>
      <c r="BK484" t="s">
        <v>12565</v>
      </c>
      <c r="BL484" t="s">
        <v>12566</v>
      </c>
      <c r="BM484" t="s">
        <v>72</v>
      </c>
      <c r="BN484" t="s">
        <v>72</v>
      </c>
      <c r="BO484" t="s">
        <v>72</v>
      </c>
      <c r="BP484" t="s">
        <v>72</v>
      </c>
      <c r="BQ484" t="s">
        <v>100</v>
      </c>
      <c r="BR484" t="s">
        <v>12567</v>
      </c>
      <c r="BS484" t="str">
        <f>HYPERLINK("https%3A%2F%2Fwww.webofscience.com%2Fwos%2Fwoscc%2Ffull-record%2FWOS:000663217900010","View Full Record in Web of Science")</f>
        <v>View Full Record in Web of Science</v>
      </c>
    </row>
    <row r="485" spans="1:71" hidden="1" x14ac:dyDescent="0.2">
      <c r="A485" t="s">
        <v>70</v>
      </c>
      <c r="B485" t="s">
        <v>1474</v>
      </c>
      <c r="C485" t="s">
        <v>72</v>
      </c>
      <c r="D485" t="s">
        <v>72</v>
      </c>
      <c r="E485" t="s">
        <v>72</v>
      </c>
      <c r="F485" t="s">
        <v>1475</v>
      </c>
      <c r="G485" t="s">
        <v>72</v>
      </c>
      <c r="H485" t="s">
        <v>72</v>
      </c>
      <c r="I485" t="s">
        <v>1476</v>
      </c>
      <c r="J485" t="s">
        <v>1477</v>
      </c>
      <c r="K485" t="s">
        <v>72</v>
      </c>
      <c r="L485" t="s">
        <v>72</v>
      </c>
      <c r="M485" t="s">
        <v>76</v>
      </c>
      <c r="N485" t="s">
        <v>77</v>
      </c>
      <c r="O485" t="s">
        <v>72</v>
      </c>
      <c r="P485" t="s">
        <v>72</v>
      </c>
      <c r="Q485" t="s">
        <v>72</v>
      </c>
      <c r="R485" t="s">
        <v>72</v>
      </c>
      <c r="S485" t="s">
        <v>72</v>
      </c>
      <c r="T485" t="s">
        <v>1478</v>
      </c>
      <c r="U485" t="s">
        <v>1479</v>
      </c>
      <c r="V485" t="s">
        <v>1480</v>
      </c>
      <c r="W485" t="s">
        <v>1481</v>
      </c>
      <c r="X485" t="s">
        <v>1482</v>
      </c>
      <c r="Y485" t="s">
        <v>1483</v>
      </c>
      <c r="Z485" t="s">
        <v>1484</v>
      </c>
      <c r="AA485" t="s">
        <v>1485</v>
      </c>
      <c r="AB485" t="s">
        <v>1486</v>
      </c>
      <c r="AC485" t="s">
        <v>1487</v>
      </c>
      <c r="AD485" t="s">
        <v>1488</v>
      </c>
      <c r="AE485" t="s">
        <v>1489</v>
      </c>
      <c r="AF485" t="s">
        <v>72</v>
      </c>
      <c r="AG485">
        <v>36</v>
      </c>
      <c r="AH485">
        <v>5</v>
      </c>
      <c r="AI485">
        <v>5</v>
      </c>
      <c r="AJ485">
        <v>3</v>
      </c>
      <c r="AK485">
        <v>22</v>
      </c>
      <c r="AL485" t="s">
        <v>142</v>
      </c>
      <c r="AM485" t="s">
        <v>143</v>
      </c>
      <c r="AN485" t="s">
        <v>144</v>
      </c>
      <c r="AO485" t="s">
        <v>1490</v>
      </c>
      <c r="AP485" t="s">
        <v>1491</v>
      </c>
      <c r="AQ485" t="s">
        <v>72</v>
      </c>
      <c r="AR485" t="s">
        <v>1492</v>
      </c>
      <c r="AS485" t="s">
        <v>1493</v>
      </c>
      <c r="AT485" t="s">
        <v>247</v>
      </c>
      <c r="AU485">
        <v>2017</v>
      </c>
      <c r="AV485">
        <v>115</v>
      </c>
      <c r="AW485">
        <v>1</v>
      </c>
      <c r="AX485" t="s">
        <v>72</v>
      </c>
      <c r="AY485" t="s">
        <v>72</v>
      </c>
      <c r="AZ485" t="s">
        <v>72</v>
      </c>
      <c r="BA485" t="s">
        <v>72</v>
      </c>
      <c r="BB485">
        <v>1</v>
      </c>
      <c r="BC485">
        <v>9</v>
      </c>
      <c r="BD485" t="s">
        <v>72</v>
      </c>
      <c r="BE485" t="s">
        <v>1494</v>
      </c>
      <c r="BF485" t="str">
        <f>HYPERLINK("http://dx.doi.org/10.5849/jof.15-144","http://dx.doi.org/10.5849/jof.15-144")</f>
        <v>http://dx.doi.org/10.5849/jof.15-144</v>
      </c>
      <c r="BG485" t="s">
        <v>72</v>
      </c>
      <c r="BH485" t="s">
        <v>72</v>
      </c>
      <c r="BI485">
        <v>9</v>
      </c>
      <c r="BJ485" t="s">
        <v>1495</v>
      </c>
      <c r="BK485" t="s">
        <v>1495</v>
      </c>
      <c r="BL485" t="s">
        <v>1496</v>
      </c>
      <c r="BM485" t="s">
        <v>72</v>
      </c>
      <c r="BN485" t="s">
        <v>1497</v>
      </c>
      <c r="BO485" t="s">
        <v>72</v>
      </c>
      <c r="BP485" t="s">
        <v>72</v>
      </c>
      <c r="BQ485" t="s">
        <v>100</v>
      </c>
      <c r="BR485" t="s">
        <v>1498</v>
      </c>
      <c r="BS485" t="str">
        <f>HYPERLINK("https%3A%2F%2Fwww.webofscience.com%2Fwos%2Fwoscc%2Ffull-record%2FWOS:000391910600001","View Full Record in Web of Science")</f>
        <v>View Full Record in Web of Science</v>
      </c>
    </row>
    <row r="486" spans="1:71" hidden="1" x14ac:dyDescent="0.2">
      <c r="A486" t="s">
        <v>70</v>
      </c>
      <c r="B486" t="s">
        <v>2414</v>
      </c>
      <c r="C486" t="s">
        <v>72</v>
      </c>
      <c r="D486" t="s">
        <v>72</v>
      </c>
      <c r="E486" t="s">
        <v>72</v>
      </c>
      <c r="F486" t="s">
        <v>2415</v>
      </c>
      <c r="G486" t="s">
        <v>72</v>
      </c>
      <c r="H486" t="s">
        <v>72</v>
      </c>
      <c r="I486" t="s">
        <v>2416</v>
      </c>
      <c r="J486" t="s">
        <v>2417</v>
      </c>
      <c r="K486" t="s">
        <v>72</v>
      </c>
      <c r="L486" t="s">
        <v>72</v>
      </c>
      <c r="M486" t="s">
        <v>76</v>
      </c>
      <c r="N486" t="s">
        <v>77</v>
      </c>
      <c r="O486" t="s">
        <v>72</v>
      </c>
      <c r="P486" t="s">
        <v>72</v>
      </c>
      <c r="Q486" t="s">
        <v>72</v>
      </c>
      <c r="R486" t="s">
        <v>72</v>
      </c>
      <c r="S486" t="s">
        <v>72</v>
      </c>
      <c r="T486" t="s">
        <v>2418</v>
      </c>
      <c r="U486" t="s">
        <v>2419</v>
      </c>
      <c r="V486" t="s">
        <v>2420</v>
      </c>
      <c r="W486" t="s">
        <v>2421</v>
      </c>
      <c r="X486" t="s">
        <v>2422</v>
      </c>
      <c r="Y486" t="s">
        <v>2423</v>
      </c>
      <c r="Z486" t="s">
        <v>2424</v>
      </c>
      <c r="AA486" t="s">
        <v>2425</v>
      </c>
      <c r="AB486" t="s">
        <v>72</v>
      </c>
      <c r="AC486" t="s">
        <v>72</v>
      </c>
      <c r="AD486" t="s">
        <v>72</v>
      </c>
      <c r="AE486" t="s">
        <v>72</v>
      </c>
      <c r="AF486" t="s">
        <v>72</v>
      </c>
      <c r="AG486">
        <v>34</v>
      </c>
      <c r="AH486">
        <v>1</v>
      </c>
      <c r="AI486">
        <v>1</v>
      </c>
      <c r="AJ486">
        <v>14</v>
      </c>
      <c r="AK486">
        <v>26</v>
      </c>
      <c r="AL486" t="s">
        <v>2426</v>
      </c>
      <c r="AM486" t="s">
        <v>2427</v>
      </c>
      <c r="AN486" t="s">
        <v>2428</v>
      </c>
      <c r="AO486" t="s">
        <v>72</v>
      </c>
      <c r="AP486" t="s">
        <v>2429</v>
      </c>
      <c r="AQ486" t="s">
        <v>72</v>
      </c>
      <c r="AR486" t="s">
        <v>2417</v>
      </c>
      <c r="AS486" t="s">
        <v>2430</v>
      </c>
      <c r="AT486" t="s">
        <v>951</v>
      </c>
      <c r="AU486">
        <v>2021</v>
      </c>
      <c r="AV486">
        <v>12</v>
      </c>
      <c r="AW486">
        <v>11</v>
      </c>
      <c r="AX486" t="s">
        <v>72</v>
      </c>
      <c r="AY486" t="s">
        <v>72</v>
      </c>
      <c r="AZ486" t="s">
        <v>72</v>
      </c>
      <c r="BA486" t="s">
        <v>72</v>
      </c>
      <c r="BB486" t="s">
        <v>72</v>
      </c>
      <c r="BC486" t="s">
        <v>72</v>
      </c>
      <c r="BD486">
        <v>1546</v>
      </c>
      <c r="BE486" t="s">
        <v>2431</v>
      </c>
      <c r="BF486" t="str">
        <f>HYPERLINK("http://dx.doi.org/10.3390/f12111546","http://dx.doi.org/10.3390/f12111546")</f>
        <v>http://dx.doi.org/10.3390/f12111546</v>
      </c>
      <c r="BG486" t="s">
        <v>72</v>
      </c>
      <c r="BH486" t="s">
        <v>72</v>
      </c>
      <c r="BI486">
        <v>15</v>
      </c>
      <c r="BJ486" t="s">
        <v>1495</v>
      </c>
      <c r="BK486" t="s">
        <v>1495</v>
      </c>
      <c r="BL486" t="s">
        <v>2432</v>
      </c>
      <c r="BM486" t="s">
        <v>72</v>
      </c>
      <c r="BN486" t="s">
        <v>222</v>
      </c>
      <c r="BO486" t="s">
        <v>72</v>
      </c>
      <c r="BP486" t="s">
        <v>72</v>
      </c>
      <c r="BQ486" t="s">
        <v>100</v>
      </c>
      <c r="BR486" t="s">
        <v>2433</v>
      </c>
      <c r="BS486" t="str">
        <f>HYPERLINK("https%3A%2F%2Fwww.webofscience.com%2Fwos%2Fwoscc%2Ffull-record%2FWOS:000726217500001","View Full Record in Web of Science")</f>
        <v>View Full Record in Web of Science</v>
      </c>
    </row>
    <row r="487" spans="1:71" hidden="1" x14ac:dyDescent="0.2">
      <c r="A487" t="s">
        <v>70</v>
      </c>
      <c r="B487" t="s">
        <v>5504</v>
      </c>
      <c r="C487" t="s">
        <v>72</v>
      </c>
      <c r="D487" t="s">
        <v>72</v>
      </c>
      <c r="E487" t="s">
        <v>72</v>
      </c>
      <c r="F487" t="s">
        <v>5505</v>
      </c>
      <c r="G487" t="s">
        <v>72</v>
      </c>
      <c r="H487" t="s">
        <v>72</v>
      </c>
      <c r="I487" t="s">
        <v>5506</v>
      </c>
      <c r="J487" t="s">
        <v>5507</v>
      </c>
      <c r="K487" t="s">
        <v>72</v>
      </c>
      <c r="L487" t="s">
        <v>72</v>
      </c>
      <c r="M487" t="s">
        <v>76</v>
      </c>
      <c r="N487" t="s">
        <v>1503</v>
      </c>
      <c r="O487" t="s">
        <v>72</v>
      </c>
      <c r="P487" t="s">
        <v>72</v>
      </c>
      <c r="Q487" t="s">
        <v>72</v>
      </c>
      <c r="R487" t="s">
        <v>72</v>
      </c>
      <c r="S487" t="s">
        <v>72</v>
      </c>
      <c r="T487" t="s">
        <v>5508</v>
      </c>
      <c r="U487" t="s">
        <v>5509</v>
      </c>
      <c r="V487" t="s">
        <v>5510</v>
      </c>
      <c r="W487" t="s">
        <v>5511</v>
      </c>
      <c r="X487" t="s">
        <v>5512</v>
      </c>
      <c r="Y487" t="s">
        <v>5513</v>
      </c>
      <c r="Z487" t="s">
        <v>5514</v>
      </c>
      <c r="AA487" t="s">
        <v>5515</v>
      </c>
      <c r="AB487" t="s">
        <v>5516</v>
      </c>
      <c r="AC487" t="s">
        <v>5517</v>
      </c>
      <c r="AD487" t="s">
        <v>5518</v>
      </c>
      <c r="AE487" t="s">
        <v>5519</v>
      </c>
      <c r="AF487" t="s">
        <v>72</v>
      </c>
      <c r="AG487">
        <v>54</v>
      </c>
      <c r="AH487">
        <v>47</v>
      </c>
      <c r="AI487">
        <v>50</v>
      </c>
      <c r="AJ487">
        <v>8</v>
      </c>
      <c r="AK487">
        <v>119</v>
      </c>
      <c r="AL487" t="s">
        <v>88</v>
      </c>
      <c r="AM487" t="s">
        <v>89</v>
      </c>
      <c r="AN487" t="s">
        <v>90</v>
      </c>
      <c r="AO487" t="s">
        <v>5520</v>
      </c>
      <c r="AP487" t="s">
        <v>5521</v>
      </c>
      <c r="AQ487" t="s">
        <v>72</v>
      </c>
      <c r="AR487" t="s">
        <v>5522</v>
      </c>
      <c r="AS487" t="s">
        <v>5523</v>
      </c>
      <c r="AT487" t="s">
        <v>951</v>
      </c>
      <c r="AU487">
        <v>2015</v>
      </c>
      <c r="AV487">
        <v>46</v>
      </c>
      <c r="AW487" t="s">
        <v>5524</v>
      </c>
      <c r="AX487" t="s">
        <v>72</v>
      </c>
      <c r="AY487" t="s">
        <v>72</v>
      </c>
      <c r="AZ487" t="s">
        <v>478</v>
      </c>
      <c r="BA487" t="s">
        <v>72</v>
      </c>
      <c r="BB487">
        <v>669</v>
      </c>
      <c r="BC487">
        <v>682</v>
      </c>
      <c r="BD487" t="s">
        <v>72</v>
      </c>
      <c r="BE487" t="s">
        <v>5525</v>
      </c>
      <c r="BF487" t="str">
        <f>HYPERLINK("http://dx.doi.org/10.1007/s11056-015-9503-7","http://dx.doi.org/10.1007/s11056-015-9503-7")</f>
        <v>http://dx.doi.org/10.1007/s11056-015-9503-7</v>
      </c>
      <c r="BG487" t="s">
        <v>72</v>
      </c>
      <c r="BH487" t="s">
        <v>72</v>
      </c>
      <c r="BI487">
        <v>14</v>
      </c>
      <c r="BJ487" t="s">
        <v>1495</v>
      </c>
      <c r="BK487" t="s">
        <v>1495</v>
      </c>
      <c r="BL487" t="s">
        <v>5526</v>
      </c>
      <c r="BM487" t="s">
        <v>72</v>
      </c>
      <c r="BN487" t="s">
        <v>72</v>
      </c>
      <c r="BO487" t="s">
        <v>72</v>
      </c>
      <c r="BP487" t="s">
        <v>72</v>
      </c>
      <c r="BQ487" t="s">
        <v>100</v>
      </c>
      <c r="BR487" t="s">
        <v>5527</v>
      </c>
      <c r="BS487" t="str">
        <f>HYPERLINK("https%3A%2F%2Fwww.webofscience.com%2Fwos%2Fwoscc%2Ffull-record%2FWOS:000363253900004","View Full Record in Web of Science")</f>
        <v>View Full Record in Web of Science</v>
      </c>
    </row>
    <row r="488" spans="1:71" hidden="1" x14ac:dyDescent="0.2">
      <c r="A488" t="s">
        <v>70</v>
      </c>
      <c r="B488" t="s">
        <v>7334</v>
      </c>
      <c r="C488" t="s">
        <v>72</v>
      </c>
      <c r="D488" t="s">
        <v>72</v>
      </c>
      <c r="E488" t="s">
        <v>72</v>
      </c>
      <c r="F488" t="s">
        <v>7335</v>
      </c>
      <c r="G488" t="s">
        <v>72</v>
      </c>
      <c r="H488" t="s">
        <v>72</v>
      </c>
      <c r="I488" t="s">
        <v>7336</v>
      </c>
      <c r="J488" t="s">
        <v>7337</v>
      </c>
      <c r="K488" t="s">
        <v>72</v>
      </c>
      <c r="L488" t="s">
        <v>72</v>
      </c>
      <c r="M488" t="s">
        <v>76</v>
      </c>
      <c r="N488" t="s">
        <v>77</v>
      </c>
      <c r="O488" t="s">
        <v>72</v>
      </c>
      <c r="P488" t="s">
        <v>72</v>
      </c>
      <c r="Q488" t="s">
        <v>72</v>
      </c>
      <c r="R488" t="s">
        <v>72</v>
      </c>
      <c r="S488" t="s">
        <v>72</v>
      </c>
      <c r="T488" t="s">
        <v>7338</v>
      </c>
      <c r="U488" t="s">
        <v>7339</v>
      </c>
      <c r="V488" t="s">
        <v>7340</v>
      </c>
      <c r="W488" t="s">
        <v>7341</v>
      </c>
      <c r="X488" t="s">
        <v>1482</v>
      </c>
      <c r="Y488" t="s">
        <v>7342</v>
      </c>
      <c r="Z488" t="s">
        <v>7343</v>
      </c>
      <c r="AA488" t="s">
        <v>72</v>
      </c>
      <c r="AB488" t="s">
        <v>7344</v>
      </c>
      <c r="AC488" t="s">
        <v>72</v>
      </c>
      <c r="AD488" t="s">
        <v>72</v>
      </c>
      <c r="AE488" t="s">
        <v>72</v>
      </c>
      <c r="AF488" t="s">
        <v>72</v>
      </c>
      <c r="AG488">
        <v>40</v>
      </c>
      <c r="AH488">
        <v>0</v>
      </c>
      <c r="AI488">
        <v>0</v>
      </c>
      <c r="AJ488">
        <v>4</v>
      </c>
      <c r="AK488">
        <v>7</v>
      </c>
      <c r="AL488" t="s">
        <v>142</v>
      </c>
      <c r="AM488" t="s">
        <v>143</v>
      </c>
      <c r="AN488" t="s">
        <v>144</v>
      </c>
      <c r="AO488" t="s">
        <v>7345</v>
      </c>
      <c r="AP488" t="s">
        <v>7346</v>
      </c>
      <c r="AQ488" t="s">
        <v>72</v>
      </c>
      <c r="AR488" t="s">
        <v>7347</v>
      </c>
      <c r="AS488" t="s">
        <v>7348</v>
      </c>
      <c r="AT488" t="s">
        <v>7349</v>
      </c>
      <c r="AU488">
        <v>2022</v>
      </c>
      <c r="AV488">
        <v>68</v>
      </c>
      <c r="AW488">
        <v>2</v>
      </c>
      <c r="AX488" t="s">
        <v>72</v>
      </c>
      <c r="AY488" t="s">
        <v>72</v>
      </c>
      <c r="AZ488" t="s">
        <v>72</v>
      </c>
      <c r="BA488" t="s">
        <v>72</v>
      </c>
      <c r="BB488">
        <v>228</v>
      </c>
      <c r="BC488">
        <v>238</v>
      </c>
      <c r="BD488" t="s">
        <v>72</v>
      </c>
      <c r="BE488" t="s">
        <v>7350</v>
      </c>
      <c r="BF488" t="str">
        <f>HYPERLINK("http://dx.doi.org/10.1093/forsci/fxac004","http://dx.doi.org/10.1093/forsci/fxac004")</f>
        <v>http://dx.doi.org/10.1093/forsci/fxac004</v>
      </c>
      <c r="BG488" t="s">
        <v>72</v>
      </c>
      <c r="BH488" t="s">
        <v>72</v>
      </c>
      <c r="BI488">
        <v>11</v>
      </c>
      <c r="BJ488" t="s">
        <v>1495</v>
      </c>
      <c r="BK488" t="s">
        <v>1495</v>
      </c>
      <c r="BL488" t="s">
        <v>7351</v>
      </c>
      <c r="BM488" t="s">
        <v>72</v>
      </c>
      <c r="BN488" t="s">
        <v>72</v>
      </c>
      <c r="BO488" t="s">
        <v>72</v>
      </c>
      <c r="BP488" t="s">
        <v>72</v>
      </c>
      <c r="BQ488" t="s">
        <v>100</v>
      </c>
      <c r="BR488" t="s">
        <v>7352</v>
      </c>
      <c r="BS488" t="str">
        <f>HYPERLINK("https%3A%2F%2Fwww.webofscience.com%2Fwos%2Fwoscc%2Ffull-record%2FWOS:000783297700012","View Full Record in Web of Science")</f>
        <v>View Full Record in Web of Science</v>
      </c>
    </row>
    <row r="489" spans="1:71" hidden="1" x14ac:dyDescent="0.2">
      <c r="A489" t="s">
        <v>70</v>
      </c>
      <c r="B489" t="s">
        <v>1949</v>
      </c>
      <c r="C489" t="s">
        <v>72</v>
      </c>
      <c r="D489" t="s">
        <v>72</v>
      </c>
      <c r="E489" t="s">
        <v>72</v>
      </c>
      <c r="F489" t="s">
        <v>1950</v>
      </c>
      <c r="G489" t="s">
        <v>72</v>
      </c>
      <c r="H489" t="s">
        <v>72</v>
      </c>
      <c r="I489" t="s">
        <v>1951</v>
      </c>
      <c r="J489" t="s">
        <v>1952</v>
      </c>
      <c r="K489" t="s">
        <v>72</v>
      </c>
      <c r="L489" t="s">
        <v>72</v>
      </c>
      <c r="M489" t="s">
        <v>76</v>
      </c>
      <c r="N489" t="s">
        <v>1503</v>
      </c>
      <c r="O489" t="s">
        <v>72</v>
      </c>
      <c r="P489" t="s">
        <v>72</v>
      </c>
      <c r="Q489" t="s">
        <v>72</v>
      </c>
      <c r="R489" t="s">
        <v>72</v>
      </c>
      <c r="S489" t="s">
        <v>72</v>
      </c>
      <c r="T489" t="s">
        <v>1953</v>
      </c>
      <c r="U489" t="s">
        <v>1954</v>
      </c>
      <c r="V489" t="s">
        <v>1955</v>
      </c>
      <c r="W489" t="s">
        <v>1956</v>
      </c>
      <c r="X489" t="s">
        <v>1957</v>
      </c>
      <c r="Y489" t="s">
        <v>1958</v>
      </c>
      <c r="Z489" t="s">
        <v>1959</v>
      </c>
      <c r="AA489" t="s">
        <v>1960</v>
      </c>
      <c r="AB489" t="s">
        <v>1961</v>
      </c>
      <c r="AC489" t="s">
        <v>1962</v>
      </c>
      <c r="AD489" t="s">
        <v>1963</v>
      </c>
      <c r="AE489" t="s">
        <v>1964</v>
      </c>
      <c r="AF489" t="s">
        <v>72</v>
      </c>
      <c r="AG489">
        <v>44</v>
      </c>
      <c r="AH489">
        <v>4</v>
      </c>
      <c r="AI489">
        <v>4</v>
      </c>
      <c r="AJ489">
        <v>1</v>
      </c>
      <c r="AK489">
        <v>10</v>
      </c>
      <c r="AL489" t="s">
        <v>1965</v>
      </c>
      <c r="AM489" t="s">
        <v>337</v>
      </c>
      <c r="AN489" t="s">
        <v>1966</v>
      </c>
      <c r="AO489" t="s">
        <v>72</v>
      </c>
      <c r="AP489" t="s">
        <v>1967</v>
      </c>
      <c r="AQ489" t="s">
        <v>72</v>
      </c>
      <c r="AR489" t="s">
        <v>1968</v>
      </c>
      <c r="AS489" t="s">
        <v>1969</v>
      </c>
      <c r="AT489" t="s">
        <v>1970</v>
      </c>
      <c r="AU489">
        <v>2018</v>
      </c>
      <c r="AV489">
        <v>7</v>
      </c>
      <c r="AW489" t="s">
        <v>72</v>
      </c>
      <c r="AX489" t="s">
        <v>72</v>
      </c>
      <c r="AY489" t="s">
        <v>72</v>
      </c>
      <c r="AZ489" t="s">
        <v>72</v>
      </c>
      <c r="BA489" t="s">
        <v>72</v>
      </c>
      <c r="BB489" t="s">
        <v>72</v>
      </c>
      <c r="BC489" t="s">
        <v>72</v>
      </c>
      <c r="BD489">
        <v>194</v>
      </c>
      <c r="BE489" t="s">
        <v>1971</v>
      </c>
      <c r="BF489" t="str">
        <f>HYPERLINK("http://dx.doi.org/10.1186/s13643-018-0853-z","http://dx.doi.org/10.1186/s13643-018-0853-z")</f>
        <v>http://dx.doi.org/10.1186/s13643-018-0853-z</v>
      </c>
      <c r="BG489" t="s">
        <v>72</v>
      </c>
      <c r="BH489" t="s">
        <v>72</v>
      </c>
      <c r="BI489">
        <v>16</v>
      </c>
      <c r="BJ489" t="s">
        <v>1972</v>
      </c>
      <c r="BK489" t="s">
        <v>1973</v>
      </c>
      <c r="BL489" t="s">
        <v>1974</v>
      </c>
      <c r="BM489">
        <v>30442191</v>
      </c>
      <c r="BN489" t="s">
        <v>1975</v>
      </c>
      <c r="BO489" t="s">
        <v>72</v>
      </c>
      <c r="BP489" t="s">
        <v>72</v>
      </c>
      <c r="BQ489" t="s">
        <v>100</v>
      </c>
      <c r="BR489" t="s">
        <v>1976</v>
      </c>
      <c r="BS489" t="str">
        <f>HYPERLINK("https%3A%2F%2Fwww.webofscience.com%2Fwos%2Fwoscc%2Ffull-record%2FWOS:000450921400003","View Full Record in Web of Science")</f>
        <v>View Full Record in Web of Science</v>
      </c>
    </row>
    <row r="490" spans="1:71" hidden="1" x14ac:dyDescent="0.2">
      <c r="A490" t="s">
        <v>70</v>
      </c>
      <c r="B490" t="s">
        <v>13607</v>
      </c>
      <c r="C490" t="s">
        <v>72</v>
      </c>
      <c r="D490" t="s">
        <v>72</v>
      </c>
      <c r="E490" t="s">
        <v>72</v>
      </c>
      <c r="F490" t="s">
        <v>13608</v>
      </c>
      <c r="G490" t="s">
        <v>72</v>
      </c>
      <c r="H490" t="s">
        <v>72</v>
      </c>
      <c r="I490" t="s">
        <v>13609</v>
      </c>
      <c r="J490" t="s">
        <v>13610</v>
      </c>
      <c r="K490" t="s">
        <v>72</v>
      </c>
      <c r="L490" t="s">
        <v>72</v>
      </c>
      <c r="M490" t="s">
        <v>76</v>
      </c>
      <c r="N490" t="s">
        <v>1503</v>
      </c>
      <c r="O490" t="s">
        <v>72</v>
      </c>
      <c r="P490" t="s">
        <v>72</v>
      </c>
      <c r="Q490" t="s">
        <v>72</v>
      </c>
      <c r="R490" t="s">
        <v>72</v>
      </c>
      <c r="S490" t="s">
        <v>72</v>
      </c>
      <c r="T490" t="s">
        <v>72</v>
      </c>
      <c r="U490" t="s">
        <v>13611</v>
      </c>
      <c r="V490" t="s">
        <v>13612</v>
      </c>
      <c r="W490" t="s">
        <v>13613</v>
      </c>
      <c r="X490" t="s">
        <v>13614</v>
      </c>
      <c r="Y490" t="s">
        <v>13615</v>
      </c>
      <c r="Z490" t="s">
        <v>13616</v>
      </c>
      <c r="AA490" t="s">
        <v>72</v>
      </c>
      <c r="AB490" t="s">
        <v>13617</v>
      </c>
      <c r="AC490" t="s">
        <v>72</v>
      </c>
      <c r="AD490" t="s">
        <v>72</v>
      </c>
      <c r="AE490" t="s">
        <v>72</v>
      </c>
      <c r="AF490" t="s">
        <v>72</v>
      </c>
      <c r="AG490">
        <v>30</v>
      </c>
      <c r="AH490">
        <v>3</v>
      </c>
      <c r="AI490">
        <v>3</v>
      </c>
      <c r="AJ490">
        <v>0</v>
      </c>
      <c r="AK490">
        <v>11</v>
      </c>
      <c r="AL490" t="s">
        <v>879</v>
      </c>
      <c r="AM490" t="s">
        <v>451</v>
      </c>
      <c r="AN490" t="s">
        <v>880</v>
      </c>
      <c r="AO490" t="s">
        <v>13618</v>
      </c>
      <c r="AP490" t="s">
        <v>13619</v>
      </c>
      <c r="AQ490" t="s">
        <v>72</v>
      </c>
      <c r="AR490" t="s">
        <v>13620</v>
      </c>
      <c r="AS490" t="s">
        <v>13621</v>
      </c>
      <c r="AT490" t="s">
        <v>247</v>
      </c>
      <c r="AU490">
        <v>2018</v>
      </c>
      <c r="AV490">
        <v>111</v>
      </c>
      <c r="AW490">
        <v>1</v>
      </c>
      <c r="AX490" t="s">
        <v>72</v>
      </c>
      <c r="AY490" t="s">
        <v>72</v>
      </c>
      <c r="AZ490" t="s">
        <v>72</v>
      </c>
      <c r="BA490" t="s">
        <v>72</v>
      </c>
      <c r="BB490">
        <v>3</v>
      </c>
      <c r="BC490">
        <v>6</v>
      </c>
      <c r="BD490" t="s">
        <v>72</v>
      </c>
      <c r="BE490" t="s">
        <v>13622</v>
      </c>
      <c r="BF490" t="str">
        <f>HYPERLINK("http://dx.doi.org/10.1093/qjmed/hcx227","http://dx.doi.org/10.1093/qjmed/hcx227")</f>
        <v>http://dx.doi.org/10.1093/qjmed/hcx227</v>
      </c>
      <c r="BG490" t="s">
        <v>72</v>
      </c>
      <c r="BH490" t="s">
        <v>72</v>
      </c>
      <c r="BI490">
        <v>4</v>
      </c>
      <c r="BJ490" t="s">
        <v>1972</v>
      </c>
      <c r="BK490" t="s">
        <v>1973</v>
      </c>
      <c r="BL490" t="s">
        <v>13623</v>
      </c>
      <c r="BM490">
        <v>29186535</v>
      </c>
      <c r="BN490" t="s">
        <v>1497</v>
      </c>
      <c r="BO490" t="s">
        <v>72</v>
      </c>
      <c r="BP490" t="s">
        <v>72</v>
      </c>
      <c r="BQ490" t="s">
        <v>100</v>
      </c>
      <c r="BR490" t="s">
        <v>13624</v>
      </c>
      <c r="BS490" t="str">
        <f>HYPERLINK("https%3A%2F%2Fwww.webofscience.com%2Fwos%2Fwoscc%2Ffull-record%2FWOS:000422832800002","View Full Record in Web of Science")</f>
        <v>View Full Record in Web of Science</v>
      </c>
    </row>
    <row r="491" spans="1:71" hidden="1" x14ac:dyDescent="0.2">
      <c r="A491" t="s">
        <v>70</v>
      </c>
      <c r="B491" t="s">
        <v>16080</v>
      </c>
      <c r="C491" t="s">
        <v>72</v>
      </c>
      <c r="D491" t="s">
        <v>72</v>
      </c>
      <c r="E491" t="s">
        <v>72</v>
      </c>
      <c r="F491" t="s">
        <v>16081</v>
      </c>
      <c r="G491" t="s">
        <v>72</v>
      </c>
      <c r="H491" t="s">
        <v>72</v>
      </c>
      <c r="I491" t="s">
        <v>16082</v>
      </c>
      <c r="J491" t="s">
        <v>16083</v>
      </c>
      <c r="K491" t="s">
        <v>72</v>
      </c>
      <c r="L491" t="s">
        <v>72</v>
      </c>
      <c r="M491" t="s">
        <v>76</v>
      </c>
      <c r="N491" t="s">
        <v>77</v>
      </c>
      <c r="O491" t="s">
        <v>72</v>
      </c>
      <c r="P491" t="s">
        <v>72</v>
      </c>
      <c r="Q491" t="s">
        <v>72</v>
      </c>
      <c r="R491" t="s">
        <v>72</v>
      </c>
      <c r="S491" t="s">
        <v>72</v>
      </c>
      <c r="T491" t="s">
        <v>16084</v>
      </c>
      <c r="U491" t="s">
        <v>16085</v>
      </c>
      <c r="V491" t="s">
        <v>16086</v>
      </c>
      <c r="W491" t="s">
        <v>16087</v>
      </c>
      <c r="X491" t="s">
        <v>16088</v>
      </c>
      <c r="Y491" t="s">
        <v>16089</v>
      </c>
      <c r="Z491" t="s">
        <v>16090</v>
      </c>
      <c r="AA491" t="s">
        <v>16091</v>
      </c>
      <c r="AB491" t="s">
        <v>16092</v>
      </c>
      <c r="AC491" t="s">
        <v>16093</v>
      </c>
      <c r="AD491" t="s">
        <v>16094</v>
      </c>
      <c r="AE491" t="s">
        <v>16095</v>
      </c>
      <c r="AF491" t="s">
        <v>72</v>
      </c>
      <c r="AG491">
        <v>74</v>
      </c>
      <c r="AH491">
        <v>18</v>
      </c>
      <c r="AI491">
        <v>18</v>
      </c>
      <c r="AJ491">
        <v>0</v>
      </c>
      <c r="AK491">
        <v>1</v>
      </c>
      <c r="AL491" t="s">
        <v>1260</v>
      </c>
      <c r="AM491" t="s">
        <v>964</v>
      </c>
      <c r="AN491" t="s">
        <v>965</v>
      </c>
      <c r="AO491" t="s">
        <v>16096</v>
      </c>
      <c r="AP491" t="s">
        <v>16097</v>
      </c>
      <c r="AQ491" t="s">
        <v>72</v>
      </c>
      <c r="AR491" t="s">
        <v>16098</v>
      </c>
      <c r="AS491" t="s">
        <v>16099</v>
      </c>
      <c r="AT491" t="s">
        <v>1602</v>
      </c>
      <c r="AU491">
        <v>2017</v>
      </c>
      <c r="AV491">
        <v>71</v>
      </c>
      <c r="AW491">
        <v>2</v>
      </c>
      <c r="AX491" t="s">
        <v>72</v>
      </c>
      <c r="AY491" t="s">
        <v>72</v>
      </c>
      <c r="AZ491" t="s">
        <v>72</v>
      </c>
      <c r="BA491" t="s">
        <v>72</v>
      </c>
      <c r="BB491" t="s">
        <v>72</v>
      </c>
      <c r="BC491" t="s">
        <v>72</v>
      </c>
      <c r="BD491" t="s">
        <v>16100</v>
      </c>
      <c r="BE491" t="s">
        <v>16101</v>
      </c>
      <c r="BF491" t="str">
        <f>HYPERLINK("http://dx.doi.org/10.1111/ijcp.12918","http://dx.doi.org/10.1111/ijcp.12918")</f>
        <v>http://dx.doi.org/10.1111/ijcp.12918</v>
      </c>
      <c r="BG491" t="s">
        <v>72</v>
      </c>
      <c r="BH491" t="s">
        <v>72</v>
      </c>
      <c r="BI491">
        <v>10</v>
      </c>
      <c r="BJ491" t="s">
        <v>16102</v>
      </c>
      <c r="BK491" t="s">
        <v>16103</v>
      </c>
      <c r="BL491" t="s">
        <v>16104</v>
      </c>
      <c r="BM491">
        <v>28090718</v>
      </c>
      <c r="BN491" t="s">
        <v>16105</v>
      </c>
      <c r="BO491" t="s">
        <v>72</v>
      </c>
      <c r="BP491" t="s">
        <v>72</v>
      </c>
      <c r="BQ491" t="s">
        <v>100</v>
      </c>
      <c r="BR491" t="s">
        <v>16106</v>
      </c>
      <c r="BS491" t="str">
        <f>HYPERLINK("https%3A%2F%2Fwww.webofscience.com%2Fwos%2Fwoscc%2Ffull-record%2FWOS:000394998400002","View Full Record in Web of Science")</f>
        <v>View Full Record in Web of Science</v>
      </c>
    </row>
    <row r="492" spans="1:71" hidden="1" x14ac:dyDescent="0.2">
      <c r="A492" t="s">
        <v>70</v>
      </c>
      <c r="B492" t="s">
        <v>10670</v>
      </c>
      <c r="C492" t="s">
        <v>72</v>
      </c>
      <c r="D492" t="s">
        <v>72</v>
      </c>
      <c r="E492" t="s">
        <v>72</v>
      </c>
      <c r="F492" t="s">
        <v>10671</v>
      </c>
      <c r="G492" t="s">
        <v>72</v>
      </c>
      <c r="H492" t="s">
        <v>72</v>
      </c>
      <c r="I492" t="s">
        <v>10672</v>
      </c>
      <c r="J492" t="s">
        <v>10673</v>
      </c>
      <c r="K492" t="s">
        <v>72</v>
      </c>
      <c r="L492" t="s">
        <v>72</v>
      </c>
      <c r="M492" t="s">
        <v>76</v>
      </c>
      <c r="N492" t="s">
        <v>1503</v>
      </c>
      <c r="O492" t="s">
        <v>72</v>
      </c>
      <c r="P492" t="s">
        <v>72</v>
      </c>
      <c r="Q492" t="s">
        <v>72</v>
      </c>
      <c r="R492" t="s">
        <v>72</v>
      </c>
      <c r="S492" t="s">
        <v>72</v>
      </c>
      <c r="T492" t="s">
        <v>10674</v>
      </c>
      <c r="U492" t="s">
        <v>10675</v>
      </c>
      <c r="V492" t="s">
        <v>10676</v>
      </c>
      <c r="W492" t="s">
        <v>10677</v>
      </c>
      <c r="X492" t="s">
        <v>10678</v>
      </c>
      <c r="Y492" t="s">
        <v>10679</v>
      </c>
      <c r="Z492" t="s">
        <v>10680</v>
      </c>
      <c r="AA492" t="s">
        <v>10681</v>
      </c>
      <c r="AB492" t="s">
        <v>10682</v>
      </c>
      <c r="AC492" t="s">
        <v>72</v>
      </c>
      <c r="AD492" t="s">
        <v>72</v>
      </c>
      <c r="AE492" t="s">
        <v>72</v>
      </c>
      <c r="AF492" t="s">
        <v>72</v>
      </c>
      <c r="AG492">
        <v>35</v>
      </c>
      <c r="AH492">
        <v>21</v>
      </c>
      <c r="AI492">
        <v>22</v>
      </c>
      <c r="AJ492">
        <v>0</v>
      </c>
      <c r="AK492">
        <v>2</v>
      </c>
      <c r="AL492" t="s">
        <v>1260</v>
      </c>
      <c r="AM492" t="s">
        <v>964</v>
      </c>
      <c r="AN492" t="s">
        <v>965</v>
      </c>
      <c r="AO492" t="s">
        <v>10683</v>
      </c>
      <c r="AP492" t="s">
        <v>10684</v>
      </c>
      <c r="AQ492" t="s">
        <v>72</v>
      </c>
      <c r="AR492" t="s">
        <v>10685</v>
      </c>
      <c r="AS492" t="s">
        <v>10686</v>
      </c>
      <c r="AT492" t="s">
        <v>197</v>
      </c>
      <c r="AU492">
        <v>2018</v>
      </c>
      <c r="AV492">
        <v>48</v>
      </c>
      <c r="AW492">
        <v>5</v>
      </c>
      <c r="AX492" t="s">
        <v>72</v>
      </c>
      <c r="AY492" t="s">
        <v>72</v>
      </c>
      <c r="AZ492" t="s">
        <v>72</v>
      </c>
      <c r="BA492" t="s">
        <v>72</v>
      </c>
      <c r="BB492" t="s">
        <v>72</v>
      </c>
      <c r="BC492" t="s">
        <v>72</v>
      </c>
      <c r="BD492" t="s">
        <v>10687</v>
      </c>
      <c r="BE492" t="s">
        <v>10688</v>
      </c>
      <c r="BF492" t="str">
        <f>HYPERLINK("http://dx.doi.org/10.1111/eci.12913","http://dx.doi.org/10.1111/eci.12913")</f>
        <v>http://dx.doi.org/10.1111/eci.12913</v>
      </c>
      <c r="BG492" t="s">
        <v>72</v>
      </c>
      <c r="BH492" t="s">
        <v>72</v>
      </c>
      <c r="BI492">
        <v>8</v>
      </c>
      <c r="BJ492" t="s">
        <v>10689</v>
      </c>
      <c r="BK492" t="s">
        <v>10690</v>
      </c>
      <c r="BL492" t="s">
        <v>10691</v>
      </c>
      <c r="BM492">
        <v>29460306</v>
      </c>
      <c r="BN492" t="s">
        <v>1128</v>
      </c>
      <c r="BO492" t="s">
        <v>72</v>
      </c>
      <c r="BP492" t="s">
        <v>72</v>
      </c>
      <c r="BQ492" t="s">
        <v>100</v>
      </c>
      <c r="BR492" t="s">
        <v>10692</v>
      </c>
      <c r="BS492" t="str">
        <f>HYPERLINK("https%3A%2F%2Fwww.webofscience.com%2Fwos%2Fwoscc%2Ffull-record%2FWOS:000430666900006","View Full Record in Web of Science")</f>
        <v>View Full Record in Web of Science</v>
      </c>
    </row>
    <row r="493" spans="1:71" hidden="1" x14ac:dyDescent="0.2">
      <c r="A493" t="s">
        <v>70</v>
      </c>
      <c r="B493" t="s">
        <v>15235</v>
      </c>
      <c r="C493" t="s">
        <v>72</v>
      </c>
      <c r="D493" t="s">
        <v>72</v>
      </c>
      <c r="E493" t="s">
        <v>72</v>
      </c>
      <c r="F493" t="s">
        <v>15236</v>
      </c>
      <c r="G493" t="s">
        <v>72</v>
      </c>
      <c r="H493" t="s">
        <v>72</v>
      </c>
      <c r="I493" t="s">
        <v>15237</v>
      </c>
      <c r="J493" t="s">
        <v>15238</v>
      </c>
      <c r="K493" t="s">
        <v>72</v>
      </c>
      <c r="L493" t="s">
        <v>72</v>
      </c>
      <c r="M493" t="s">
        <v>76</v>
      </c>
      <c r="N493" t="s">
        <v>77</v>
      </c>
      <c r="O493" t="s">
        <v>72</v>
      </c>
      <c r="P493" t="s">
        <v>72</v>
      </c>
      <c r="Q493" t="s">
        <v>72</v>
      </c>
      <c r="R493" t="s">
        <v>72</v>
      </c>
      <c r="S493" t="s">
        <v>72</v>
      </c>
      <c r="T493" t="s">
        <v>15239</v>
      </c>
      <c r="U493" t="s">
        <v>15240</v>
      </c>
      <c r="V493" t="s">
        <v>15241</v>
      </c>
      <c r="W493" t="s">
        <v>15242</v>
      </c>
      <c r="X493" t="s">
        <v>15243</v>
      </c>
      <c r="Y493" t="s">
        <v>15244</v>
      </c>
      <c r="Z493" t="s">
        <v>15245</v>
      </c>
      <c r="AA493" t="s">
        <v>72</v>
      </c>
      <c r="AB493" t="s">
        <v>72</v>
      </c>
      <c r="AC493" t="s">
        <v>15246</v>
      </c>
      <c r="AD493" t="s">
        <v>15246</v>
      </c>
      <c r="AE493" t="s">
        <v>15247</v>
      </c>
      <c r="AF493" t="s">
        <v>72</v>
      </c>
      <c r="AG493">
        <v>37</v>
      </c>
      <c r="AH493">
        <v>1</v>
      </c>
      <c r="AI493">
        <v>1</v>
      </c>
      <c r="AJ493">
        <v>2</v>
      </c>
      <c r="AK493">
        <v>4</v>
      </c>
      <c r="AL493" t="s">
        <v>15248</v>
      </c>
      <c r="AM493" t="s">
        <v>15249</v>
      </c>
      <c r="AN493" t="s">
        <v>15250</v>
      </c>
      <c r="AO493" t="s">
        <v>15251</v>
      </c>
      <c r="AP493" t="s">
        <v>15252</v>
      </c>
      <c r="AQ493" t="s">
        <v>72</v>
      </c>
      <c r="AR493" t="s">
        <v>15253</v>
      </c>
      <c r="AS493" t="s">
        <v>15254</v>
      </c>
      <c r="AT493" t="s">
        <v>639</v>
      </c>
      <c r="AU493">
        <v>2018</v>
      </c>
      <c r="AV493">
        <v>245</v>
      </c>
      <c r="AW493">
        <v>4</v>
      </c>
      <c r="AX493" t="s">
        <v>72</v>
      </c>
      <c r="AY493" t="s">
        <v>72</v>
      </c>
      <c r="AZ493" t="s">
        <v>72</v>
      </c>
      <c r="BA493" t="s">
        <v>72</v>
      </c>
      <c r="BB493">
        <v>251</v>
      </c>
      <c r="BC493">
        <v>261</v>
      </c>
      <c r="BD493" t="s">
        <v>72</v>
      </c>
      <c r="BE493" t="s">
        <v>15255</v>
      </c>
      <c r="BF493" t="str">
        <f>HYPERLINK("http://dx.doi.org/10.1620/tjem.245.251","http://dx.doi.org/10.1620/tjem.245.251")</f>
        <v>http://dx.doi.org/10.1620/tjem.245.251</v>
      </c>
      <c r="BG493" t="s">
        <v>72</v>
      </c>
      <c r="BH493" t="s">
        <v>72</v>
      </c>
      <c r="BI493">
        <v>11</v>
      </c>
      <c r="BJ493" t="s">
        <v>10689</v>
      </c>
      <c r="BK493" t="s">
        <v>10690</v>
      </c>
      <c r="BL493" t="s">
        <v>15256</v>
      </c>
      <c r="BM493">
        <v>30135327</v>
      </c>
      <c r="BN493" t="s">
        <v>222</v>
      </c>
      <c r="BO493" t="s">
        <v>72</v>
      </c>
      <c r="BP493" t="s">
        <v>72</v>
      </c>
      <c r="BQ493" t="s">
        <v>100</v>
      </c>
      <c r="BR493" t="s">
        <v>15257</v>
      </c>
      <c r="BS493" t="str">
        <f>HYPERLINK("https%3A%2F%2Fwww.webofscience.com%2Fwos%2Fwoscc%2Ffull-record%2FWOS:000444527800005","View Full Record in Web of Science")</f>
        <v>View Full Record in Web of Science</v>
      </c>
    </row>
    <row r="494" spans="1:71" hidden="1" x14ac:dyDescent="0.2">
      <c r="A494" t="s">
        <v>70</v>
      </c>
      <c r="B494" t="s">
        <v>1645</v>
      </c>
      <c r="C494" t="s">
        <v>72</v>
      </c>
      <c r="D494" t="s">
        <v>72</v>
      </c>
      <c r="E494" t="s">
        <v>72</v>
      </c>
      <c r="F494" t="s">
        <v>1646</v>
      </c>
      <c r="G494" t="s">
        <v>72</v>
      </c>
      <c r="H494" t="s">
        <v>72</v>
      </c>
      <c r="I494" t="s">
        <v>1647</v>
      </c>
      <c r="J494" t="s">
        <v>1648</v>
      </c>
      <c r="K494" t="s">
        <v>72</v>
      </c>
      <c r="L494" t="s">
        <v>72</v>
      </c>
      <c r="M494" t="s">
        <v>542</v>
      </c>
      <c r="N494" t="s">
        <v>77</v>
      </c>
      <c r="O494" t="s">
        <v>72</v>
      </c>
      <c r="P494" t="s">
        <v>72</v>
      </c>
      <c r="Q494" t="s">
        <v>72</v>
      </c>
      <c r="R494" t="s">
        <v>72</v>
      </c>
      <c r="S494" t="s">
        <v>72</v>
      </c>
      <c r="T494" t="s">
        <v>1649</v>
      </c>
      <c r="U494" t="s">
        <v>1650</v>
      </c>
      <c r="V494" t="s">
        <v>1651</v>
      </c>
      <c r="W494" t="s">
        <v>1652</v>
      </c>
      <c r="X494" t="s">
        <v>72</v>
      </c>
      <c r="Y494" t="s">
        <v>1653</v>
      </c>
      <c r="Z494" t="s">
        <v>1654</v>
      </c>
      <c r="AA494" t="s">
        <v>1655</v>
      </c>
      <c r="AB494" t="s">
        <v>72</v>
      </c>
      <c r="AC494" t="s">
        <v>72</v>
      </c>
      <c r="AD494" t="s">
        <v>72</v>
      </c>
      <c r="AE494" t="s">
        <v>72</v>
      </c>
      <c r="AF494" t="s">
        <v>72</v>
      </c>
      <c r="AG494">
        <v>69</v>
      </c>
      <c r="AH494">
        <v>0</v>
      </c>
      <c r="AI494">
        <v>0</v>
      </c>
      <c r="AJ494">
        <v>1</v>
      </c>
      <c r="AK494">
        <v>1</v>
      </c>
      <c r="AL494" t="s">
        <v>1656</v>
      </c>
      <c r="AM494" t="s">
        <v>1657</v>
      </c>
      <c r="AN494" t="s">
        <v>1658</v>
      </c>
      <c r="AO494" t="s">
        <v>1659</v>
      </c>
      <c r="AP494" t="s">
        <v>1660</v>
      </c>
      <c r="AQ494" t="s">
        <v>72</v>
      </c>
      <c r="AR494" t="s">
        <v>1661</v>
      </c>
      <c r="AS494" t="s">
        <v>1662</v>
      </c>
      <c r="AT494" t="s">
        <v>299</v>
      </c>
      <c r="AU494">
        <v>2020</v>
      </c>
      <c r="AV494">
        <v>78</v>
      </c>
      <c r="AW494">
        <v>3</v>
      </c>
      <c r="AX494" t="s">
        <v>72</v>
      </c>
      <c r="AY494" t="s">
        <v>72</v>
      </c>
      <c r="AZ494" t="s">
        <v>72</v>
      </c>
      <c r="BA494" t="s">
        <v>72</v>
      </c>
      <c r="BB494">
        <v>213</v>
      </c>
      <c r="BC494">
        <v>231</v>
      </c>
      <c r="BD494" t="s">
        <v>72</v>
      </c>
      <c r="BE494" t="s">
        <v>1663</v>
      </c>
      <c r="BF494" t="str">
        <f>HYPERLINK("http://dx.doi.org/10.2478/rara-2019-0060","http://dx.doi.org/10.2478/rara-2019-0060")</f>
        <v>http://dx.doi.org/10.2478/rara-2019-0060</v>
      </c>
      <c r="BG494" t="s">
        <v>72</v>
      </c>
      <c r="BH494" t="s">
        <v>72</v>
      </c>
      <c r="BI494">
        <v>19</v>
      </c>
      <c r="BJ494" t="s">
        <v>1664</v>
      </c>
      <c r="BK494" t="s">
        <v>1664</v>
      </c>
      <c r="BL494" t="s">
        <v>1665</v>
      </c>
      <c r="BM494" t="s">
        <v>72</v>
      </c>
      <c r="BN494" t="s">
        <v>910</v>
      </c>
      <c r="BO494" t="s">
        <v>72</v>
      </c>
      <c r="BP494" t="s">
        <v>72</v>
      </c>
      <c r="BQ494" t="s">
        <v>100</v>
      </c>
      <c r="BR494" t="s">
        <v>1666</v>
      </c>
      <c r="BS494" t="str">
        <f>HYPERLINK("https%3A%2F%2Fwww.webofscience.com%2Fwos%2Fwoscc%2Ffull-record%2FWOS:000545386300001","View Full Record in Web of Science")</f>
        <v>View Full Record in Web of Science</v>
      </c>
    </row>
    <row r="495" spans="1:71" hidden="1" x14ac:dyDescent="0.2">
      <c r="A495" t="s">
        <v>70</v>
      </c>
      <c r="B495" t="s">
        <v>1625</v>
      </c>
      <c r="C495" t="s">
        <v>72</v>
      </c>
      <c r="D495" t="s">
        <v>72</v>
      </c>
      <c r="E495" t="s">
        <v>72</v>
      </c>
      <c r="F495" t="s">
        <v>1626</v>
      </c>
      <c r="G495" t="s">
        <v>72</v>
      </c>
      <c r="H495" t="s">
        <v>72</v>
      </c>
      <c r="I495" t="s">
        <v>1627</v>
      </c>
      <c r="J495" t="s">
        <v>1628</v>
      </c>
      <c r="K495" t="s">
        <v>72</v>
      </c>
      <c r="L495" t="s">
        <v>72</v>
      </c>
      <c r="M495" t="s">
        <v>76</v>
      </c>
      <c r="N495" t="s">
        <v>77</v>
      </c>
      <c r="O495" t="s">
        <v>72</v>
      </c>
      <c r="P495" t="s">
        <v>72</v>
      </c>
      <c r="Q495" t="s">
        <v>72</v>
      </c>
      <c r="R495" t="s">
        <v>72</v>
      </c>
      <c r="S495" t="s">
        <v>72</v>
      </c>
      <c r="T495" t="s">
        <v>1629</v>
      </c>
      <c r="U495" t="s">
        <v>72</v>
      </c>
      <c r="V495" t="s">
        <v>1630</v>
      </c>
      <c r="W495" t="s">
        <v>1631</v>
      </c>
      <c r="X495" t="s">
        <v>1632</v>
      </c>
      <c r="Y495" t="s">
        <v>1633</v>
      </c>
      <c r="Z495" t="s">
        <v>1634</v>
      </c>
      <c r="AA495" t="s">
        <v>1635</v>
      </c>
      <c r="AB495" t="s">
        <v>1636</v>
      </c>
      <c r="AC495" t="s">
        <v>72</v>
      </c>
      <c r="AD495" t="s">
        <v>72</v>
      </c>
      <c r="AE495" t="s">
        <v>72</v>
      </c>
      <c r="AF495" t="s">
        <v>72</v>
      </c>
      <c r="AG495">
        <v>26</v>
      </c>
      <c r="AH495">
        <v>0</v>
      </c>
      <c r="AI495">
        <v>0</v>
      </c>
      <c r="AJ495">
        <v>3</v>
      </c>
      <c r="AK495">
        <v>8</v>
      </c>
      <c r="AL495" t="s">
        <v>1637</v>
      </c>
      <c r="AM495" t="s">
        <v>549</v>
      </c>
      <c r="AN495" t="s">
        <v>1638</v>
      </c>
      <c r="AO495" t="s">
        <v>1639</v>
      </c>
      <c r="AP495" t="s">
        <v>72</v>
      </c>
      <c r="AQ495" t="s">
        <v>72</v>
      </c>
      <c r="AR495" t="s">
        <v>1628</v>
      </c>
      <c r="AS495" t="s">
        <v>1628</v>
      </c>
      <c r="AT495" t="s">
        <v>72</v>
      </c>
      <c r="AU495">
        <v>2018</v>
      </c>
      <c r="AV495">
        <v>149</v>
      </c>
      <c r="AW495">
        <v>1</v>
      </c>
      <c r="AX495" t="s">
        <v>72</v>
      </c>
      <c r="AY495" t="s">
        <v>72</v>
      </c>
      <c r="AZ495" t="s">
        <v>72</v>
      </c>
      <c r="BA495" t="s">
        <v>72</v>
      </c>
      <c r="BB495">
        <v>52</v>
      </c>
      <c r="BC495">
        <v>56</v>
      </c>
      <c r="BD495" t="s">
        <v>72</v>
      </c>
      <c r="BE495" t="s">
        <v>1640</v>
      </c>
      <c r="BF495" t="str">
        <f>HYPERLINK("http://dx.doi.org/10.12854/erde-149-58","http://dx.doi.org/10.12854/erde-149-58")</f>
        <v>http://dx.doi.org/10.12854/erde-149-58</v>
      </c>
      <c r="BG495" t="s">
        <v>72</v>
      </c>
      <c r="BH495" t="s">
        <v>72</v>
      </c>
      <c r="BI495">
        <v>5</v>
      </c>
      <c r="BJ495" t="s">
        <v>1641</v>
      </c>
      <c r="BK495" t="s">
        <v>1642</v>
      </c>
      <c r="BL495" t="s">
        <v>1643</v>
      </c>
      <c r="BM495" t="s">
        <v>72</v>
      </c>
      <c r="BN495" t="s">
        <v>72</v>
      </c>
      <c r="BO495" t="s">
        <v>72</v>
      </c>
      <c r="BP495" t="s">
        <v>72</v>
      </c>
      <c r="BQ495" t="s">
        <v>100</v>
      </c>
      <c r="BR495" t="s">
        <v>1644</v>
      </c>
      <c r="BS495" t="str">
        <f>HYPERLINK("https%3A%2F%2Fwww.webofscience.com%2Fwos%2Fwoscc%2Ffull-record%2FWOS:000429838400005","View Full Record in Web of Science")</f>
        <v>View Full Record in Web of Science</v>
      </c>
    </row>
    <row r="496" spans="1:71" x14ac:dyDescent="0.2">
      <c r="A496" t="s">
        <v>70</v>
      </c>
      <c r="B496" t="s">
        <v>14261</v>
      </c>
      <c r="C496" t="s">
        <v>72</v>
      </c>
      <c r="D496" t="s">
        <v>72</v>
      </c>
      <c r="E496" t="s">
        <v>72</v>
      </c>
      <c r="F496" t="s">
        <v>14262</v>
      </c>
      <c r="G496" t="s">
        <v>72</v>
      </c>
      <c r="H496" t="s">
        <v>72</v>
      </c>
      <c r="I496" t="s">
        <v>14263</v>
      </c>
      <c r="J496" t="s">
        <v>14264</v>
      </c>
      <c r="K496" t="s">
        <v>72</v>
      </c>
      <c r="L496" t="s">
        <v>72</v>
      </c>
      <c r="M496" t="s">
        <v>76</v>
      </c>
      <c r="N496" t="s">
        <v>352</v>
      </c>
      <c r="O496" t="s">
        <v>72</v>
      </c>
      <c r="P496" t="s">
        <v>72</v>
      </c>
      <c r="Q496" t="s">
        <v>72</v>
      </c>
      <c r="R496" t="s">
        <v>72</v>
      </c>
      <c r="S496" t="s">
        <v>72</v>
      </c>
      <c r="T496" t="s">
        <v>14265</v>
      </c>
      <c r="U496" t="s">
        <v>14266</v>
      </c>
      <c r="V496" t="s">
        <v>14267</v>
      </c>
      <c r="W496" t="s">
        <v>14268</v>
      </c>
      <c r="X496" t="s">
        <v>14269</v>
      </c>
      <c r="Y496" t="s">
        <v>14270</v>
      </c>
      <c r="Z496" t="s">
        <v>14271</v>
      </c>
      <c r="AA496" t="s">
        <v>14272</v>
      </c>
      <c r="AB496" t="s">
        <v>14273</v>
      </c>
      <c r="AC496" t="s">
        <v>14274</v>
      </c>
      <c r="AD496" t="s">
        <v>14274</v>
      </c>
      <c r="AE496" t="s">
        <v>14275</v>
      </c>
      <c r="AF496" t="s">
        <v>72</v>
      </c>
      <c r="AG496">
        <v>60</v>
      </c>
      <c r="AH496">
        <v>0</v>
      </c>
      <c r="AI496">
        <v>0</v>
      </c>
      <c r="AJ496">
        <v>7</v>
      </c>
      <c r="AK496">
        <v>23</v>
      </c>
      <c r="AL496" t="s">
        <v>14276</v>
      </c>
      <c r="AM496" t="s">
        <v>14277</v>
      </c>
      <c r="AN496" t="s">
        <v>14278</v>
      </c>
      <c r="AO496" t="s">
        <v>14279</v>
      </c>
      <c r="AP496" t="s">
        <v>72</v>
      </c>
      <c r="AQ496" t="s">
        <v>72</v>
      </c>
      <c r="AR496" t="s">
        <v>14280</v>
      </c>
      <c r="AS496" t="s">
        <v>14281</v>
      </c>
      <c r="AT496" t="s">
        <v>72</v>
      </c>
      <c r="AU496" t="s">
        <v>72</v>
      </c>
      <c r="AV496" t="s">
        <v>72</v>
      </c>
      <c r="AW496" t="s">
        <v>72</v>
      </c>
      <c r="AX496" t="s">
        <v>72</v>
      </c>
      <c r="AY496" t="s">
        <v>72</v>
      </c>
      <c r="AZ496" t="s">
        <v>72</v>
      </c>
      <c r="BA496" t="s">
        <v>72</v>
      </c>
      <c r="BB496" t="s">
        <v>72</v>
      </c>
      <c r="BC496" t="s">
        <v>72</v>
      </c>
      <c r="BD496" t="s">
        <v>72</v>
      </c>
      <c r="BE496" t="s">
        <v>14282</v>
      </c>
      <c r="BF496" t="str">
        <f>HYPERLINK("http://dx.doi.org/10.24043/isj.168","http://dx.doi.org/10.24043/isj.168")</f>
        <v>http://dx.doi.org/10.24043/isj.168</v>
      </c>
      <c r="BG496" t="s">
        <v>72</v>
      </c>
      <c r="BH496" t="s">
        <v>3011</v>
      </c>
      <c r="BI496">
        <v>21</v>
      </c>
      <c r="BJ496" t="s">
        <v>14283</v>
      </c>
      <c r="BK496" t="s">
        <v>14284</v>
      </c>
      <c r="BL496" t="s">
        <v>14285</v>
      </c>
      <c r="BM496" t="s">
        <v>72</v>
      </c>
      <c r="BN496" t="s">
        <v>222</v>
      </c>
      <c r="BO496" t="s">
        <v>72</v>
      </c>
      <c r="BP496" t="s">
        <v>72</v>
      </c>
      <c r="BQ496" t="s">
        <v>100</v>
      </c>
      <c r="BR496" t="s">
        <v>14286</v>
      </c>
      <c r="BS496" t="str">
        <f>HYPERLINK("https%3A%2F%2Fwww.webofscience.com%2Fwos%2Fwoscc%2Ffull-record%2FWOS:000712890200001","View Full Record in Web of Science")</f>
        <v>View Full Record in Web of Science</v>
      </c>
    </row>
    <row r="497" spans="1:71" hidden="1" x14ac:dyDescent="0.2">
      <c r="A497" t="s">
        <v>70</v>
      </c>
      <c r="B497" t="s">
        <v>2154</v>
      </c>
      <c r="C497" t="s">
        <v>72</v>
      </c>
      <c r="D497" t="s">
        <v>72</v>
      </c>
      <c r="E497" t="s">
        <v>72</v>
      </c>
      <c r="F497" t="s">
        <v>2155</v>
      </c>
      <c r="G497" t="s">
        <v>72</v>
      </c>
      <c r="H497" t="s">
        <v>72</v>
      </c>
      <c r="I497" t="s">
        <v>2156</v>
      </c>
      <c r="J497" t="s">
        <v>2157</v>
      </c>
      <c r="K497" t="s">
        <v>72</v>
      </c>
      <c r="L497" t="s">
        <v>72</v>
      </c>
      <c r="M497" t="s">
        <v>76</v>
      </c>
      <c r="N497" t="s">
        <v>77</v>
      </c>
      <c r="O497" t="s">
        <v>72</v>
      </c>
      <c r="P497" t="s">
        <v>72</v>
      </c>
      <c r="Q497" t="s">
        <v>72</v>
      </c>
      <c r="R497" t="s">
        <v>72</v>
      </c>
      <c r="S497" t="s">
        <v>72</v>
      </c>
      <c r="T497" t="s">
        <v>2158</v>
      </c>
      <c r="U497" t="s">
        <v>72</v>
      </c>
      <c r="V497" t="s">
        <v>2159</v>
      </c>
      <c r="W497" t="s">
        <v>2160</v>
      </c>
      <c r="X497" t="s">
        <v>2161</v>
      </c>
      <c r="Y497" t="s">
        <v>2162</v>
      </c>
      <c r="Z497" t="s">
        <v>2163</v>
      </c>
      <c r="AA497" t="s">
        <v>2164</v>
      </c>
      <c r="AB497" t="s">
        <v>2165</v>
      </c>
      <c r="AC497" t="s">
        <v>2166</v>
      </c>
      <c r="AD497" t="s">
        <v>2167</v>
      </c>
      <c r="AE497" t="s">
        <v>2168</v>
      </c>
      <c r="AF497" t="s">
        <v>72</v>
      </c>
      <c r="AG497">
        <v>10</v>
      </c>
      <c r="AH497">
        <v>10</v>
      </c>
      <c r="AI497">
        <v>11</v>
      </c>
      <c r="AJ497">
        <v>0</v>
      </c>
      <c r="AK497">
        <v>19</v>
      </c>
      <c r="AL497" t="s">
        <v>2169</v>
      </c>
      <c r="AM497" t="s">
        <v>2170</v>
      </c>
      <c r="AN497" t="s">
        <v>2171</v>
      </c>
      <c r="AO497" t="s">
        <v>2172</v>
      </c>
      <c r="AP497" t="s">
        <v>2173</v>
      </c>
      <c r="AQ497" t="s">
        <v>72</v>
      </c>
      <c r="AR497" t="s">
        <v>2174</v>
      </c>
      <c r="AS497" t="s">
        <v>2175</v>
      </c>
      <c r="AT497" t="s">
        <v>299</v>
      </c>
      <c r="AU497">
        <v>2020</v>
      </c>
      <c r="AV497">
        <v>15</v>
      </c>
      <c r="AW497">
        <v>4</v>
      </c>
      <c r="AX497" t="s">
        <v>72</v>
      </c>
      <c r="AY497" t="s">
        <v>72</v>
      </c>
      <c r="AZ497" t="s">
        <v>72</v>
      </c>
      <c r="BA497" t="s">
        <v>72</v>
      </c>
      <c r="BB497">
        <v>530</v>
      </c>
      <c r="BC497">
        <v>533</v>
      </c>
      <c r="BD497" t="s">
        <v>72</v>
      </c>
      <c r="BE497" t="s">
        <v>2176</v>
      </c>
      <c r="BF497" t="str">
        <f>HYPERLINK("http://dx.doi.org/10.20965/jdr.2020.p0530","http://dx.doi.org/10.20965/jdr.2020.p0530")</f>
        <v>http://dx.doi.org/10.20965/jdr.2020.p0530</v>
      </c>
      <c r="BG497" t="s">
        <v>72</v>
      </c>
      <c r="BH497" t="s">
        <v>72</v>
      </c>
      <c r="BI497">
        <v>4</v>
      </c>
      <c r="BJ497" t="s">
        <v>2177</v>
      </c>
      <c r="BK497" t="s">
        <v>2178</v>
      </c>
      <c r="BL497" t="s">
        <v>2179</v>
      </c>
      <c r="BM497" t="s">
        <v>72</v>
      </c>
      <c r="BN497" t="s">
        <v>222</v>
      </c>
      <c r="BO497" t="s">
        <v>72</v>
      </c>
      <c r="BP497" t="s">
        <v>72</v>
      </c>
      <c r="BQ497" t="s">
        <v>100</v>
      </c>
      <c r="BR497" t="s">
        <v>2180</v>
      </c>
      <c r="BS497" t="str">
        <f>HYPERLINK("https%3A%2F%2Fwww.webofscience.com%2Fwos%2Fwoscc%2Ffull-record%2FWOS:000537838900006","View Full Record in Web of Science")</f>
        <v>View Full Record in Web of Science</v>
      </c>
    </row>
    <row r="498" spans="1:71" hidden="1" x14ac:dyDescent="0.2">
      <c r="A498" t="s">
        <v>70</v>
      </c>
      <c r="B498" t="s">
        <v>8655</v>
      </c>
      <c r="C498" t="s">
        <v>72</v>
      </c>
      <c r="D498" t="s">
        <v>72</v>
      </c>
      <c r="E498" t="s">
        <v>72</v>
      </c>
      <c r="F498" t="s">
        <v>8656</v>
      </c>
      <c r="G498" t="s">
        <v>72</v>
      </c>
      <c r="H498" t="s">
        <v>72</v>
      </c>
      <c r="I498" t="s">
        <v>8657</v>
      </c>
      <c r="J498" t="s">
        <v>2157</v>
      </c>
      <c r="K498" t="s">
        <v>72</v>
      </c>
      <c r="L498" t="s">
        <v>72</v>
      </c>
      <c r="M498" t="s">
        <v>76</v>
      </c>
      <c r="N498" t="s">
        <v>77</v>
      </c>
      <c r="O498" t="s">
        <v>72</v>
      </c>
      <c r="P498" t="s">
        <v>72</v>
      </c>
      <c r="Q498" t="s">
        <v>72</v>
      </c>
      <c r="R498" t="s">
        <v>72</v>
      </c>
      <c r="S498" t="s">
        <v>72</v>
      </c>
      <c r="T498" t="s">
        <v>8658</v>
      </c>
      <c r="U498" t="s">
        <v>8659</v>
      </c>
      <c r="V498" t="s">
        <v>8660</v>
      </c>
      <c r="W498" t="s">
        <v>8661</v>
      </c>
      <c r="X498" t="s">
        <v>8662</v>
      </c>
      <c r="Y498" t="s">
        <v>8663</v>
      </c>
      <c r="Z498" t="s">
        <v>8664</v>
      </c>
      <c r="AA498" t="s">
        <v>72</v>
      </c>
      <c r="AB498" t="s">
        <v>72</v>
      </c>
      <c r="AC498" t="s">
        <v>72</v>
      </c>
      <c r="AD498" t="s">
        <v>72</v>
      </c>
      <c r="AE498" t="s">
        <v>72</v>
      </c>
      <c r="AF498" t="s">
        <v>72</v>
      </c>
      <c r="AG498">
        <v>14</v>
      </c>
      <c r="AH498">
        <v>0</v>
      </c>
      <c r="AI498">
        <v>0</v>
      </c>
      <c r="AJ498">
        <v>0</v>
      </c>
      <c r="AK498">
        <v>0</v>
      </c>
      <c r="AL498" t="s">
        <v>2169</v>
      </c>
      <c r="AM498" t="s">
        <v>2170</v>
      </c>
      <c r="AN498" t="s">
        <v>2171</v>
      </c>
      <c r="AO498" t="s">
        <v>2172</v>
      </c>
      <c r="AP498" t="s">
        <v>2173</v>
      </c>
      <c r="AQ498" t="s">
        <v>72</v>
      </c>
      <c r="AR498" t="s">
        <v>2174</v>
      </c>
      <c r="AS498" t="s">
        <v>2175</v>
      </c>
      <c r="AT498" t="s">
        <v>929</v>
      </c>
      <c r="AU498">
        <v>2020</v>
      </c>
      <c r="AV498">
        <v>15</v>
      </c>
      <c r="AW498">
        <v>7</v>
      </c>
      <c r="AX498" t="s">
        <v>72</v>
      </c>
      <c r="AY498" t="s">
        <v>72</v>
      </c>
      <c r="AZ498" t="s">
        <v>478</v>
      </c>
      <c r="BA498" t="s">
        <v>72</v>
      </c>
      <c r="BB498">
        <v>959</v>
      </c>
      <c r="BC498">
        <v>968</v>
      </c>
      <c r="BD498" t="s">
        <v>72</v>
      </c>
      <c r="BE498" t="s">
        <v>72</v>
      </c>
      <c r="BF498" t="s">
        <v>72</v>
      </c>
      <c r="BG498" t="s">
        <v>72</v>
      </c>
      <c r="BH498" t="s">
        <v>72</v>
      </c>
      <c r="BI498">
        <v>10</v>
      </c>
      <c r="BJ498" t="s">
        <v>2177</v>
      </c>
      <c r="BK498" t="s">
        <v>2178</v>
      </c>
      <c r="BL498" t="s">
        <v>8665</v>
      </c>
      <c r="BM498" t="s">
        <v>72</v>
      </c>
      <c r="BN498" t="s">
        <v>72</v>
      </c>
      <c r="BO498" t="s">
        <v>72</v>
      </c>
      <c r="BP498" t="s">
        <v>72</v>
      </c>
      <c r="BQ498" t="s">
        <v>100</v>
      </c>
      <c r="BR498" t="s">
        <v>8666</v>
      </c>
      <c r="BS498" t="str">
        <f>HYPERLINK("https%3A%2F%2Fwww.webofscience.com%2Fwos%2Fwoscc%2Ffull-record%2FWOS:000595586500014","View Full Record in Web of Science")</f>
        <v>View Full Record in Web of Science</v>
      </c>
    </row>
    <row r="499" spans="1:71" hidden="1" x14ac:dyDescent="0.2">
      <c r="A499" t="s">
        <v>70</v>
      </c>
      <c r="B499" t="s">
        <v>9828</v>
      </c>
      <c r="C499" t="s">
        <v>72</v>
      </c>
      <c r="D499" t="s">
        <v>72</v>
      </c>
      <c r="E499" t="s">
        <v>72</v>
      </c>
      <c r="F499" t="s">
        <v>9829</v>
      </c>
      <c r="G499" t="s">
        <v>72</v>
      </c>
      <c r="H499" t="s">
        <v>72</v>
      </c>
      <c r="I499" t="s">
        <v>9830</v>
      </c>
      <c r="J499" t="s">
        <v>9831</v>
      </c>
      <c r="K499" t="s">
        <v>72</v>
      </c>
      <c r="L499" t="s">
        <v>72</v>
      </c>
      <c r="M499" t="s">
        <v>76</v>
      </c>
      <c r="N499" t="s">
        <v>77</v>
      </c>
      <c r="O499" t="s">
        <v>72</v>
      </c>
      <c r="P499" t="s">
        <v>72</v>
      </c>
      <c r="Q499" t="s">
        <v>72</v>
      </c>
      <c r="R499" t="s">
        <v>72</v>
      </c>
      <c r="S499" t="s">
        <v>72</v>
      </c>
      <c r="T499" t="s">
        <v>9832</v>
      </c>
      <c r="U499" t="s">
        <v>9833</v>
      </c>
      <c r="V499" t="s">
        <v>9834</v>
      </c>
      <c r="W499" t="s">
        <v>9835</v>
      </c>
      <c r="X499" t="s">
        <v>9836</v>
      </c>
      <c r="Y499" t="s">
        <v>9837</v>
      </c>
      <c r="Z499" t="s">
        <v>9838</v>
      </c>
      <c r="AA499" t="s">
        <v>9839</v>
      </c>
      <c r="AB499" t="s">
        <v>9840</v>
      </c>
      <c r="AC499" t="s">
        <v>9841</v>
      </c>
      <c r="AD499" t="s">
        <v>9842</v>
      </c>
      <c r="AE499" t="s">
        <v>9843</v>
      </c>
      <c r="AF499" t="s">
        <v>72</v>
      </c>
      <c r="AG499">
        <v>49</v>
      </c>
      <c r="AH499">
        <v>20</v>
      </c>
      <c r="AI499">
        <v>21</v>
      </c>
      <c r="AJ499">
        <v>10</v>
      </c>
      <c r="AK499">
        <v>36</v>
      </c>
      <c r="AL499" t="s">
        <v>9844</v>
      </c>
      <c r="AM499" t="s">
        <v>1657</v>
      </c>
      <c r="AN499" t="s">
        <v>9845</v>
      </c>
      <c r="AO499" t="s">
        <v>9846</v>
      </c>
      <c r="AP499" t="s">
        <v>72</v>
      </c>
      <c r="AQ499" t="s">
        <v>72</v>
      </c>
      <c r="AR499" t="s">
        <v>9847</v>
      </c>
      <c r="AS499" t="s">
        <v>9848</v>
      </c>
      <c r="AT499" t="s">
        <v>247</v>
      </c>
      <c r="AU499">
        <v>2019</v>
      </c>
      <c r="AV499">
        <v>11</v>
      </c>
      <c r="AW499">
        <v>1</v>
      </c>
      <c r="AX499" t="s">
        <v>72</v>
      </c>
      <c r="AY499" t="s">
        <v>72</v>
      </c>
      <c r="AZ499" t="s">
        <v>72</v>
      </c>
      <c r="BA499" t="s">
        <v>72</v>
      </c>
      <c r="BB499">
        <v>558</v>
      </c>
      <c r="BC499">
        <v>571</v>
      </c>
      <c r="BD499" t="s">
        <v>72</v>
      </c>
      <c r="BE499" t="s">
        <v>9849</v>
      </c>
      <c r="BF499" t="str">
        <f>HYPERLINK("http://dx.doi.org/10.1515/geo-2019-0046","http://dx.doi.org/10.1515/geo-2019-0046")</f>
        <v>http://dx.doi.org/10.1515/geo-2019-0046</v>
      </c>
      <c r="BG499" t="s">
        <v>72</v>
      </c>
      <c r="BH499" t="s">
        <v>72</v>
      </c>
      <c r="BI499">
        <v>14</v>
      </c>
      <c r="BJ499" t="s">
        <v>2177</v>
      </c>
      <c r="BK499" t="s">
        <v>2178</v>
      </c>
      <c r="BL499" t="s">
        <v>9850</v>
      </c>
      <c r="BM499" t="s">
        <v>72</v>
      </c>
      <c r="BN499" t="s">
        <v>222</v>
      </c>
      <c r="BO499" t="s">
        <v>72</v>
      </c>
      <c r="BP499" t="s">
        <v>72</v>
      </c>
      <c r="BQ499" t="s">
        <v>100</v>
      </c>
      <c r="BR499" t="s">
        <v>9851</v>
      </c>
      <c r="BS499" t="str">
        <f>HYPERLINK("https%3A%2F%2Fwww.webofscience.com%2Fwos%2Fwoscc%2Ffull-record%2FWOS:000493723700001","View Full Record in Web of Science")</f>
        <v>View Full Record in Web of Science</v>
      </c>
    </row>
    <row r="500" spans="1:71" hidden="1" x14ac:dyDescent="0.2">
      <c r="A500" t="s">
        <v>70</v>
      </c>
      <c r="B500" t="s">
        <v>3224</v>
      </c>
      <c r="C500" t="s">
        <v>72</v>
      </c>
      <c r="D500" t="s">
        <v>72</v>
      </c>
      <c r="E500" t="s">
        <v>72</v>
      </c>
      <c r="F500" t="s">
        <v>3225</v>
      </c>
      <c r="G500" t="s">
        <v>72</v>
      </c>
      <c r="H500" t="s">
        <v>72</v>
      </c>
      <c r="I500" t="s">
        <v>3226</v>
      </c>
      <c r="J500" t="s">
        <v>3227</v>
      </c>
      <c r="K500" t="s">
        <v>72</v>
      </c>
      <c r="L500" t="s">
        <v>72</v>
      </c>
      <c r="M500" t="s">
        <v>76</v>
      </c>
      <c r="N500" t="s">
        <v>77</v>
      </c>
      <c r="O500" t="s">
        <v>72</v>
      </c>
      <c r="P500" t="s">
        <v>72</v>
      </c>
      <c r="Q500" t="s">
        <v>72</v>
      </c>
      <c r="R500" t="s">
        <v>72</v>
      </c>
      <c r="S500" t="s">
        <v>72</v>
      </c>
      <c r="T500" t="s">
        <v>3228</v>
      </c>
      <c r="U500" t="s">
        <v>72</v>
      </c>
      <c r="V500" t="s">
        <v>3229</v>
      </c>
      <c r="W500" t="s">
        <v>3230</v>
      </c>
      <c r="X500" t="s">
        <v>3231</v>
      </c>
      <c r="Y500" t="s">
        <v>3232</v>
      </c>
      <c r="Z500" t="s">
        <v>3233</v>
      </c>
      <c r="AA500" t="s">
        <v>72</v>
      </c>
      <c r="AB500" t="s">
        <v>3234</v>
      </c>
      <c r="AC500" t="s">
        <v>3235</v>
      </c>
      <c r="AD500" t="s">
        <v>3235</v>
      </c>
      <c r="AE500" t="s">
        <v>3236</v>
      </c>
      <c r="AF500" t="s">
        <v>72</v>
      </c>
      <c r="AG500">
        <v>29</v>
      </c>
      <c r="AH500">
        <v>15</v>
      </c>
      <c r="AI500">
        <v>15</v>
      </c>
      <c r="AJ500">
        <v>6</v>
      </c>
      <c r="AK500">
        <v>16</v>
      </c>
      <c r="AL500" t="s">
        <v>924</v>
      </c>
      <c r="AM500" t="s">
        <v>168</v>
      </c>
      <c r="AN500" t="s">
        <v>925</v>
      </c>
      <c r="AO500" t="s">
        <v>3237</v>
      </c>
      <c r="AP500" t="s">
        <v>3238</v>
      </c>
      <c r="AQ500" t="s">
        <v>72</v>
      </c>
      <c r="AR500" t="s">
        <v>3239</v>
      </c>
      <c r="AS500" t="s">
        <v>3240</v>
      </c>
      <c r="AT500" t="s">
        <v>639</v>
      </c>
      <c r="AU500">
        <v>2019</v>
      </c>
      <c r="AV500">
        <v>111</v>
      </c>
      <c r="AW500" t="s">
        <v>72</v>
      </c>
      <c r="AX500" t="s">
        <v>72</v>
      </c>
      <c r="AY500" t="s">
        <v>72</v>
      </c>
      <c r="AZ500" t="s">
        <v>72</v>
      </c>
      <c r="BA500" t="s">
        <v>72</v>
      </c>
      <c r="BB500" t="s">
        <v>72</v>
      </c>
      <c r="BC500" t="s">
        <v>72</v>
      </c>
      <c r="BD500" t="s">
        <v>3241</v>
      </c>
      <c r="BE500" t="s">
        <v>3242</v>
      </c>
      <c r="BF500" t="str">
        <f>HYPERLINK("http://dx.doi.org/10.1016/j.oregeorev.2019.05.005","http://dx.doi.org/10.1016/j.oregeorev.2019.05.005")</f>
        <v>http://dx.doi.org/10.1016/j.oregeorev.2019.05.005</v>
      </c>
      <c r="BG500" t="s">
        <v>72</v>
      </c>
      <c r="BH500" t="s">
        <v>72</v>
      </c>
      <c r="BI500">
        <v>11</v>
      </c>
      <c r="BJ500" t="s">
        <v>3243</v>
      </c>
      <c r="BK500" t="s">
        <v>3243</v>
      </c>
      <c r="BL500" t="s">
        <v>3244</v>
      </c>
      <c r="BM500" t="s">
        <v>72</v>
      </c>
      <c r="BN500" t="s">
        <v>72</v>
      </c>
      <c r="BO500" t="s">
        <v>72</v>
      </c>
      <c r="BP500" t="s">
        <v>72</v>
      </c>
      <c r="BQ500" t="s">
        <v>100</v>
      </c>
      <c r="BR500" t="s">
        <v>3245</v>
      </c>
      <c r="BS500" t="str">
        <f>HYPERLINK("https%3A%2F%2Fwww.webofscience.com%2Fwos%2Fwoscc%2Ffull-record%2FWOS:000484869200044","View Full Record in Web of Science")</f>
        <v>View Full Record in Web of Science</v>
      </c>
    </row>
    <row r="501" spans="1:71" hidden="1" x14ac:dyDescent="0.2">
      <c r="A501" t="s">
        <v>70</v>
      </c>
      <c r="B501" t="s">
        <v>16107</v>
      </c>
      <c r="C501" t="s">
        <v>72</v>
      </c>
      <c r="D501" t="s">
        <v>72</v>
      </c>
      <c r="E501" t="s">
        <v>72</v>
      </c>
      <c r="F501" t="s">
        <v>16108</v>
      </c>
      <c r="G501" t="s">
        <v>72</v>
      </c>
      <c r="H501" t="s">
        <v>72</v>
      </c>
      <c r="I501" t="s">
        <v>17212</v>
      </c>
      <c r="J501" t="s">
        <v>17213</v>
      </c>
      <c r="K501" t="s">
        <v>72</v>
      </c>
      <c r="L501" t="s">
        <v>72</v>
      </c>
      <c r="M501" t="s">
        <v>76</v>
      </c>
      <c r="N501" t="s">
        <v>77</v>
      </c>
      <c r="O501" t="s">
        <v>72</v>
      </c>
      <c r="P501" t="s">
        <v>72</v>
      </c>
      <c r="Q501" t="s">
        <v>72</v>
      </c>
      <c r="R501" t="s">
        <v>72</v>
      </c>
      <c r="S501" t="s">
        <v>72</v>
      </c>
      <c r="T501" t="s">
        <v>17214</v>
      </c>
      <c r="U501" t="s">
        <v>17215</v>
      </c>
      <c r="V501" t="s">
        <v>17216</v>
      </c>
      <c r="W501" t="s">
        <v>17217</v>
      </c>
      <c r="X501" t="s">
        <v>16114</v>
      </c>
      <c r="Y501" t="s">
        <v>17218</v>
      </c>
      <c r="Z501" t="s">
        <v>16913</v>
      </c>
      <c r="AA501" t="s">
        <v>16116</v>
      </c>
      <c r="AB501" t="s">
        <v>16117</v>
      </c>
      <c r="AC501" t="s">
        <v>17219</v>
      </c>
      <c r="AD501" t="s">
        <v>17220</v>
      </c>
      <c r="AE501" t="s">
        <v>17221</v>
      </c>
      <c r="AF501" t="s">
        <v>72</v>
      </c>
      <c r="AG501">
        <v>41</v>
      </c>
      <c r="AH501">
        <v>9</v>
      </c>
      <c r="AI501">
        <v>9</v>
      </c>
      <c r="AJ501">
        <v>2</v>
      </c>
      <c r="AK501">
        <v>7</v>
      </c>
      <c r="AL501" t="s">
        <v>1260</v>
      </c>
      <c r="AM501" t="s">
        <v>964</v>
      </c>
      <c r="AN501" t="s">
        <v>965</v>
      </c>
      <c r="AO501" t="s">
        <v>17222</v>
      </c>
      <c r="AP501" t="s">
        <v>17223</v>
      </c>
      <c r="AQ501" t="s">
        <v>72</v>
      </c>
      <c r="AR501" t="s">
        <v>17224</v>
      </c>
      <c r="AS501" t="s">
        <v>17225</v>
      </c>
      <c r="AT501" t="s">
        <v>247</v>
      </c>
      <c r="AU501">
        <v>2022</v>
      </c>
      <c r="AV501">
        <v>70</v>
      </c>
      <c r="AW501">
        <v>1</v>
      </c>
      <c r="AX501" t="s">
        <v>72</v>
      </c>
      <c r="AY501" t="s">
        <v>72</v>
      </c>
      <c r="AZ501" t="s">
        <v>72</v>
      </c>
      <c r="BA501" t="s">
        <v>72</v>
      </c>
      <c r="BB501">
        <v>60</v>
      </c>
      <c r="BC501">
        <v>66</v>
      </c>
      <c r="BD501" t="s">
        <v>72</v>
      </c>
      <c r="BE501" t="s">
        <v>17226</v>
      </c>
      <c r="BF501" t="str">
        <f>HYPERLINK("http://dx.doi.org/10.1111/jgs.17532","http://dx.doi.org/10.1111/jgs.17532")</f>
        <v>http://dx.doi.org/10.1111/jgs.17532</v>
      </c>
      <c r="BG501" t="s">
        <v>72</v>
      </c>
      <c r="BH501" t="s">
        <v>1288</v>
      </c>
      <c r="BI501">
        <v>7</v>
      </c>
      <c r="BJ501" t="s">
        <v>17227</v>
      </c>
      <c r="BK501" t="s">
        <v>17228</v>
      </c>
      <c r="BL501" t="s">
        <v>17229</v>
      </c>
      <c r="BM501">
        <v>34674224</v>
      </c>
      <c r="BN501" t="s">
        <v>1128</v>
      </c>
      <c r="BO501" t="s">
        <v>72</v>
      </c>
      <c r="BP501" t="s">
        <v>72</v>
      </c>
      <c r="BQ501" t="s">
        <v>100</v>
      </c>
      <c r="BR501" t="s">
        <v>17230</v>
      </c>
      <c r="BS501" t="str">
        <f>HYPERLINK("https%3A%2F%2Fwww.webofscience.com%2Fwos%2Fwoscc%2Ffull-record%2FWOS:000734106700001","View Full Record in Web of Science")</f>
        <v>View Full Record in Web of Science</v>
      </c>
    </row>
    <row r="502" spans="1:71" hidden="1" x14ac:dyDescent="0.2">
      <c r="A502" t="s">
        <v>70</v>
      </c>
      <c r="B502" t="s">
        <v>16107</v>
      </c>
      <c r="C502" t="s">
        <v>72</v>
      </c>
      <c r="D502" t="s">
        <v>72</v>
      </c>
      <c r="E502" t="s">
        <v>72</v>
      </c>
      <c r="F502" t="s">
        <v>16108</v>
      </c>
      <c r="G502" t="s">
        <v>72</v>
      </c>
      <c r="H502" t="s">
        <v>72</v>
      </c>
      <c r="I502" t="s">
        <v>17231</v>
      </c>
      <c r="J502" t="s">
        <v>17232</v>
      </c>
      <c r="K502" t="s">
        <v>72</v>
      </c>
      <c r="L502" t="s">
        <v>72</v>
      </c>
      <c r="M502" t="s">
        <v>76</v>
      </c>
      <c r="N502" t="s">
        <v>77</v>
      </c>
      <c r="O502" t="s">
        <v>72</v>
      </c>
      <c r="P502" t="s">
        <v>72</v>
      </c>
      <c r="Q502" t="s">
        <v>72</v>
      </c>
      <c r="R502" t="s">
        <v>72</v>
      </c>
      <c r="S502" t="s">
        <v>72</v>
      </c>
      <c r="T502" t="s">
        <v>17233</v>
      </c>
      <c r="U502" t="s">
        <v>17234</v>
      </c>
      <c r="V502" t="s">
        <v>17235</v>
      </c>
      <c r="W502" t="s">
        <v>17236</v>
      </c>
      <c r="X502" t="s">
        <v>16114</v>
      </c>
      <c r="Y502" t="s">
        <v>17237</v>
      </c>
      <c r="Z502" t="s">
        <v>16913</v>
      </c>
      <c r="AA502" t="s">
        <v>16116</v>
      </c>
      <c r="AB502" t="s">
        <v>16117</v>
      </c>
      <c r="AC502" t="s">
        <v>16916</v>
      </c>
      <c r="AD502" t="s">
        <v>16917</v>
      </c>
      <c r="AE502" t="s">
        <v>17238</v>
      </c>
      <c r="AF502" t="s">
        <v>72</v>
      </c>
      <c r="AG502">
        <v>73</v>
      </c>
      <c r="AH502">
        <v>11</v>
      </c>
      <c r="AI502">
        <v>11</v>
      </c>
      <c r="AJ502">
        <v>0</v>
      </c>
      <c r="AK502">
        <v>4</v>
      </c>
      <c r="AL502" t="s">
        <v>142</v>
      </c>
      <c r="AM502" t="s">
        <v>143</v>
      </c>
      <c r="AN502" t="s">
        <v>144</v>
      </c>
      <c r="AO502" t="s">
        <v>17239</v>
      </c>
      <c r="AP502" t="s">
        <v>17240</v>
      </c>
      <c r="AQ502" t="s">
        <v>72</v>
      </c>
      <c r="AR502" t="s">
        <v>17232</v>
      </c>
      <c r="AS502" t="s">
        <v>17241</v>
      </c>
      <c r="AT502" t="s">
        <v>11215</v>
      </c>
      <c r="AU502">
        <v>2021</v>
      </c>
      <c r="AV502">
        <v>62</v>
      </c>
      <c r="AW502">
        <v>4</v>
      </c>
      <c r="AX502" t="s">
        <v>72</v>
      </c>
      <c r="AY502" t="s">
        <v>72</v>
      </c>
      <c r="AZ502" t="s">
        <v>72</v>
      </c>
      <c r="BA502" t="s">
        <v>72</v>
      </c>
      <c r="BB502">
        <v>589</v>
      </c>
      <c r="BC502">
        <v>597</v>
      </c>
      <c r="BD502" t="s">
        <v>72</v>
      </c>
      <c r="BE502" t="s">
        <v>17242</v>
      </c>
      <c r="BF502" t="str">
        <f>HYPERLINK("http://dx.doi.org/10.1093/geront/gnab108","http://dx.doi.org/10.1093/geront/gnab108")</f>
        <v>http://dx.doi.org/10.1093/geront/gnab108</v>
      </c>
      <c r="BG502" t="s">
        <v>72</v>
      </c>
      <c r="BH502" t="s">
        <v>1792</v>
      </c>
      <c r="BI502">
        <v>9</v>
      </c>
      <c r="BJ502" t="s">
        <v>17243</v>
      </c>
      <c r="BK502" t="s">
        <v>17228</v>
      </c>
      <c r="BL502" t="s">
        <v>17244</v>
      </c>
      <c r="BM502">
        <v>34323967</v>
      </c>
      <c r="BN502" t="s">
        <v>346</v>
      </c>
      <c r="BO502" t="s">
        <v>72</v>
      </c>
      <c r="BP502" t="s">
        <v>72</v>
      </c>
      <c r="BQ502" t="s">
        <v>100</v>
      </c>
      <c r="BR502" t="s">
        <v>17245</v>
      </c>
      <c r="BS502" t="str">
        <f>HYPERLINK("https%3A%2F%2Fwww.webofscience.com%2Fwos%2Fwoscc%2Ffull-record%2FWOS:000756634400001","View Full Record in Web of Science")</f>
        <v>View Full Record in Web of Science</v>
      </c>
    </row>
    <row r="503" spans="1:71" hidden="1" x14ac:dyDescent="0.2">
      <c r="A503" t="s">
        <v>70</v>
      </c>
      <c r="B503" t="s">
        <v>17339</v>
      </c>
      <c r="C503" t="s">
        <v>72</v>
      </c>
      <c r="D503" t="s">
        <v>72</v>
      </c>
      <c r="E503" t="s">
        <v>72</v>
      </c>
      <c r="F503" t="s">
        <v>17340</v>
      </c>
      <c r="G503" t="s">
        <v>72</v>
      </c>
      <c r="H503" t="s">
        <v>72</v>
      </c>
      <c r="I503" t="s">
        <v>17341</v>
      </c>
      <c r="J503" t="s">
        <v>17232</v>
      </c>
      <c r="K503" t="s">
        <v>72</v>
      </c>
      <c r="L503" t="s">
        <v>72</v>
      </c>
      <c r="M503" t="s">
        <v>76</v>
      </c>
      <c r="N503" t="s">
        <v>77</v>
      </c>
      <c r="O503" t="s">
        <v>72</v>
      </c>
      <c r="P503" t="s">
        <v>72</v>
      </c>
      <c r="Q503" t="s">
        <v>72</v>
      </c>
      <c r="R503" t="s">
        <v>72</v>
      </c>
      <c r="S503" t="s">
        <v>72</v>
      </c>
      <c r="T503" t="s">
        <v>17342</v>
      </c>
      <c r="U503" t="s">
        <v>17343</v>
      </c>
      <c r="V503" t="s">
        <v>17344</v>
      </c>
      <c r="W503" t="s">
        <v>17345</v>
      </c>
      <c r="X503" t="s">
        <v>16114</v>
      </c>
      <c r="Y503" t="s">
        <v>17237</v>
      </c>
      <c r="Z503" t="s">
        <v>16913</v>
      </c>
      <c r="AA503" t="s">
        <v>16914</v>
      </c>
      <c r="AB503" t="s">
        <v>16915</v>
      </c>
      <c r="AC503" t="s">
        <v>17346</v>
      </c>
      <c r="AD503" t="s">
        <v>17347</v>
      </c>
      <c r="AE503" t="s">
        <v>17348</v>
      </c>
      <c r="AF503" t="s">
        <v>72</v>
      </c>
      <c r="AG503">
        <v>70</v>
      </c>
      <c r="AH503">
        <v>5</v>
      </c>
      <c r="AI503">
        <v>5</v>
      </c>
      <c r="AJ503">
        <v>17</v>
      </c>
      <c r="AK503">
        <v>22</v>
      </c>
      <c r="AL503" t="s">
        <v>142</v>
      </c>
      <c r="AM503" t="s">
        <v>143</v>
      </c>
      <c r="AN503" t="s">
        <v>144</v>
      </c>
      <c r="AO503" t="s">
        <v>17239</v>
      </c>
      <c r="AP503" t="s">
        <v>17240</v>
      </c>
      <c r="AQ503" t="s">
        <v>72</v>
      </c>
      <c r="AR503" t="s">
        <v>17232</v>
      </c>
      <c r="AS503" t="s">
        <v>17241</v>
      </c>
      <c r="AT503" t="s">
        <v>17349</v>
      </c>
      <c r="AU503">
        <v>2022</v>
      </c>
      <c r="AV503">
        <v>62</v>
      </c>
      <c r="AW503">
        <v>4</v>
      </c>
      <c r="AX503" t="s">
        <v>72</v>
      </c>
      <c r="AY503" t="s">
        <v>72</v>
      </c>
      <c r="AZ503" t="s">
        <v>72</v>
      </c>
      <c r="BA503" t="s">
        <v>72</v>
      </c>
      <c r="BB503">
        <v>598</v>
      </c>
      <c r="BC503">
        <v>606</v>
      </c>
      <c r="BD503" t="s">
        <v>72</v>
      </c>
      <c r="BE503" t="s">
        <v>17350</v>
      </c>
      <c r="BF503" t="str">
        <f>HYPERLINK("http://dx.doi.org/10.1093/geront/gnab151","http://dx.doi.org/10.1093/geront/gnab151")</f>
        <v>http://dx.doi.org/10.1093/geront/gnab151</v>
      </c>
      <c r="BG503" t="s">
        <v>72</v>
      </c>
      <c r="BH503" t="s">
        <v>1832</v>
      </c>
      <c r="BI503">
        <v>9</v>
      </c>
      <c r="BJ503" t="s">
        <v>17243</v>
      </c>
      <c r="BK503" t="s">
        <v>17228</v>
      </c>
      <c r="BL503" t="s">
        <v>17351</v>
      </c>
      <c r="BM503">
        <v>34636402</v>
      </c>
      <c r="BN503" t="s">
        <v>346</v>
      </c>
      <c r="BO503" t="s">
        <v>72</v>
      </c>
      <c r="BP503" t="s">
        <v>72</v>
      </c>
      <c r="BQ503" t="s">
        <v>100</v>
      </c>
      <c r="BR503" t="s">
        <v>17352</v>
      </c>
      <c r="BS503" t="str">
        <f>HYPERLINK("https%3A%2F%2Fwww.webofscience.com%2Fwos%2Fwoscc%2Ffull-record%2FWOS:000790299200001","View Full Record in Web of Science")</f>
        <v>View Full Record in Web of Science</v>
      </c>
    </row>
    <row r="504" spans="1:71" hidden="1" x14ac:dyDescent="0.2">
      <c r="A504" t="s">
        <v>70</v>
      </c>
      <c r="B504" t="s">
        <v>17353</v>
      </c>
      <c r="C504" t="s">
        <v>72</v>
      </c>
      <c r="D504" t="s">
        <v>72</v>
      </c>
      <c r="E504" t="s">
        <v>72</v>
      </c>
      <c r="F504" t="s">
        <v>17340</v>
      </c>
      <c r="G504" t="s">
        <v>72</v>
      </c>
      <c r="H504" t="s">
        <v>72</v>
      </c>
      <c r="I504" t="s">
        <v>17354</v>
      </c>
      <c r="J504" t="s">
        <v>17355</v>
      </c>
      <c r="K504" t="s">
        <v>72</v>
      </c>
      <c r="L504" t="s">
        <v>72</v>
      </c>
      <c r="M504" t="s">
        <v>76</v>
      </c>
      <c r="N504" t="s">
        <v>77</v>
      </c>
      <c r="O504" t="s">
        <v>72</v>
      </c>
      <c r="P504" t="s">
        <v>72</v>
      </c>
      <c r="Q504" t="s">
        <v>72</v>
      </c>
      <c r="R504" t="s">
        <v>72</v>
      </c>
      <c r="S504" t="s">
        <v>72</v>
      </c>
      <c r="T504" t="s">
        <v>17356</v>
      </c>
      <c r="U504" t="s">
        <v>17357</v>
      </c>
      <c r="V504" t="s">
        <v>17358</v>
      </c>
      <c r="W504" t="s">
        <v>17359</v>
      </c>
      <c r="X504" t="s">
        <v>16114</v>
      </c>
      <c r="Y504" t="s">
        <v>17237</v>
      </c>
      <c r="Z504" t="s">
        <v>16913</v>
      </c>
      <c r="AA504" t="s">
        <v>16914</v>
      </c>
      <c r="AB504" t="s">
        <v>16915</v>
      </c>
      <c r="AC504" t="s">
        <v>17360</v>
      </c>
      <c r="AD504" t="s">
        <v>16917</v>
      </c>
      <c r="AE504" t="s">
        <v>17361</v>
      </c>
      <c r="AF504" t="s">
        <v>72</v>
      </c>
      <c r="AG504">
        <v>59</v>
      </c>
      <c r="AH504">
        <v>24</v>
      </c>
      <c r="AI504">
        <v>24</v>
      </c>
      <c r="AJ504">
        <v>5</v>
      </c>
      <c r="AK504">
        <v>13</v>
      </c>
      <c r="AL504" t="s">
        <v>142</v>
      </c>
      <c r="AM504" t="s">
        <v>143</v>
      </c>
      <c r="AN504" t="s">
        <v>144</v>
      </c>
      <c r="AO504" t="s">
        <v>17362</v>
      </c>
      <c r="AP504" t="s">
        <v>17363</v>
      </c>
      <c r="AQ504" t="s">
        <v>72</v>
      </c>
      <c r="AR504" t="s">
        <v>17364</v>
      </c>
      <c r="AS504" t="s">
        <v>17365</v>
      </c>
      <c r="AT504" t="s">
        <v>951</v>
      </c>
      <c r="AU504">
        <v>2021</v>
      </c>
      <c r="AV504">
        <v>76</v>
      </c>
      <c r="AW504">
        <v>9</v>
      </c>
      <c r="AX504" t="s">
        <v>72</v>
      </c>
      <c r="AY504" t="s">
        <v>72</v>
      </c>
      <c r="AZ504" t="s">
        <v>72</v>
      </c>
      <c r="BA504" t="s">
        <v>72</v>
      </c>
      <c r="BB504">
        <v>1808</v>
      </c>
      <c r="BC504">
        <v>1816</v>
      </c>
      <c r="BD504" t="s">
        <v>72</v>
      </c>
      <c r="BE504" t="s">
        <v>17366</v>
      </c>
      <c r="BF504" t="str">
        <f>HYPERLINK("http://dx.doi.org/10.1093/geronb/gbab057","http://dx.doi.org/10.1093/geronb/gbab057")</f>
        <v>http://dx.doi.org/10.1093/geronb/gbab057</v>
      </c>
      <c r="BG504" t="s">
        <v>72</v>
      </c>
      <c r="BH504" t="s">
        <v>397</v>
      </c>
      <c r="BI504">
        <v>9</v>
      </c>
      <c r="BJ504" t="s">
        <v>17367</v>
      </c>
      <c r="BK504" t="s">
        <v>17368</v>
      </c>
      <c r="BL504" t="s">
        <v>17369</v>
      </c>
      <c r="BM504">
        <v>33786581</v>
      </c>
      <c r="BN504" t="s">
        <v>346</v>
      </c>
      <c r="BO504" t="s">
        <v>72</v>
      </c>
      <c r="BP504" t="s">
        <v>72</v>
      </c>
      <c r="BQ504" t="s">
        <v>100</v>
      </c>
      <c r="BR504" t="s">
        <v>17370</v>
      </c>
      <c r="BS504" t="str">
        <f>HYPERLINK("https%3A%2F%2Fwww.webofscience.com%2Fwos%2Fwoscc%2Ffull-record%2FWOS:000745710100013","View Full Record in Web of Science")</f>
        <v>View Full Record in Web of Science</v>
      </c>
    </row>
    <row r="505" spans="1:71" x14ac:dyDescent="0.2">
      <c r="A505" t="s">
        <v>70</v>
      </c>
      <c r="B505" t="s">
        <v>203</v>
      </c>
      <c r="C505" t="s">
        <v>72</v>
      </c>
      <c r="D505" t="s">
        <v>72</v>
      </c>
      <c r="E505" t="s">
        <v>72</v>
      </c>
      <c r="F505" t="s">
        <v>204</v>
      </c>
      <c r="G505" t="s">
        <v>72</v>
      </c>
      <c r="H505" t="s">
        <v>72</v>
      </c>
      <c r="I505" t="s">
        <v>205</v>
      </c>
      <c r="J505" t="s">
        <v>206</v>
      </c>
      <c r="K505" t="s">
        <v>72</v>
      </c>
      <c r="L505" t="s">
        <v>72</v>
      </c>
      <c r="M505" t="s">
        <v>76</v>
      </c>
      <c r="N505" t="s">
        <v>77</v>
      </c>
      <c r="O505" t="s">
        <v>72</v>
      </c>
      <c r="P505" t="s">
        <v>72</v>
      </c>
      <c r="Q505" t="s">
        <v>72</v>
      </c>
      <c r="R505" t="s">
        <v>72</v>
      </c>
      <c r="S505" t="s">
        <v>72</v>
      </c>
      <c r="T505" t="s">
        <v>207</v>
      </c>
      <c r="U505" t="s">
        <v>208</v>
      </c>
      <c r="V505" t="s">
        <v>209</v>
      </c>
      <c r="W505" t="s">
        <v>210</v>
      </c>
      <c r="X505" t="s">
        <v>211</v>
      </c>
      <c r="Y505" t="s">
        <v>212</v>
      </c>
      <c r="Z505" t="s">
        <v>213</v>
      </c>
      <c r="AA505" t="s">
        <v>72</v>
      </c>
      <c r="AB505" t="s">
        <v>214</v>
      </c>
      <c r="AC505" t="s">
        <v>72</v>
      </c>
      <c r="AD505" t="s">
        <v>72</v>
      </c>
      <c r="AE505" t="s">
        <v>72</v>
      </c>
      <c r="AF505" t="s">
        <v>72</v>
      </c>
      <c r="AG505">
        <v>15</v>
      </c>
      <c r="AH505">
        <v>0</v>
      </c>
      <c r="AI505">
        <v>0</v>
      </c>
      <c r="AJ505">
        <v>0</v>
      </c>
      <c r="AK505">
        <v>1</v>
      </c>
      <c r="AL505" t="s">
        <v>190</v>
      </c>
      <c r="AM505" t="s">
        <v>191</v>
      </c>
      <c r="AN505" t="s">
        <v>192</v>
      </c>
      <c r="AO505" t="s">
        <v>72</v>
      </c>
      <c r="AP505" t="s">
        <v>215</v>
      </c>
      <c r="AQ505" t="s">
        <v>72</v>
      </c>
      <c r="AR505" t="s">
        <v>216</v>
      </c>
      <c r="AS505" t="s">
        <v>217</v>
      </c>
      <c r="AT505" t="s">
        <v>149</v>
      </c>
      <c r="AU505">
        <v>2020</v>
      </c>
      <c r="AV505">
        <v>7</v>
      </c>
      <c r="AW505">
        <v>2</v>
      </c>
      <c r="AX505" t="s">
        <v>72</v>
      </c>
      <c r="AY505" t="s">
        <v>72</v>
      </c>
      <c r="AZ505" t="s">
        <v>72</v>
      </c>
      <c r="BA505" t="s">
        <v>72</v>
      </c>
      <c r="BB505" t="s">
        <v>72</v>
      </c>
      <c r="BC505" t="s">
        <v>72</v>
      </c>
      <c r="BD505">
        <v>2053168020921742</v>
      </c>
      <c r="BE505" t="s">
        <v>218</v>
      </c>
      <c r="BF505" t="str">
        <f>HYPERLINK("http://dx.doi.org/10.1177/2053168020921742","http://dx.doi.org/10.1177/2053168020921742")</f>
        <v>http://dx.doi.org/10.1177/2053168020921742</v>
      </c>
      <c r="BG505" t="s">
        <v>72</v>
      </c>
      <c r="BH505" t="s">
        <v>72</v>
      </c>
      <c r="BI505">
        <v>8</v>
      </c>
      <c r="BJ505" t="s">
        <v>219</v>
      </c>
      <c r="BK505" s="1" t="s">
        <v>17619</v>
      </c>
      <c r="BL505" t="s">
        <v>221</v>
      </c>
      <c r="BM505" t="s">
        <v>72</v>
      </c>
      <c r="BN505" t="s">
        <v>222</v>
      </c>
      <c r="BO505" t="s">
        <v>72</v>
      </c>
      <c r="BP505" t="s">
        <v>72</v>
      </c>
      <c r="BQ505" t="s">
        <v>100</v>
      </c>
      <c r="BR505" t="s">
        <v>223</v>
      </c>
      <c r="BS505" t="str">
        <f>HYPERLINK("https%3A%2F%2Fwww.webofscience.com%2Fwos%2Fwoscc%2Ffull-record%2FWOS:000539317700001","View Full Record in Web of Science")</f>
        <v>View Full Record in Web of Science</v>
      </c>
    </row>
    <row r="506" spans="1:71" x14ac:dyDescent="0.2">
      <c r="A506" t="s">
        <v>70</v>
      </c>
      <c r="B506" t="s">
        <v>224</v>
      </c>
      <c r="C506" t="s">
        <v>72</v>
      </c>
      <c r="D506" t="s">
        <v>72</v>
      </c>
      <c r="E506" t="s">
        <v>72</v>
      </c>
      <c r="F506" t="s">
        <v>225</v>
      </c>
      <c r="G506" t="s">
        <v>72</v>
      </c>
      <c r="H506" t="s">
        <v>72</v>
      </c>
      <c r="I506" t="s">
        <v>226</v>
      </c>
      <c r="J506" t="s">
        <v>227</v>
      </c>
      <c r="K506" t="s">
        <v>72</v>
      </c>
      <c r="L506" t="s">
        <v>72</v>
      </c>
      <c r="M506" t="s">
        <v>76</v>
      </c>
      <c r="N506" t="s">
        <v>77</v>
      </c>
      <c r="O506" t="s">
        <v>72</v>
      </c>
      <c r="P506" t="s">
        <v>72</v>
      </c>
      <c r="Q506" t="s">
        <v>72</v>
      </c>
      <c r="R506" t="s">
        <v>72</v>
      </c>
      <c r="S506" t="s">
        <v>72</v>
      </c>
      <c r="T506" t="s">
        <v>228</v>
      </c>
      <c r="U506" t="s">
        <v>229</v>
      </c>
      <c r="V506" t="s">
        <v>230</v>
      </c>
      <c r="W506" t="s">
        <v>231</v>
      </c>
      <c r="X506" t="s">
        <v>232</v>
      </c>
      <c r="Y506" t="s">
        <v>233</v>
      </c>
      <c r="Z506" t="s">
        <v>234</v>
      </c>
      <c r="AA506" t="s">
        <v>235</v>
      </c>
      <c r="AB506" t="s">
        <v>236</v>
      </c>
      <c r="AC506" t="s">
        <v>237</v>
      </c>
      <c r="AD506" t="s">
        <v>238</v>
      </c>
      <c r="AE506" t="s">
        <v>239</v>
      </c>
      <c r="AF506" t="s">
        <v>72</v>
      </c>
      <c r="AG506">
        <v>44</v>
      </c>
      <c r="AH506">
        <v>29</v>
      </c>
      <c r="AI506">
        <v>29</v>
      </c>
      <c r="AJ506">
        <v>11</v>
      </c>
      <c r="AK506">
        <v>42</v>
      </c>
      <c r="AL506" t="s">
        <v>240</v>
      </c>
      <c r="AM506" t="s">
        <v>241</v>
      </c>
      <c r="AN506" t="s">
        <v>242</v>
      </c>
      <c r="AO506" t="s">
        <v>243</v>
      </c>
      <c r="AP506" t="s">
        <v>244</v>
      </c>
      <c r="AQ506" t="s">
        <v>72</v>
      </c>
      <c r="AR506" t="s">
        <v>245</v>
      </c>
      <c r="AS506" t="s">
        <v>246</v>
      </c>
      <c r="AT506" t="s">
        <v>247</v>
      </c>
      <c r="AU506">
        <v>2021</v>
      </c>
      <c r="AV506">
        <v>29</v>
      </c>
      <c r="AW506">
        <v>1</v>
      </c>
      <c r="AX506" t="s">
        <v>72</v>
      </c>
      <c r="AY506" t="s">
        <v>72</v>
      </c>
      <c r="AZ506" t="s">
        <v>72</v>
      </c>
      <c r="BA506" t="s">
        <v>72</v>
      </c>
      <c r="BB506">
        <v>19</v>
      </c>
      <c r="BC506">
        <v>42</v>
      </c>
      <c r="BD506" t="s">
        <v>248</v>
      </c>
      <c r="BE506" t="s">
        <v>249</v>
      </c>
      <c r="BF506" t="str">
        <f>HYPERLINK("http://dx.doi.org/10.1017/pan.2020.8","http://dx.doi.org/10.1017/pan.2020.8")</f>
        <v>http://dx.doi.org/10.1017/pan.2020.8</v>
      </c>
      <c r="BG506" t="s">
        <v>72</v>
      </c>
      <c r="BH506" t="s">
        <v>72</v>
      </c>
      <c r="BI506">
        <v>24</v>
      </c>
      <c r="BJ506" t="s">
        <v>219</v>
      </c>
      <c r="BK506" s="1" t="s">
        <v>17619</v>
      </c>
      <c r="BL506" t="s">
        <v>250</v>
      </c>
      <c r="BM506" t="s">
        <v>72</v>
      </c>
      <c r="BN506" t="s">
        <v>251</v>
      </c>
      <c r="BO506" t="s">
        <v>72</v>
      </c>
      <c r="BP506" t="s">
        <v>72</v>
      </c>
      <c r="BQ506" t="s">
        <v>100</v>
      </c>
      <c r="BR506" t="s">
        <v>252</v>
      </c>
      <c r="BS506" t="str">
        <f>HYPERLINK("https%3A%2F%2Fwww.webofscience.com%2Fwos%2Fwoscc%2Ffull-record%2FWOS:000596806500002","View Full Record in Web of Science")</f>
        <v>View Full Record in Web of Science</v>
      </c>
    </row>
    <row r="507" spans="1:71" x14ac:dyDescent="0.2">
      <c r="A507" t="s">
        <v>70</v>
      </c>
      <c r="B507" t="s">
        <v>418</v>
      </c>
      <c r="C507" t="s">
        <v>72</v>
      </c>
      <c r="D507" t="s">
        <v>72</v>
      </c>
      <c r="E507" t="s">
        <v>72</v>
      </c>
      <c r="F507" t="s">
        <v>419</v>
      </c>
      <c r="G507" t="s">
        <v>72</v>
      </c>
      <c r="H507" t="s">
        <v>72</v>
      </c>
      <c r="I507" t="s">
        <v>420</v>
      </c>
      <c r="J507" t="s">
        <v>421</v>
      </c>
      <c r="K507" t="s">
        <v>72</v>
      </c>
      <c r="L507" t="s">
        <v>72</v>
      </c>
      <c r="M507" t="s">
        <v>76</v>
      </c>
      <c r="N507" t="s">
        <v>77</v>
      </c>
      <c r="O507" t="s">
        <v>72</v>
      </c>
      <c r="P507" t="s">
        <v>72</v>
      </c>
      <c r="Q507" t="s">
        <v>72</v>
      </c>
      <c r="R507" t="s">
        <v>72</v>
      </c>
      <c r="S507" t="s">
        <v>72</v>
      </c>
      <c r="T507" t="s">
        <v>422</v>
      </c>
      <c r="U507" t="s">
        <v>423</v>
      </c>
      <c r="V507" t="s">
        <v>424</v>
      </c>
      <c r="W507" t="s">
        <v>425</v>
      </c>
      <c r="X507" t="s">
        <v>426</v>
      </c>
      <c r="Y507" t="s">
        <v>427</v>
      </c>
      <c r="Z507" t="s">
        <v>428</v>
      </c>
      <c r="AA507" t="s">
        <v>429</v>
      </c>
      <c r="AB507" t="s">
        <v>430</v>
      </c>
      <c r="AC507" t="s">
        <v>72</v>
      </c>
      <c r="AD507" t="s">
        <v>72</v>
      </c>
      <c r="AE507" t="s">
        <v>72</v>
      </c>
      <c r="AF507" t="s">
        <v>72</v>
      </c>
      <c r="AG507">
        <v>48</v>
      </c>
      <c r="AH507">
        <v>0</v>
      </c>
      <c r="AI507">
        <v>0</v>
      </c>
      <c r="AJ507">
        <v>3</v>
      </c>
      <c r="AK507">
        <v>4</v>
      </c>
      <c r="AL507" t="s">
        <v>336</v>
      </c>
      <c r="AM507" t="s">
        <v>337</v>
      </c>
      <c r="AN507" t="s">
        <v>338</v>
      </c>
      <c r="AO507" t="s">
        <v>431</v>
      </c>
      <c r="AP507" t="s">
        <v>432</v>
      </c>
      <c r="AQ507" t="s">
        <v>72</v>
      </c>
      <c r="AR507" t="s">
        <v>433</v>
      </c>
      <c r="AS507" t="s">
        <v>434</v>
      </c>
      <c r="AT507" t="s">
        <v>149</v>
      </c>
      <c r="AU507">
        <v>2022</v>
      </c>
      <c r="AV507">
        <v>14</v>
      </c>
      <c r="AW507">
        <v>1</v>
      </c>
      <c r="AX507" t="s">
        <v>72</v>
      </c>
      <c r="AY507" t="s">
        <v>72</v>
      </c>
      <c r="AZ507" t="s">
        <v>72</v>
      </c>
      <c r="BA507" t="s">
        <v>72</v>
      </c>
      <c r="BB507">
        <v>120</v>
      </c>
      <c r="BC507">
        <v>140</v>
      </c>
      <c r="BD507" t="s">
        <v>72</v>
      </c>
      <c r="BE507" t="s">
        <v>435</v>
      </c>
      <c r="BF507" t="str">
        <f>HYPERLINK("http://dx.doi.org/10.1177/1866802X211034187","http://dx.doi.org/10.1177/1866802X211034187")</f>
        <v>http://dx.doi.org/10.1177/1866802X211034187</v>
      </c>
      <c r="BG507" t="s">
        <v>72</v>
      </c>
      <c r="BH507" t="s">
        <v>72</v>
      </c>
      <c r="BI507">
        <v>21</v>
      </c>
      <c r="BJ507" t="s">
        <v>219</v>
      </c>
      <c r="BK507" s="1" t="s">
        <v>17619</v>
      </c>
      <c r="BL507" t="s">
        <v>436</v>
      </c>
      <c r="BM507" t="s">
        <v>72</v>
      </c>
      <c r="BN507" t="s">
        <v>222</v>
      </c>
      <c r="BO507" t="s">
        <v>72</v>
      </c>
      <c r="BP507" t="s">
        <v>72</v>
      </c>
      <c r="BQ507" t="s">
        <v>100</v>
      </c>
      <c r="BR507" t="s">
        <v>437</v>
      </c>
      <c r="BS507" t="str">
        <f>HYPERLINK("https%3A%2F%2Fwww.webofscience.com%2Fwos%2Fwoscc%2Ffull-record%2FWOS:000776193600006","View Full Record in Web of Science")</f>
        <v>View Full Record in Web of Science</v>
      </c>
    </row>
    <row r="508" spans="1:71" x14ac:dyDescent="0.2">
      <c r="A508" t="s">
        <v>70</v>
      </c>
      <c r="B508" t="s">
        <v>485</v>
      </c>
      <c r="C508" t="s">
        <v>72</v>
      </c>
      <c r="D508" t="s">
        <v>72</v>
      </c>
      <c r="E508" t="s">
        <v>72</v>
      </c>
      <c r="F508" t="s">
        <v>486</v>
      </c>
      <c r="G508" t="s">
        <v>72</v>
      </c>
      <c r="H508" t="s">
        <v>72</v>
      </c>
      <c r="I508" t="s">
        <v>487</v>
      </c>
      <c r="J508" t="s">
        <v>488</v>
      </c>
      <c r="K508" t="s">
        <v>72</v>
      </c>
      <c r="L508" t="s">
        <v>72</v>
      </c>
      <c r="M508" t="s">
        <v>76</v>
      </c>
      <c r="N508" t="s">
        <v>77</v>
      </c>
      <c r="O508" t="s">
        <v>72</v>
      </c>
      <c r="P508" t="s">
        <v>72</v>
      </c>
      <c r="Q508" t="s">
        <v>72</v>
      </c>
      <c r="R508" t="s">
        <v>72</v>
      </c>
      <c r="S508" t="s">
        <v>72</v>
      </c>
      <c r="T508" t="s">
        <v>489</v>
      </c>
      <c r="U508" t="s">
        <v>490</v>
      </c>
      <c r="V508" t="s">
        <v>491</v>
      </c>
      <c r="W508" t="s">
        <v>492</v>
      </c>
      <c r="X508" t="s">
        <v>493</v>
      </c>
      <c r="Y508" t="s">
        <v>494</v>
      </c>
      <c r="Z508" t="s">
        <v>495</v>
      </c>
      <c r="AA508" t="s">
        <v>72</v>
      </c>
      <c r="AB508" t="s">
        <v>72</v>
      </c>
      <c r="AC508" t="s">
        <v>72</v>
      </c>
      <c r="AD508" t="s">
        <v>72</v>
      </c>
      <c r="AE508" t="s">
        <v>72</v>
      </c>
      <c r="AF508" t="s">
        <v>72</v>
      </c>
      <c r="AG508">
        <v>21</v>
      </c>
      <c r="AH508">
        <v>8</v>
      </c>
      <c r="AI508">
        <v>8</v>
      </c>
      <c r="AJ508">
        <v>1</v>
      </c>
      <c r="AK508">
        <v>19</v>
      </c>
      <c r="AL508" t="s">
        <v>336</v>
      </c>
      <c r="AM508" t="s">
        <v>337</v>
      </c>
      <c r="AN508" t="s">
        <v>338</v>
      </c>
      <c r="AO508" t="s">
        <v>496</v>
      </c>
      <c r="AP508" t="s">
        <v>497</v>
      </c>
      <c r="AQ508" t="s">
        <v>72</v>
      </c>
      <c r="AR508" t="s">
        <v>498</v>
      </c>
      <c r="AS508" t="s">
        <v>499</v>
      </c>
      <c r="AT508" t="s">
        <v>95</v>
      </c>
      <c r="AU508">
        <v>2015</v>
      </c>
      <c r="AV508">
        <v>16</v>
      </c>
      <c r="AW508">
        <v>3</v>
      </c>
      <c r="AX508" t="s">
        <v>72</v>
      </c>
      <c r="AY508" t="s">
        <v>72</v>
      </c>
      <c r="AZ508" t="s">
        <v>72</v>
      </c>
      <c r="BA508" t="s">
        <v>72</v>
      </c>
      <c r="BB508">
        <v>456</v>
      </c>
      <c r="BC508">
        <v>466</v>
      </c>
      <c r="BD508" t="s">
        <v>72</v>
      </c>
      <c r="BE508" t="s">
        <v>500</v>
      </c>
      <c r="BF508" t="str">
        <f>HYPERLINK("http://dx.doi.org/10.1177/1465116515581669","http://dx.doi.org/10.1177/1465116515581669")</f>
        <v>http://dx.doi.org/10.1177/1465116515581669</v>
      </c>
      <c r="BG508" t="s">
        <v>72</v>
      </c>
      <c r="BH508" t="s">
        <v>72</v>
      </c>
      <c r="BI508">
        <v>11</v>
      </c>
      <c r="BJ508" t="s">
        <v>219</v>
      </c>
      <c r="BK508" s="1" t="s">
        <v>17619</v>
      </c>
      <c r="BL508" t="s">
        <v>501</v>
      </c>
      <c r="BM508" t="s">
        <v>72</v>
      </c>
      <c r="BN508" t="s">
        <v>72</v>
      </c>
      <c r="BO508" t="s">
        <v>72</v>
      </c>
      <c r="BP508" t="s">
        <v>72</v>
      </c>
      <c r="BQ508" t="s">
        <v>100</v>
      </c>
      <c r="BR508" t="s">
        <v>502</v>
      </c>
      <c r="BS508" t="str">
        <f>HYPERLINK("https%3A%2F%2Fwww.webofscience.com%2Fwos%2Fwoscc%2Ffull-record%2FWOS:000360108000008","View Full Record in Web of Science")</f>
        <v>View Full Record in Web of Science</v>
      </c>
    </row>
    <row r="509" spans="1:71" x14ac:dyDescent="0.2">
      <c r="A509" t="s">
        <v>70</v>
      </c>
      <c r="B509" t="s">
        <v>503</v>
      </c>
      <c r="C509" t="s">
        <v>72</v>
      </c>
      <c r="D509" t="s">
        <v>72</v>
      </c>
      <c r="E509" t="s">
        <v>72</v>
      </c>
      <c r="F509" t="s">
        <v>504</v>
      </c>
      <c r="G509" t="s">
        <v>72</v>
      </c>
      <c r="H509" t="s">
        <v>72</v>
      </c>
      <c r="I509" t="s">
        <v>505</v>
      </c>
      <c r="J509" t="s">
        <v>506</v>
      </c>
      <c r="K509" t="s">
        <v>72</v>
      </c>
      <c r="L509" t="s">
        <v>72</v>
      </c>
      <c r="M509" t="s">
        <v>76</v>
      </c>
      <c r="N509" t="s">
        <v>77</v>
      </c>
      <c r="O509" t="s">
        <v>72</v>
      </c>
      <c r="P509" t="s">
        <v>72</v>
      </c>
      <c r="Q509" t="s">
        <v>72</v>
      </c>
      <c r="R509" t="s">
        <v>72</v>
      </c>
      <c r="S509" t="s">
        <v>72</v>
      </c>
      <c r="T509" t="s">
        <v>507</v>
      </c>
      <c r="U509" t="s">
        <v>508</v>
      </c>
      <c r="V509" t="s">
        <v>509</v>
      </c>
      <c r="W509" t="s">
        <v>510</v>
      </c>
      <c r="X509" t="s">
        <v>511</v>
      </c>
      <c r="Y509" t="s">
        <v>512</v>
      </c>
      <c r="Z509" t="s">
        <v>513</v>
      </c>
      <c r="AA509" t="s">
        <v>72</v>
      </c>
      <c r="AB509" t="s">
        <v>514</v>
      </c>
      <c r="AC509" t="s">
        <v>72</v>
      </c>
      <c r="AD509" t="s">
        <v>72</v>
      </c>
      <c r="AE509" t="s">
        <v>72</v>
      </c>
      <c r="AF509" t="s">
        <v>72</v>
      </c>
      <c r="AG509">
        <v>43</v>
      </c>
      <c r="AH509">
        <v>12</v>
      </c>
      <c r="AI509">
        <v>12</v>
      </c>
      <c r="AJ509">
        <v>1</v>
      </c>
      <c r="AK509">
        <v>11</v>
      </c>
      <c r="AL509" t="s">
        <v>364</v>
      </c>
      <c r="AM509" t="s">
        <v>365</v>
      </c>
      <c r="AN509" t="s">
        <v>366</v>
      </c>
      <c r="AO509" t="s">
        <v>515</v>
      </c>
      <c r="AP509" t="s">
        <v>516</v>
      </c>
      <c r="AQ509" t="s">
        <v>72</v>
      </c>
      <c r="AR509" t="s">
        <v>517</v>
      </c>
      <c r="AS509" t="s">
        <v>518</v>
      </c>
      <c r="AT509" t="s">
        <v>72</v>
      </c>
      <c r="AU509">
        <v>2017</v>
      </c>
      <c r="AV509">
        <v>52</v>
      </c>
      <c r="AW509">
        <v>3</v>
      </c>
      <c r="AX509" t="s">
        <v>72</v>
      </c>
      <c r="AY509" t="s">
        <v>72</v>
      </c>
      <c r="AZ509" t="s">
        <v>72</v>
      </c>
      <c r="BA509" t="s">
        <v>72</v>
      </c>
      <c r="BB509">
        <v>383</v>
      </c>
      <c r="BC509">
        <v>401</v>
      </c>
      <c r="BD509" t="s">
        <v>72</v>
      </c>
      <c r="BE509" t="s">
        <v>519</v>
      </c>
      <c r="BF509" t="str">
        <f>HYPERLINK("http://dx.doi.org/10.1080/10361146.2017.1324561","http://dx.doi.org/10.1080/10361146.2017.1324561")</f>
        <v>http://dx.doi.org/10.1080/10361146.2017.1324561</v>
      </c>
      <c r="BG509" t="s">
        <v>72</v>
      </c>
      <c r="BH509" t="s">
        <v>72</v>
      </c>
      <c r="BI509">
        <v>19</v>
      </c>
      <c r="BJ509" t="s">
        <v>219</v>
      </c>
      <c r="BK509" s="1" t="s">
        <v>17619</v>
      </c>
      <c r="BL509" t="s">
        <v>520</v>
      </c>
      <c r="BM509" t="s">
        <v>72</v>
      </c>
      <c r="BN509" t="s">
        <v>72</v>
      </c>
      <c r="BO509" t="s">
        <v>72</v>
      </c>
      <c r="BP509" t="s">
        <v>72</v>
      </c>
      <c r="BQ509" t="s">
        <v>100</v>
      </c>
      <c r="BR509" t="s">
        <v>521</v>
      </c>
      <c r="BS509" t="str">
        <f>HYPERLINK("https%3A%2F%2Fwww.webofscience.com%2Fwos%2Fwoscc%2Ffull-record%2FWOS:000403933800005","View Full Record in Web of Science")</f>
        <v>View Full Record in Web of Science</v>
      </c>
    </row>
    <row r="510" spans="1:71" x14ac:dyDescent="0.2">
      <c r="A510" t="s">
        <v>70</v>
      </c>
      <c r="B510" t="s">
        <v>782</v>
      </c>
      <c r="C510" t="s">
        <v>72</v>
      </c>
      <c r="D510" t="s">
        <v>72</v>
      </c>
      <c r="E510" t="s">
        <v>72</v>
      </c>
      <c r="F510" t="s">
        <v>783</v>
      </c>
      <c r="G510" t="s">
        <v>72</v>
      </c>
      <c r="H510" t="s">
        <v>72</v>
      </c>
      <c r="I510" t="s">
        <v>784</v>
      </c>
      <c r="J510" t="s">
        <v>227</v>
      </c>
      <c r="K510" t="s">
        <v>72</v>
      </c>
      <c r="L510" t="s">
        <v>72</v>
      </c>
      <c r="M510" t="s">
        <v>76</v>
      </c>
      <c r="N510" t="s">
        <v>77</v>
      </c>
      <c r="O510" t="s">
        <v>72</v>
      </c>
      <c r="P510" t="s">
        <v>72</v>
      </c>
      <c r="Q510" t="s">
        <v>72</v>
      </c>
      <c r="R510" t="s">
        <v>72</v>
      </c>
      <c r="S510" t="s">
        <v>72</v>
      </c>
      <c r="T510" t="s">
        <v>72</v>
      </c>
      <c r="U510" t="s">
        <v>785</v>
      </c>
      <c r="V510" t="s">
        <v>786</v>
      </c>
      <c r="W510" t="s">
        <v>787</v>
      </c>
      <c r="X510" t="s">
        <v>788</v>
      </c>
      <c r="Y510" t="s">
        <v>789</v>
      </c>
      <c r="Z510" t="s">
        <v>790</v>
      </c>
      <c r="AA510" t="s">
        <v>791</v>
      </c>
      <c r="AB510" t="s">
        <v>72</v>
      </c>
      <c r="AC510" t="s">
        <v>72</v>
      </c>
      <c r="AD510" t="s">
        <v>72</v>
      </c>
      <c r="AE510" t="s">
        <v>72</v>
      </c>
      <c r="AF510" t="s">
        <v>72</v>
      </c>
      <c r="AG510">
        <v>85</v>
      </c>
      <c r="AH510">
        <v>1145</v>
      </c>
      <c r="AI510">
        <v>1169</v>
      </c>
      <c r="AJ510">
        <v>21</v>
      </c>
      <c r="AK510">
        <v>211</v>
      </c>
      <c r="AL510" t="s">
        <v>240</v>
      </c>
      <c r="AM510" t="s">
        <v>241</v>
      </c>
      <c r="AN510" t="s">
        <v>242</v>
      </c>
      <c r="AO510" t="s">
        <v>243</v>
      </c>
      <c r="AP510" t="s">
        <v>244</v>
      </c>
      <c r="AQ510" t="s">
        <v>72</v>
      </c>
      <c r="AR510" t="s">
        <v>245</v>
      </c>
      <c r="AS510" t="s">
        <v>246</v>
      </c>
      <c r="AT510" t="s">
        <v>792</v>
      </c>
      <c r="AU510">
        <v>2013</v>
      </c>
      <c r="AV510">
        <v>21</v>
      </c>
      <c r="AW510">
        <v>3</v>
      </c>
      <c r="AX510" t="s">
        <v>72</v>
      </c>
      <c r="AY510" t="s">
        <v>72</v>
      </c>
      <c r="AZ510" t="s">
        <v>72</v>
      </c>
      <c r="BA510" t="s">
        <v>72</v>
      </c>
      <c r="BB510">
        <v>267</v>
      </c>
      <c r="BC510">
        <v>297</v>
      </c>
      <c r="BD510" t="s">
        <v>72</v>
      </c>
      <c r="BE510" t="s">
        <v>793</v>
      </c>
      <c r="BF510" t="str">
        <f>HYPERLINK("http://dx.doi.org/10.1093/pan/mps028","http://dx.doi.org/10.1093/pan/mps028")</f>
        <v>http://dx.doi.org/10.1093/pan/mps028</v>
      </c>
      <c r="BG510" t="s">
        <v>72</v>
      </c>
      <c r="BH510" t="s">
        <v>72</v>
      </c>
      <c r="BI510">
        <v>31</v>
      </c>
      <c r="BJ510" t="s">
        <v>219</v>
      </c>
      <c r="BK510" s="1" t="s">
        <v>17619</v>
      </c>
      <c r="BL510" t="s">
        <v>794</v>
      </c>
      <c r="BM510" t="s">
        <v>72</v>
      </c>
      <c r="BN510" t="s">
        <v>795</v>
      </c>
      <c r="BO510" t="s">
        <v>72</v>
      </c>
      <c r="BP510" t="s">
        <v>72</v>
      </c>
      <c r="BQ510" t="s">
        <v>100</v>
      </c>
      <c r="BR510" t="s">
        <v>796</v>
      </c>
      <c r="BS510" t="str">
        <f>HYPERLINK("https%3A%2F%2Fwww.webofscience.com%2Fwos%2Fwoscc%2Ffull-record%2FWOS:000321825000001","View Full Record in Web of Science")</f>
        <v>View Full Record in Web of Science</v>
      </c>
    </row>
    <row r="511" spans="1:71" x14ac:dyDescent="0.2">
      <c r="A511" t="s">
        <v>70</v>
      </c>
      <c r="B511" t="s">
        <v>817</v>
      </c>
      <c r="C511" t="s">
        <v>72</v>
      </c>
      <c r="D511" t="s">
        <v>72</v>
      </c>
      <c r="E511" t="s">
        <v>72</v>
      </c>
      <c r="F511" t="s">
        <v>818</v>
      </c>
      <c r="G511" t="s">
        <v>72</v>
      </c>
      <c r="H511" t="s">
        <v>72</v>
      </c>
      <c r="I511" t="s">
        <v>819</v>
      </c>
      <c r="J511" t="s">
        <v>820</v>
      </c>
      <c r="K511" t="s">
        <v>72</v>
      </c>
      <c r="L511" t="s">
        <v>72</v>
      </c>
      <c r="M511" t="s">
        <v>76</v>
      </c>
      <c r="N511" t="s">
        <v>77</v>
      </c>
      <c r="O511" t="s">
        <v>72</v>
      </c>
      <c r="P511" t="s">
        <v>72</v>
      </c>
      <c r="Q511" t="s">
        <v>72</v>
      </c>
      <c r="R511" t="s">
        <v>72</v>
      </c>
      <c r="S511" t="s">
        <v>72</v>
      </c>
      <c r="T511" t="s">
        <v>821</v>
      </c>
      <c r="U511" t="s">
        <v>822</v>
      </c>
      <c r="V511" t="s">
        <v>823</v>
      </c>
      <c r="W511" t="s">
        <v>824</v>
      </c>
      <c r="X511" t="s">
        <v>825</v>
      </c>
      <c r="Y511" t="s">
        <v>826</v>
      </c>
      <c r="Z511" t="s">
        <v>827</v>
      </c>
      <c r="AA511" t="s">
        <v>72</v>
      </c>
      <c r="AB511" t="s">
        <v>72</v>
      </c>
      <c r="AC511" t="s">
        <v>72</v>
      </c>
      <c r="AD511" t="s">
        <v>72</v>
      </c>
      <c r="AE511" t="s">
        <v>72</v>
      </c>
      <c r="AF511" t="s">
        <v>72</v>
      </c>
      <c r="AG511">
        <v>93</v>
      </c>
      <c r="AH511">
        <v>18</v>
      </c>
      <c r="AI511">
        <v>18</v>
      </c>
      <c r="AJ511">
        <v>0</v>
      </c>
      <c r="AK511">
        <v>4</v>
      </c>
      <c r="AL511" t="s">
        <v>769</v>
      </c>
      <c r="AM511" t="s">
        <v>770</v>
      </c>
      <c r="AN511" t="s">
        <v>771</v>
      </c>
      <c r="AO511" t="s">
        <v>828</v>
      </c>
      <c r="AP511" t="s">
        <v>829</v>
      </c>
      <c r="AQ511" t="s">
        <v>72</v>
      </c>
      <c r="AR511" t="s">
        <v>830</v>
      </c>
      <c r="AS511" t="s">
        <v>831</v>
      </c>
      <c r="AT511" t="s">
        <v>395</v>
      </c>
      <c r="AU511">
        <v>2018</v>
      </c>
      <c r="AV511">
        <v>80</v>
      </c>
      <c r="AW511">
        <v>4</v>
      </c>
      <c r="AX511" t="s">
        <v>72</v>
      </c>
      <c r="AY511" t="s">
        <v>72</v>
      </c>
      <c r="AZ511" t="s">
        <v>72</v>
      </c>
      <c r="BA511" t="s">
        <v>72</v>
      </c>
      <c r="BB511">
        <v>1150</v>
      </c>
      <c r="BC511">
        <v>1167</v>
      </c>
      <c r="BD511" t="s">
        <v>72</v>
      </c>
      <c r="BE511" t="s">
        <v>832</v>
      </c>
      <c r="BF511" t="str">
        <f>HYPERLINK("http://dx.doi.org/10.1086/699246","http://dx.doi.org/10.1086/699246")</f>
        <v>http://dx.doi.org/10.1086/699246</v>
      </c>
      <c r="BG511" t="s">
        <v>72</v>
      </c>
      <c r="BH511" t="s">
        <v>72</v>
      </c>
      <c r="BI511">
        <v>18</v>
      </c>
      <c r="BJ511" t="s">
        <v>219</v>
      </c>
      <c r="BK511" s="1" t="s">
        <v>17619</v>
      </c>
      <c r="BL511" t="s">
        <v>833</v>
      </c>
      <c r="BM511" t="s">
        <v>72</v>
      </c>
      <c r="BN511" t="s">
        <v>72</v>
      </c>
      <c r="BO511" t="s">
        <v>72</v>
      </c>
      <c r="BP511" t="s">
        <v>72</v>
      </c>
      <c r="BQ511" t="s">
        <v>100</v>
      </c>
      <c r="BR511" t="s">
        <v>834</v>
      </c>
      <c r="BS511" t="str">
        <f>HYPERLINK("https%3A%2F%2Fwww.webofscience.com%2Fwos%2Fwoscc%2Ffull-record%2FWOS:000445660100009","View Full Record in Web of Science")</f>
        <v>View Full Record in Web of Science</v>
      </c>
    </row>
    <row r="512" spans="1:71" x14ac:dyDescent="0.2">
      <c r="A512" t="s">
        <v>70</v>
      </c>
      <c r="B512" t="s">
        <v>974</v>
      </c>
      <c r="C512" t="s">
        <v>72</v>
      </c>
      <c r="D512" t="s">
        <v>72</v>
      </c>
      <c r="E512" t="s">
        <v>72</v>
      </c>
      <c r="F512" t="s">
        <v>975</v>
      </c>
      <c r="G512" t="s">
        <v>72</v>
      </c>
      <c r="H512" t="s">
        <v>72</v>
      </c>
      <c r="I512" t="s">
        <v>976</v>
      </c>
      <c r="J512" t="s">
        <v>488</v>
      </c>
      <c r="K512" t="s">
        <v>72</v>
      </c>
      <c r="L512" t="s">
        <v>72</v>
      </c>
      <c r="M512" t="s">
        <v>76</v>
      </c>
      <c r="N512" t="s">
        <v>77</v>
      </c>
      <c r="O512" t="s">
        <v>72</v>
      </c>
      <c r="P512" t="s">
        <v>72</v>
      </c>
      <c r="Q512" t="s">
        <v>72</v>
      </c>
      <c r="R512" t="s">
        <v>72</v>
      </c>
      <c r="S512" t="s">
        <v>72</v>
      </c>
      <c r="T512" t="s">
        <v>977</v>
      </c>
      <c r="U512" t="s">
        <v>978</v>
      </c>
      <c r="V512" t="s">
        <v>979</v>
      </c>
      <c r="W512" t="s">
        <v>980</v>
      </c>
      <c r="X512" t="s">
        <v>981</v>
      </c>
      <c r="Y512" t="s">
        <v>982</v>
      </c>
      <c r="Z512" t="s">
        <v>983</v>
      </c>
      <c r="AA512" t="s">
        <v>72</v>
      </c>
      <c r="AB512" t="s">
        <v>72</v>
      </c>
      <c r="AC512" t="s">
        <v>984</v>
      </c>
      <c r="AD512" t="s">
        <v>985</v>
      </c>
      <c r="AE512" t="s">
        <v>986</v>
      </c>
      <c r="AF512" t="s">
        <v>72</v>
      </c>
      <c r="AG512">
        <v>35</v>
      </c>
      <c r="AH512">
        <v>0</v>
      </c>
      <c r="AI512">
        <v>0</v>
      </c>
      <c r="AJ512">
        <v>1</v>
      </c>
      <c r="AK512">
        <v>1</v>
      </c>
      <c r="AL512" t="s">
        <v>336</v>
      </c>
      <c r="AM512" t="s">
        <v>337</v>
      </c>
      <c r="AN512" t="s">
        <v>338</v>
      </c>
      <c r="AO512" t="s">
        <v>496</v>
      </c>
      <c r="AP512" t="s">
        <v>497</v>
      </c>
      <c r="AQ512" t="s">
        <v>72</v>
      </c>
      <c r="AR512" t="s">
        <v>498</v>
      </c>
      <c r="AS512" t="s">
        <v>499</v>
      </c>
      <c r="AT512" t="s">
        <v>929</v>
      </c>
      <c r="AU512">
        <v>2022</v>
      </c>
      <c r="AV512">
        <v>23</v>
      </c>
      <c r="AW512">
        <v>4</v>
      </c>
      <c r="AX512" t="s">
        <v>72</v>
      </c>
      <c r="AY512" t="s">
        <v>72</v>
      </c>
      <c r="AZ512" t="s">
        <v>72</v>
      </c>
      <c r="BA512" t="s">
        <v>72</v>
      </c>
      <c r="BB512">
        <v>662</v>
      </c>
      <c r="BC512">
        <v>679</v>
      </c>
      <c r="BD512">
        <v>1.4651165221103026E+16</v>
      </c>
      <c r="BE512" t="s">
        <v>987</v>
      </c>
      <c r="BF512" t="str">
        <f>HYPERLINK("http://dx.doi.org/10.1177/14651165221103026","http://dx.doi.org/10.1177/14651165221103026")</f>
        <v>http://dx.doi.org/10.1177/14651165221103026</v>
      </c>
      <c r="BG512" t="s">
        <v>72</v>
      </c>
      <c r="BH512" t="s">
        <v>988</v>
      </c>
      <c r="BI512">
        <v>18</v>
      </c>
      <c r="BJ512" t="s">
        <v>219</v>
      </c>
      <c r="BK512" s="1" t="s">
        <v>17619</v>
      </c>
      <c r="BL512" t="s">
        <v>989</v>
      </c>
      <c r="BM512" t="s">
        <v>72</v>
      </c>
      <c r="BN512" t="s">
        <v>346</v>
      </c>
      <c r="BO512" t="s">
        <v>72</v>
      </c>
      <c r="BP512" t="s">
        <v>72</v>
      </c>
      <c r="BQ512" t="s">
        <v>100</v>
      </c>
      <c r="BR512" t="s">
        <v>990</v>
      </c>
      <c r="BS512" t="str">
        <f>HYPERLINK("https%3A%2F%2Fwww.webofscience.com%2Fwos%2Fwoscc%2Ffull-record%2FWOS:000813446100001","View Full Record in Web of Science")</f>
        <v>View Full Record in Web of Science</v>
      </c>
    </row>
    <row r="513" spans="1:71" x14ac:dyDescent="0.2">
      <c r="A513" t="s">
        <v>70</v>
      </c>
      <c r="B513" t="s">
        <v>1038</v>
      </c>
      <c r="C513" t="s">
        <v>72</v>
      </c>
      <c r="D513" t="s">
        <v>72</v>
      </c>
      <c r="E513" t="s">
        <v>72</v>
      </c>
      <c r="F513" t="s">
        <v>1039</v>
      </c>
      <c r="G513" t="s">
        <v>72</v>
      </c>
      <c r="H513" t="s">
        <v>72</v>
      </c>
      <c r="I513" t="s">
        <v>1040</v>
      </c>
      <c r="J513" t="s">
        <v>227</v>
      </c>
      <c r="K513" t="s">
        <v>72</v>
      </c>
      <c r="L513" t="s">
        <v>72</v>
      </c>
      <c r="M513" t="s">
        <v>76</v>
      </c>
      <c r="N513" t="s">
        <v>77</v>
      </c>
      <c r="O513" t="s">
        <v>72</v>
      </c>
      <c r="P513" t="s">
        <v>72</v>
      </c>
      <c r="Q513" t="s">
        <v>72</v>
      </c>
      <c r="R513" t="s">
        <v>72</v>
      </c>
      <c r="S513" t="s">
        <v>72</v>
      </c>
      <c r="T513" t="s">
        <v>1041</v>
      </c>
      <c r="U513" t="s">
        <v>72</v>
      </c>
      <c r="V513" t="s">
        <v>1042</v>
      </c>
      <c r="W513" t="s">
        <v>1043</v>
      </c>
      <c r="X513" t="s">
        <v>1044</v>
      </c>
      <c r="Y513" t="s">
        <v>1045</v>
      </c>
      <c r="Z513" t="s">
        <v>1046</v>
      </c>
      <c r="AA513" t="s">
        <v>72</v>
      </c>
      <c r="AB513" t="s">
        <v>1047</v>
      </c>
      <c r="AC513" t="s">
        <v>1048</v>
      </c>
      <c r="AD513" t="s">
        <v>1049</v>
      </c>
      <c r="AE513" t="s">
        <v>1050</v>
      </c>
      <c r="AF513" t="s">
        <v>72</v>
      </c>
      <c r="AG513">
        <v>25</v>
      </c>
      <c r="AH513">
        <v>76</v>
      </c>
      <c r="AI513">
        <v>75</v>
      </c>
      <c r="AJ513">
        <v>2</v>
      </c>
      <c r="AK513">
        <v>24</v>
      </c>
      <c r="AL513" t="s">
        <v>240</v>
      </c>
      <c r="AM513" t="s">
        <v>241</v>
      </c>
      <c r="AN513" t="s">
        <v>242</v>
      </c>
      <c r="AO513" t="s">
        <v>243</v>
      </c>
      <c r="AP513" t="s">
        <v>244</v>
      </c>
      <c r="AQ513" t="s">
        <v>72</v>
      </c>
      <c r="AR513" t="s">
        <v>245</v>
      </c>
      <c r="AS513" t="s">
        <v>246</v>
      </c>
      <c r="AT513" t="s">
        <v>395</v>
      </c>
      <c r="AU513">
        <v>2018</v>
      </c>
      <c r="AV513">
        <v>26</v>
      </c>
      <c r="AW513">
        <v>4</v>
      </c>
      <c r="AX513" t="s">
        <v>72</v>
      </c>
      <c r="AY513" t="s">
        <v>72</v>
      </c>
      <c r="AZ513" t="s">
        <v>72</v>
      </c>
      <c r="BA513" t="s">
        <v>72</v>
      </c>
      <c r="BB513">
        <v>417</v>
      </c>
      <c r="BC513">
        <v>430</v>
      </c>
      <c r="BD513" t="s">
        <v>72</v>
      </c>
      <c r="BE513" t="s">
        <v>1051</v>
      </c>
      <c r="BF513" t="str">
        <f>HYPERLINK("http://dx.doi.org/10.1017/pan.2018.26","http://dx.doi.org/10.1017/pan.2018.26")</f>
        <v>http://dx.doi.org/10.1017/pan.2018.26</v>
      </c>
      <c r="BG513" t="s">
        <v>72</v>
      </c>
      <c r="BH513" t="s">
        <v>72</v>
      </c>
      <c r="BI513">
        <v>14</v>
      </c>
      <c r="BJ513" t="s">
        <v>219</v>
      </c>
      <c r="BK513" s="1" t="s">
        <v>17619</v>
      </c>
      <c r="BL513" t="s">
        <v>1052</v>
      </c>
      <c r="BM513" t="s">
        <v>72</v>
      </c>
      <c r="BN513" t="s">
        <v>1053</v>
      </c>
      <c r="BO513" t="s">
        <v>72</v>
      </c>
      <c r="BP513" t="s">
        <v>72</v>
      </c>
      <c r="BQ513" t="s">
        <v>100</v>
      </c>
      <c r="BR513" t="s">
        <v>1054</v>
      </c>
      <c r="BS513" t="str">
        <f>HYPERLINK("https%3A%2F%2Fwww.webofscience.com%2Fwos%2Fwoscc%2Ffull-record%2FWOS:000446677500004","View Full Record in Web of Science")</f>
        <v>View Full Record in Web of Science</v>
      </c>
    </row>
    <row r="514" spans="1:71" x14ac:dyDescent="0.2">
      <c r="A514" t="s">
        <v>715</v>
      </c>
      <c r="B514" t="s">
        <v>1077</v>
      </c>
      <c r="C514" t="s">
        <v>72</v>
      </c>
      <c r="D514" t="s">
        <v>1078</v>
      </c>
      <c r="E514" t="s">
        <v>72</v>
      </c>
      <c r="F514" t="s">
        <v>1079</v>
      </c>
      <c r="G514" t="s">
        <v>72</v>
      </c>
      <c r="H514" t="s">
        <v>72</v>
      </c>
      <c r="I514" t="s">
        <v>1080</v>
      </c>
      <c r="J514" t="s">
        <v>1081</v>
      </c>
      <c r="K514" t="s">
        <v>1082</v>
      </c>
      <c r="L514" t="s">
        <v>72</v>
      </c>
      <c r="M514" t="s">
        <v>76</v>
      </c>
      <c r="N514" t="s">
        <v>1083</v>
      </c>
      <c r="O514" t="s">
        <v>72</v>
      </c>
      <c r="P514" t="s">
        <v>72</v>
      </c>
      <c r="Q514" t="s">
        <v>72</v>
      </c>
      <c r="R514" t="s">
        <v>72</v>
      </c>
      <c r="S514" t="s">
        <v>72</v>
      </c>
      <c r="T514" t="s">
        <v>1084</v>
      </c>
      <c r="U514" t="s">
        <v>1085</v>
      </c>
      <c r="V514" t="s">
        <v>1086</v>
      </c>
      <c r="W514" t="s">
        <v>1087</v>
      </c>
      <c r="X514" t="s">
        <v>1088</v>
      </c>
      <c r="Y514" t="s">
        <v>1089</v>
      </c>
      <c r="Z514" t="s">
        <v>1090</v>
      </c>
      <c r="AA514" t="s">
        <v>72</v>
      </c>
      <c r="AB514" t="s">
        <v>72</v>
      </c>
      <c r="AC514" t="s">
        <v>72</v>
      </c>
      <c r="AD514" t="s">
        <v>72</v>
      </c>
      <c r="AE514" t="s">
        <v>72</v>
      </c>
      <c r="AF514" t="s">
        <v>72</v>
      </c>
      <c r="AG514">
        <v>45</v>
      </c>
      <c r="AH514">
        <v>2</v>
      </c>
      <c r="AI514">
        <v>2</v>
      </c>
      <c r="AJ514">
        <v>0</v>
      </c>
      <c r="AK514">
        <v>24</v>
      </c>
      <c r="AL514" t="s">
        <v>1091</v>
      </c>
      <c r="AM514" t="s">
        <v>1092</v>
      </c>
      <c r="AN514" t="s">
        <v>1093</v>
      </c>
      <c r="AO514" t="s">
        <v>1094</v>
      </c>
      <c r="AP514" t="s">
        <v>72</v>
      </c>
      <c r="AQ514" t="s">
        <v>1095</v>
      </c>
      <c r="AR514" t="s">
        <v>1096</v>
      </c>
      <c r="AS514" t="s">
        <v>1097</v>
      </c>
      <c r="AT514" t="s">
        <v>72</v>
      </c>
      <c r="AU514">
        <v>2016</v>
      </c>
      <c r="AV514">
        <v>19</v>
      </c>
      <c r="AW514" t="s">
        <v>72</v>
      </c>
      <c r="AX514" t="s">
        <v>72</v>
      </c>
      <c r="AY514" t="s">
        <v>72</v>
      </c>
      <c r="AZ514" t="s">
        <v>72</v>
      </c>
      <c r="BA514" t="s">
        <v>72</v>
      </c>
      <c r="BB514">
        <v>351</v>
      </c>
      <c r="BC514" t="s">
        <v>173</v>
      </c>
      <c r="BD514" t="s">
        <v>72</v>
      </c>
      <c r="BE514" t="s">
        <v>1098</v>
      </c>
      <c r="BF514" t="str">
        <f>HYPERLINK("http://dx.doi.org/10.1146/annurev-polisci-061513-115924","http://dx.doi.org/10.1146/annurev-polisci-061513-115924")</f>
        <v>http://dx.doi.org/10.1146/annurev-polisci-061513-115924</v>
      </c>
      <c r="BG514" t="s">
        <v>72</v>
      </c>
      <c r="BH514" t="s">
        <v>72</v>
      </c>
      <c r="BI514">
        <v>24</v>
      </c>
      <c r="BJ514" t="s">
        <v>219</v>
      </c>
      <c r="BK514" s="1" t="s">
        <v>17619</v>
      </c>
      <c r="BL514" t="s">
        <v>1099</v>
      </c>
      <c r="BM514" t="s">
        <v>72</v>
      </c>
      <c r="BN514" t="s">
        <v>72</v>
      </c>
      <c r="BO514" t="s">
        <v>72</v>
      </c>
      <c r="BP514" t="s">
        <v>72</v>
      </c>
      <c r="BQ514" t="s">
        <v>100</v>
      </c>
      <c r="BR514" t="s">
        <v>1100</v>
      </c>
      <c r="BS514" t="str">
        <f>HYPERLINK("https%3A%2F%2Fwww.webofscience.com%2Fwos%2Fwoscc%2Ffull-record%2FWOS:000376010900019","View Full Record in Web of Science")</f>
        <v>View Full Record in Web of Science</v>
      </c>
    </row>
    <row r="515" spans="1:71" x14ac:dyDescent="0.2">
      <c r="A515" t="s">
        <v>70</v>
      </c>
      <c r="B515" t="s">
        <v>1176</v>
      </c>
      <c r="C515" t="s">
        <v>72</v>
      </c>
      <c r="D515" t="s">
        <v>72</v>
      </c>
      <c r="E515" t="s">
        <v>72</v>
      </c>
      <c r="F515" t="s">
        <v>1177</v>
      </c>
      <c r="G515" t="s">
        <v>72</v>
      </c>
      <c r="H515" t="s">
        <v>72</v>
      </c>
      <c r="I515" t="s">
        <v>1178</v>
      </c>
      <c r="J515" t="s">
        <v>227</v>
      </c>
      <c r="K515" t="s">
        <v>72</v>
      </c>
      <c r="L515" t="s">
        <v>72</v>
      </c>
      <c r="M515" t="s">
        <v>76</v>
      </c>
      <c r="N515" t="s">
        <v>77</v>
      </c>
      <c r="O515" t="s">
        <v>72</v>
      </c>
      <c r="P515" t="s">
        <v>72</v>
      </c>
      <c r="Q515" t="s">
        <v>72</v>
      </c>
      <c r="R515" t="s">
        <v>72</v>
      </c>
      <c r="S515" t="s">
        <v>72</v>
      </c>
      <c r="T515" t="s">
        <v>1179</v>
      </c>
      <c r="U515" t="s">
        <v>1180</v>
      </c>
      <c r="V515" t="s">
        <v>1181</v>
      </c>
      <c r="W515" t="s">
        <v>1182</v>
      </c>
      <c r="X515" t="s">
        <v>1183</v>
      </c>
      <c r="Y515" t="s">
        <v>1184</v>
      </c>
      <c r="Z515" t="s">
        <v>1185</v>
      </c>
      <c r="AA515" t="s">
        <v>72</v>
      </c>
      <c r="AB515" t="s">
        <v>72</v>
      </c>
      <c r="AC515" t="s">
        <v>1186</v>
      </c>
      <c r="AD515" t="s">
        <v>1187</v>
      </c>
      <c r="AE515" t="s">
        <v>1188</v>
      </c>
      <c r="AF515" t="s">
        <v>72</v>
      </c>
      <c r="AG515">
        <v>59</v>
      </c>
      <c r="AH515">
        <v>20</v>
      </c>
      <c r="AI515">
        <v>20</v>
      </c>
      <c r="AJ515">
        <v>2</v>
      </c>
      <c r="AK515">
        <v>14</v>
      </c>
      <c r="AL515" t="s">
        <v>240</v>
      </c>
      <c r="AM515" t="s">
        <v>241</v>
      </c>
      <c r="AN515" t="s">
        <v>242</v>
      </c>
      <c r="AO515" t="s">
        <v>243</v>
      </c>
      <c r="AP515" t="s">
        <v>244</v>
      </c>
      <c r="AQ515" t="s">
        <v>72</v>
      </c>
      <c r="AR515" t="s">
        <v>245</v>
      </c>
      <c r="AS515" t="s">
        <v>246</v>
      </c>
      <c r="AT515" t="s">
        <v>247</v>
      </c>
      <c r="AU515">
        <v>2020</v>
      </c>
      <c r="AV515">
        <v>28</v>
      </c>
      <c r="AW515">
        <v>1</v>
      </c>
      <c r="AX515" t="s">
        <v>72</v>
      </c>
      <c r="AY515" t="s">
        <v>72</v>
      </c>
      <c r="AZ515" t="s">
        <v>72</v>
      </c>
      <c r="BA515" t="s">
        <v>72</v>
      </c>
      <c r="BB515">
        <v>87</v>
      </c>
      <c r="BC515">
        <v>111</v>
      </c>
      <c r="BD515" t="s">
        <v>1189</v>
      </c>
      <c r="BE515" t="s">
        <v>1190</v>
      </c>
      <c r="BF515" t="str">
        <f>HYPERLINK("http://dx.doi.org/10.1017/pan.2019.23","http://dx.doi.org/10.1017/pan.2019.23")</f>
        <v>http://dx.doi.org/10.1017/pan.2019.23</v>
      </c>
      <c r="BG515" t="s">
        <v>72</v>
      </c>
      <c r="BH515" t="s">
        <v>72</v>
      </c>
      <c r="BI515">
        <v>25</v>
      </c>
      <c r="BJ515" t="s">
        <v>219</v>
      </c>
      <c r="BK515" s="1" t="s">
        <v>17619</v>
      </c>
      <c r="BL515" t="s">
        <v>1191</v>
      </c>
      <c r="BM515" t="s">
        <v>72</v>
      </c>
      <c r="BN515" t="s">
        <v>72</v>
      </c>
      <c r="BO515" t="s">
        <v>72</v>
      </c>
      <c r="BP515" t="s">
        <v>72</v>
      </c>
      <c r="BQ515" t="s">
        <v>100</v>
      </c>
      <c r="BR515" t="s">
        <v>1192</v>
      </c>
      <c r="BS515" t="str">
        <f>HYPERLINK("https%3A%2F%2Fwww.webofscience.com%2Fwos%2Fwoscc%2Ffull-record%2FWOS:000500352700005","View Full Record in Web of Science")</f>
        <v>View Full Record in Web of Science</v>
      </c>
    </row>
    <row r="516" spans="1:71" x14ac:dyDescent="0.2">
      <c r="A516" t="s">
        <v>70</v>
      </c>
      <c r="B516" t="s">
        <v>1193</v>
      </c>
      <c r="C516" t="s">
        <v>72</v>
      </c>
      <c r="D516" t="s">
        <v>72</v>
      </c>
      <c r="E516" t="s">
        <v>72</v>
      </c>
      <c r="F516" t="s">
        <v>1194</v>
      </c>
      <c r="G516" t="s">
        <v>72</v>
      </c>
      <c r="H516" t="s">
        <v>72</v>
      </c>
      <c r="I516" t="s">
        <v>1195</v>
      </c>
      <c r="J516" t="s">
        <v>1196</v>
      </c>
      <c r="K516" t="s">
        <v>72</v>
      </c>
      <c r="L516" t="s">
        <v>72</v>
      </c>
      <c r="M516" t="s">
        <v>76</v>
      </c>
      <c r="N516" t="s">
        <v>77</v>
      </c>
      <c r="O516" t="s">
        <v>72</v>
      </c>
      <c r="P516" t="s">
        <v>72</v>
      </c>
      <c r="Q516" t="s">
        <v>72</v>
      </c>
      <c r="R516" t="s">
        <v>72</v>
      </c>
      <c r="S516" t="s">
        <v>72</v>
      </c>
      <c r="T516" t="s">
        <v>1197</v>
      </c>
      <c r="U516" t="s">
        <v>1198</v>
      </c>
      <c r="V516" t="s">
        <v>1199</v>
      </c>
      <c r="W516" t="s">
        <v>1200</v>
      </c>
      <c r="X516" t="s">
        <v>1201</v>
      </c>
      <c r="Y516" t="s">
        <v>1202</v>
      </c>
      <c r="Z516" t="s">
        <v>1203</v>
      </c>
      <c r="AA516" t="s">
        <v>72</v>
      </c>
      <c r="AB516" t="s">
        <v>1204</v>
      </c>
      <c r="AC516" t="s">
        <v>72</v>
      </c>
      <c r="AD516" t="s">
        <v>72</v>
      </c>
      <c r="AE516" t="s">
        <v>72</v>
      </c>
      <c r="AF516" t="s">
        <v>72</v>
      </c>
      <c r="AG516">
        <v>62</v>
      </c>
      <c r="AH516">
        <v>1</v>
      </c>
      <c r="AI516">
        <v>1</v>
      </c>
      <c r="AJ516">
        <v>1</v>
      </c>
      <c r="AK516">
        <v>5</v>
      </c>
      <c r="AL516" t="s">
        <v>240</v>
      </c>
      <c r="AM516" t="s">
        <v>707</v>
      </c>
      <c r="AN516" t="s">
        <v>1205</v>
      </c>
      <c r="AO516" t="s">
        <v>1206</v>
      </c>
      <c r="AP516" t="s">
        <v>1207</v>
      </c>
      <c r="AQ516" t="s">
        <v>72</v>
      </c>
      <c r="AR516" t="s">
        <v>1208</v>
      </c>
      <c r="AS516" t="s">
        <v>1209</v>
      </c>
      <c r="AT516" t="s">
        <v>395</v>
      </c>
      <c r="AU516">
        <v>2022</v>
      </c>
      <c r="AV516">
        <v>52</v>
      </c>
      <c r="AW516">
        <v>4</v>
      </c>
      <c r="AX516" t="s">
        <v>72</v>
      </c>
      <c r="AY516" t="s">
        <v>72</v>
      </c>
      <c r="AZ516" t="s">
        <v>72</v>
      </c>
      <c r="BA516" t="s">
        <v>72</v>
      </c>
      <c r="BB516">
        <v>1584</v>
      </c>
      <c r="BC516">
        <v>1601</v>
      </c>
      <c r="BD516" t="s">
        <v>1210</v>
      </c>
      <c r="BE516" t="s">
        <v>1211</v>
      </c>
      <c r="BF516" t="str">
        <f>HYPERLINK("http://dx.doi.org/10.1017/S0007123421000648","http://dx.doi.org/10.1017/S0007123421000648")</f>
        <v>http://dx.doi.org/10.1017/S0007123421000648</v>
      </c>
      <c r="BG516" t="s">
        <v>72</v>
      </c>
      <c r="BH516" t="s">
        <v>1212</v>
      </c>
      <c r="BI516">
        <v>18</v>
      </c>
      <c r="BJ516" t="s">
        <v>219</v>
      </c>
      <c r="BK516" s="1" t="s">
        <v>17619</v>
      </c>
      <c r="BL516" t="s">
        <v>1213</v>
      </c>
      <c r="BM516" t="s">
        <v>72</v>
      </c>
      <c r="BN516" t="s">
        <v>1214</v>
      </c>
      <c r="BO516" t="s">
        <v>72</v>
      </c>
      <c r="BP516" t="s">
        <v>72</v>
      </c>
      <c r="BQ516" t="s">
        <v>100</v>
      </c>
      <c r="BR516" t="s">
        <v>1215</v>
      </c>
      <c r="BS516" t="str">
        <f>HYPERLINK("https%3A%2F%2Fwww.webofscience.com%2Fwos%2Fwoscc%2Ffull-record%2FWOS:000749889100001","View Full Record in Web of Science")</f>
        <v>View Full Record in Web of Science</v>
      </c>
    </row>
    <row r="517" spans="1:71" x14ac:dyDescent="0.2">
      <c r="A517" t="s">
        <v>70</v>
      </c>
      <c r="B517" t="s">
        <v>485</v>
      </c>
      <c r="C517" t="s">
        <v>72</v>
      </c>
      <c r="D517" t="s">
        <v>72</v>
      </c>
      <c r="E517" t="s">
        <v>72</v>
      </c>
      <c r="F517" t="s">
        <v>486</v>
      </c>
      <c r="G517" t="s">
        <v>72</v>
      </c>
      <c r="H517" t="s">
        <v>72</v>
      </c>
      <c r="I517" t="s">
        <v>1237</v>
      </c>
      <c r="J517" t="s">
        <v>488</v>
      </c>
      <c r="K517" t="s">
        <v>72</v>
      </c>
      <c r="L517" t="s">
        <v>72</v>
      </c>
      <c r="M517" t="s">
        <v>76</v>
      </c>
      <c r="N517" t="s">
        <v>77</v>
      </c>
      <c r="O517" t="s">
        <v>72</v>
      </c>
      <c r="P517" t="s">
        <v>72</v>
      </c>
      <c r="Q517" t="s">
        <v>72</v>
      </c>
      <c r="R517" t="s">
        <v>72</v>
      </c>
      <c r="S517" t="s">
        <v>72</v>
      </c>
      <c r="T517" t="s">
        <v>1238</v>
      </c>
      <c r="U517" t="s">
        <v>1239</v>
      </c>
      <c r="V517" t="s">
        <v>1240</v>
      </c>
      <c r="W517" t="s">
        <v>1241</v>
      </c>
      <c r="X517" t="s">
        <v>1242</v>
      </c>
      <c r="Y517" t="s">
        <v>1243</v>
      </c>
      <c r="Z517" t="s">
        <v>1244</v>
      </c>
      <c r="AA517" t="s">
        <v>72</v>
      </c>
      <c r="AB517" t="s">
        <v>72</v>
      </c>
      <c r="AC517" t="s">
        <v>72</v>
      </c>
      <c r="AD517" t="s">
        <v>72</v>
      </c>
      <c r="AE517" t="s">
        <v>72</v>
      </c>
      <c r="AF517" t="s">
        <v>72</v>
      </c>
      <c r="AG517">
        <v>19</v>
      </c>
      <c r="AH517">
        <v>113</v>
      </c>
      <c r="AI517">
        <v>117</v>
      </c>
      <c r="AJ517">
        <v>3</v>
      </c>
      <c r="AK517">
        <v>66</v>
      </c>
      <c r="AL517" t="s">
        <v>336</v>
      </c>
      <c r="AM517" t="s">
        <v>337</v>
      </c>
      <c r="AN517" t="s">
        <v>338</v>
      </c>
      <c r="AO517" t="s">
        <v>496</v>
      </c>
      <c r="AP517" t="s">
        <v>72</v>
      </c>
      <c r="AQ517" t="s">
        <v>72</v>
      </c>
      <c r="AR517" t="s">
        <v>498</v>
      </c>
      <c r="AS517" t="s">
        <v>499</v>
      </c>
      <c r="AT517" t="s">
        <v>929</v>
      </c>
      <c r="AU517">
        <v>2009</v>
      </c>
      <c r="AV517">
        <v>10</v>
      </c>
      <c r="AW517">
        <v>4</v>
      </c>
      <c r="AX517" t="s">
        <v>72</v>
      </c>
      <c r="AY517" t="s">
        <v>72</v>
      </c>
      <c r="AZ517" t="s">
        <v>72</v>
      </c>
      <c r="BA517" t="s">
        <v>72</v>
      </c>
      <c r="BB517">
        <v>535</v>
      </c>
      <c r="BC517">
        <v>549</v>
      </c>
      <c r="BD517" t="s">
        <v>72</v>
      </c>
      <c r="BE517" t="s">
        <v>1245</v>
      </c>
      <c r="BF517" t="str">
        <f>HYPERLINK("http://dx.doi.org/10.1177/1465116509346782","http://dx.doi.org/10.1177/1465116509346782")</f>
        <v>http://dx.doi.org/10.1177/1465116509346782</v>
      </c>
      <c r="BG517" t="s">
        <v>72</v>
      </c>
      <c r="BH517" t="s">
        <v>72</v>
      </c>
      <c r="BI517">
        <v>15</v>
      </c>
      <c r="BJ517" t="s">
        <v>219</v>
      </c>
      <c r="BK517" s="1" t="s">
        <v>17619</v>
      </c>
      <c r="BL517" t="s">
        <v>1246</v>
      </c>
      <c r="BM517" t="s">
        <v>72</v>
      </c>
      <c r="BN517" t="s">
        <v>72</v>
      </c>
      <c r="BO517" t="s">
        <v>72</v>
      </c>
      <c r="BP517" t="s">
        <v>72</v>
      </c>
      <c r="BQ517" t="s">
        <v>100</v>
      </c>
      <c r="BR517" t="s">
        <v>1247</v>
      </c>
      <c r="BS517" t="str">
        <f>HYPERLINK("https%3A%2F%2Fwww.webofscience.com%2Fwos%2Fwoscc%2Ffull-record%2FWOS:000271910400005","View Full Record in Web of Science")</f>
        <v>View Full Record in Web of Science</v>
      </c>
    </row>
    <row r="518" spans="1:71" x14ac:dyDescent="0.2">
      <c r="A518" t="s">
        <v>70</v>
      </c>
      <c r="B518" t="s">
        <v>1248</v>
      </c>
      <c r="C518" t="s">
        <v>72</v>
      </c>
      <c r="D518" t="s">
        <v>72</v>
      </c>
      <c r="E518" t="s">
        <v>72</v>
      </c>
      <c r="F518" t="s">
        <v>1249</v>
      </c>
      <c r="G518" t="s">
        <v>72</v>
      </c>
      <c r="H518" t="s">
        <v>72</v>
      </c>
      <c r="I518" t="s">
        <v>1250</v>
      </c>
      <c r="J518" t="s">
        <v>1251</v>
      </c>
      <c r="K518" t="s">
        <v>72</v>
      </c>
      <c r="L518" t="s">
        <v>72</v>
      </c>
      <c r="M518" t="s">
        <v>76</v>
      </c>
      <c r="N518" t="s">
        <v>77</v>
      </c>
      <c r="O518" t="s">
        <v>72</v>
      </c>
      <c r="P518" t="s">
        <v>72</v>
      </c>
      <c r="Q518" t="s">
        <v>72</v>
      </c>
      <c r="R518" t="s">
        <v>72</v>
      </c>
      <c r="S518" t="s">
        <v>72</v>
      </c>
      <c r="T518" t="s">
        <v>1252</v>
      </c>
      <c r="U518" t="s">
        <v>1253</v>
      </c>
      <c r="V518" t="s">
        <v>1254</v>
      </c>
      <c r="W518" t="s">
        <v>1255</v>
      </c>
      <c r="X518" t="s">
        <v>1256</v>
      </c>
      <c r="Y518" t="s">
        <v>1257</v>
      </c>
      <c r="Z518" t="s">
        <v>1258</v>
      </c>
      <c r="AA518" t="s">
        <v>1259</v>
      </c>
      <c r="AB518" t="s">
        <v>72</v>
      </c>
      <c r="AC518" t="s">
        <v>72</v>
      </c>
      <c r="AD518" t="s">
        <v>72</v>
      </c>
      <c r="AE518" t="s">
        <v>72</v>
      </c>
      <c r="AF518" t="s">
        <v>72</v>
      </c>
      <c r="AG518">
        <v>72</v>
      </c>
      <c r="AH518">
        <v>4</v>
      </c>
      <c r="AI518">
        <v>4</v>
      </c>
      <c r="AJ518">
        <v>2</v>
      </c>
      <c r="AK518">
        <v>12</v>
      </c>
      <c r="AL518" t="s">
        <v>1260</v>
      </c>
      <c r="AM518" t="s">
        <v>964</v>
      </c>
      <c r="AN518" t="s">
        <v>965</v>
      </c>
      <c r="AO518" t="s">
        <v>1261</v>
      </c>
      <c r="AP518" t="s">
        <v>1262</v>
      </c>
      <c r="AQ518" t="s">
        <v>72</v>
      </c>
      <c r="AR518" t="s">
        <v>1263</v>
      </c>
      <c r="AS518" t="s">
        <v>1264</v>
      </c>
      <c r="AT518" t="s">
        <v>929</v>
      </c>
      <c r="AU518">
        <v>2018</v>
      </c>
      <c r="AV518">
        <v>24</v>
      </c>
      <c r="AW518">
        <v>4</v>
      </c>
      <c r="AX518" t="s">
        <v>72</v>
      </c>
      <c r="AY518" t="s">
        <v>72</v>
      </c>
      <c r="AZ518" t="s">
        <v>478</v>
      </c>
      <c r="BA518" t="s">
        <v>72</v>
      </c>
      <c r="BB518">
        <v>525</v>
      </c>
      <c r="BC518">
        <v>544</v>
      </c>
      <c r="BD518" t="s">
        <v>72</v>
      </c>
      <c r="BE518" t="s">
        <v>1265</v>
      </c>
      <c r="BF518" t="str">
        <f>HYPERLINK("http://dx.doi.org/10.1111/spsr.12332","http://dx.doi.org/10.1111/spsr.12332")</f>
        <v>http://dx.doi.org/10.1111/spsr.12332</v>
      </c>
      <c r="BG518" t="s">
        <v>72</v>
      </c>
      <c r="BH518" t="s">
        <v>72</v>
      </c>
      <c r="BI518">
        <v>20</v>
      </c>
      <c r="BJ518" t="s">
        <v>219</v>
      </c>
      <c r="BK518" s="1" t="s">
        <v>17619</v>
      </c>
      <c r="BL518" t="s">
        <v>1266</v>
      </c>
      <c r="BM518" t="s">
        <v>72</v>
      </c>
      <c r="BN518" t="s">
        <v>72</v>
      </c>
      <c r="BO518" t="s">
        <v>72</v>
      </c>
      <c r="BP518" t="s">
        <v>72</v>
      </c>
      <c r="BQ518" t="s">
        <v>100</v>
      </c>
      <c r="BR518" t="s">
        <v>1267</v>
      </c>
      <c r="BS518" t="str">
        <f>HYPERLINK("https%3A%2F%2Fwww.webofscience.com%2Fwos%2Fwoscc%2Ffull-record%2FWOS:000452619800009","View Full Record in Web of Science")</f>
        <v>View Full Record in Web of Science</v>
      </c>
    </row>
    <row r="519" spans="1:71" x14ac:dyDescent="0.2">
      <c r="A519" t="s">
        <v>70</v>
      </c>
      <c r="B519" t="s">
        <v>1367</v>
      </c>
      <c r="C519" t="s">
        <v>72</v>
      </c>
      <c r="D519" t="s">
        <v>72</v>
      </c>
      <c r="E519" t="s">
        <v>72</v>
      </c>
      <c r="F519" t="s">
        <v>1368</v>
      </c>
      <c r="G519" t="s">
        <v>72</v>
      </c>
      <c r="H519" t="s">
        <v>72</v>
      </c>
      <c r="I519" t="s">
        <v>1369</v>
      </c>
      <c r="J519" t="s">
        <v>227</v>
      </c>
      <c r="K519" t="s">
        <v>72</v>
      </c>
      <c r="L519" t="s">
        <v>72</v>
      </c>
      <c r="M519" t="s">
        <v>76</v>
      </c>
      <c r="N519" t="s">
        <v>77</v>
      </c>
      <c r="O519" t="s">
        <v>72</v>
      </c>
      <c r="P519" t="s">
        <v>72</v>
      </c>
      <c r="Q519" t="s">
        <v>72</v>
      </c>
      <c r="R519" t="s">
        <v>72</v>
      </c>
      <c r="S519" t="s">
        <v>72</v>
      </c>
      <c r="T519" t="s">
        <v>1370</v>
      </c>
      <c r="U519" t="s">
        <v>72</v>
      </c>
      <c r="V519" t="s">
        <v>1371</v>
      </c>
      <c r="W519" t="s">
        <v>1372</v>
      </c>
      <c r="X519" t="s">
        <v>1373</v>
      </c>
      <c r="Y519" t="s">
        <v>1374</v>
      </c>
      <c r="Z519" t="s">
        <v>1375</v>
      </c>
      <c r="AA519" t="s">
        <v>1376</v>
      </c>
      <c r="AB519" t="s">
        <v>1377</v>
      </c>
      <c r="AC519" t="s">
        <v>1378</v>
      </c>
      <c r="AD519" t="s">
        <v>1379</v>
      </c>
      <c r="AE519" t="s">
        <v>1380</v>
      </c>
      <c r="AF519" t="s">
        <v>72</v>
      </c>
      <c r="AG519">
        <v>29</v>
      </c>
      <c r="AH519">
        <v>4</v>
      </c>
      <c r="AI519">
        <v>4</v>
      </c>
      <c r="AJ519">
        <v>1</v>
      </c>
      <c r="AK519">
        <v>7</v>
      </c>
      <c r="AL519" t="s">
        <v>240</v>
      </c>
      <c r="AM519" t="s">
        <v>241</v>
      </c>
      <c r="AN519" t="s">
        <v>242</v>
      </c>
      <c r="AO519" t="s">
        <v>243</v>
      </c>
      <c r="AP519" t="s">
        <v>244</v>
      </c>
      <c r="AQ519" t="s">
        <v>72</v>
      </c>
      <c r="AR519" t="s">
        <v>245</v>
      </c>
      <c r="AS519" t="s">
        <v>246</v>
      </c>
      <c r="AT519" t="s">
        <v>149</v>
      </c>
      <c r="AU519">
        <v>2021</v>
      </c>
      <c r="AV519">
        <v>29</v>
      </c>
      <c r="AW519">
        <v>2</v>
      </c>
      <c r="AX519" t="s">
        <v>72</v>
      </c>
      <c r="AY519" t="s">
        <v>72</v>
      </c>
      <c r="AZ519" t="s">
        <v>72</v>
      </c>
      <c r="BA519" t="s">
        <v>72</v>
      </c>
      <c r="BB519">
        <v>236</v>
      </c>
      <c r="BC519">
        <v>249</v>
      </c>
      <c r="BD519" t="s">
        <v>1381</v>
      </c>
      <c r="BE519" t="s">
        <v>1382</v>
      </c>
      <c r="BF519" t="str">
        <f>HYPERLINK("http://dx.doi.org/10.1017/pan.2020.27","http://dx.doi.org/10.1017/pan.2020.27")</f>
        <v>http://dx.doi.org/10.1017/pan.2020.27</v>
      </c>
      <c r="BG519" t="s">
        <v>72</v>
      </c>
      <c r="BH519" t="s">
        <v>72</v>
      </c>
      <c r="BI519">
        <v>14</v>
      </c>
      <c r="BJ519" t="s">
        <v>219</v>
      </c>
      <c r="BK519" s="1" t="s">
        <v>17619</v>
      </c>
      <c r="BL519" t="s">
        <v>1383</v>
      </c>
      <c r="BM519" t="s">
        <v>72</v>
      </c>
      <c r="BN519" t="s">
        <v>280</v>
      </c>
      <c r="BO519" t="s">
        <v>72</v>
      </c>
      <c r="BP519" t="s">
        <v>72</v>
      </c>
      <c r="BQ519" t="s">
        <v>100</v>
      </c>
      <c r="BR519" t="s">
        <v>1384</v>
      </c>
      <c r="BS519" t="str">
        <f>HYPERLINK("https%3A%2F%2Fwww.webofscience.com%2Fwos%2Fwoscc%2Ffull-record%2FWOS:000638266200006","View Full Record in Web of Science")</f>
        <v>View Full Record in Web of Science</v>
      </c>
    </row>
    <row r="520" spans="1:71" x14ac:dyDescent="0.2">
      <c r="A520" t="s">
        <v>70</v>
      </c>
      <c r="B520" t="s">
        <v>1385</v>
      </c>
      <c r="C520" t="s">
        <v>72</v>
      </c>
      <c r="D520" t="s">
        <v>72</v>
      </c>
      <c r="E520" t="s">
        <v>72</v>
      </c>
      <c r="F520" t="s">
        <v>1386</v>
      </c>
      <c r="G520" t="s">
        <v>72</v>
      </c>
      <c r="H520" t="s">
        <v>72</v>
      </c>
      <c r="I520" t="s">
        <v>1387</v>
      </c>
      <c r="J520" t="s">
        <v>1388</v>
      </c>
      <c r="K520" t="s">
        <v>72</v>
      </c>
      <c r="L520" t="s">
        <v>72</v>
      </c>
      <c r="M520" t="s">
        <v>76</v>
      </c>
      <c r="N520" t="s">
        <v>352</v>
      </c>
      <c r="O520" t="s">
        <v>72</v>
      </c>
      <c r="P520" t="s">
        <v>72</v>
      </c>
      <c r="Q520" t="s">
        <v>72</v>
      </c>
      <c r="R520" t="s">
        <v>72</v>
      </c>
      <c r="S520" t="s">
        <v>72</v>
      </c>
      <c r="T520" t="s">
        <v>1389</v>
      </c>
      <c r="U520" t="s">
        <v>1390</v>
      </c>
      <c r="V520" t="s">
        <v>1391</v>
      </c>
      <c r="W520" t="s">
        <v>1392</v>
      </c>
      <c r="X520" t="s">
        <v>1393</v>
      </c>
      <c r="Y520" t="s">
        <v>1394</v>
      </c>
      <c r="Z520" t="s">
        <v>1395</v>
      </c>
      <c r="AA520" t="s">
        <v>1396</v>
      </c>
      <c r="AB520" t="s">
        <v>1397</v>
      </c>
      <c r="AC520" t="s">
        <v>72</v>
      </c>
      <c r="AD520" t="s">
        <v>72</v>
      </c>
      <c r="AE520" t="s">
        <v>72</v>
      </c>
      <c r="AF520" t="s">
        <v>72</v>
      </c>
      <c r="AG520">
        <v>59</v>
      </c>
      <c r="AH520">
        <v>0</v>
      </c>
      <c r="AI520">
        <v>0</v>
      </c>
      <c r="AJ520">
        <v>0</v>
      </c>
      <c r="AK520">
        <v>0</v>
      </c>
      <c r="AL520" t="s">
        <v>336</v>
      </c>
      <c r="AM520" t="s">
        <v>337</v>
      </c>
      <c r="AN520" t="s">
        <v>338</v>
      </c>
      <c r="AO520" t="s">
        <v>1398</v>
      </c>
      <c r="AP520" t="s">
        <v>1399</v>
      </c>
      <c r="AQ520" t="s">
        <v>72</v>
      </c>
      <c r="AR520" t="s">
        <v>1400</v>
      </c>
      <c r="AS520" t="s">
        <v>1401</v>
      </c>
      <c r="AT520" t="s">
        <v>72</v>
      </c>
      <c r="AU520" t="s">
        <v>72</v>
      </c>
      <c r="AV520" t="s">
        <v>72</v>
      </c>
      <c r="AW520" t="s">
        <v>72</v>
      </c>
      <c r="AX520" t="s">
        <v>72</v>
      </c>
      <c r="AY520" t="s">
        <v>72</v>
      </c>
      <c r="AZ520" t="s">
        <v>72</v>
      </c>
      <c r="BA520" t="s">
        <v>72</v>
      </c>
      <c r="BB520" t="s">
        <v>72</v>
      </c>
      <c r="BC520" t="s">
        <v>72</v>
      </c>
      <c r="BD520">
        <v>1.354068822110393E+16</v>
      </c>
      <c r="BE520" t="s">
        <v>1402</v>
      </c>
      <c r="BF520" t="str">
        <f>HYPERLINK("http://dx.doi.org/10.1177/13540688221103930","http://dx.doi.org/10.1177/13540688221103930")</f>
        <v>http://dx.doi.org/10.1177/13540688221103930</v>
      </c>
      <c r="BG520" t="s">
        <v>72</v>
      </c>
      <c r="BH520" t="s">
        <v>1403</v>
      </c>
      <c r="BI520">
        <v>13</v>
      </c>
      <c r="BJ520" t="s">
        <v>219</v>
      </c>
      <c r="BK520" s="1" t="s">
        <v>17619</v>
      </c>
      <c r="BL520" t="s">
        <v>1404</v>
      </c>
      <c r="BM520" t="s">
        <v>72</v>
      </c>
      <c r="BN520" t="s">
        <v>280</v>
      </c>
      <c r="BO520" t="s">
        <v>72</v>
      </c>
      <c r="BP520" t="s">
        <v>72</v>
      </c>
      <c r="BQ520" t="s">
        <v>100</v>
      </c>
      <c r="BR520" t="s">
        <v>1405</v>
      </c>
      <c r="BS520" t="str">
        <f>HYPERLINK("https%3A%2F%2Fwww.webofscience.com%2Fwos%2Fwoscc%2Ffull-record%2FWOS:000805486600001","View Full Record in Web of Science")</f>
        <v>View Full Record in Web of Science</v>
      </c>
    </row>
    <row r="521" spans="1:71" x14ac:dyDescent="0.2">
      <c r="A521" t="s">
        <v>70</v>
      </c>
      <c r="B521" t="s">
        <v>1427</v>
      </c>
      <c r="C521" t="s">
        <v>72</v>
      </c>
      <c r="D521" t="s">
        <v>72</v>
      </c>
      <c r="E521" t="s">
        <v>72</v>
      </c>
      <c r="F521" t="s">
        <v>1428</v>
      </c>
      <c r="G521" t="s">
        <v>72</v>
      </c>
      <c r="H521" t="s">
        <v>72</v>
      </c>
      <c r="I521" t="s">
        <v>1429</v>
      </c>
      <c r="J521" t="s">
        <v>227</v>
      </c>
      <c r="K521" t="s">
        <v>72</v>
      </c>
      <c r="L521" t="s">
        <v>72</v>
      </c>
      <c r="M521" t="s">
        <v>76</v>
      </c>
      <c r="N521" t="s">
        <v>77</v>
      </c>
      <c r="O521" t="s">
        <v>72</v>
      </c>
      <c r="P521" t="s">
        <v>72</v>
      </c>
      <c r="Q521" t="s">
        <v>72</v>
      </c>
      <c r="R521" t="s">
        <v>72</v>
      </c>
      <c r="S521" t="s">
        <v>72</v>
      </c>
      <c r="T521" t="s">
        <v>1430</v>
      </c>
      <c r="U521" t="s">
        <v>1431</v>
      </c>
      <c r="V521" t="s">
        <v>1432</v>
      </c>
      <c r="W521" t="s">
        <v>1433</v>
      </c>
      <c r="X521" t="s">
        <v>1434</v>
      </c>
      <c r="Y521" t="s">
        <v>1435</v>
      </c>
      <c r="Z521" t="s">
        <v>1436</v>
      </c>
      <c r="AA521" t="s">
        <v>1437</v>
      </c>
      <c r="AB521" t="s">
        <v>1438</v>
      </c>
      <c r="AC521" t="s">
        <v>1439</v>
      </c>
      <c r="AD521" t="s">
        <v>1440</v>
      </c>
      <c r="AE521" t="s">
        <v>1441</v>
      </c>
      <c r="AF521" t="s">
        <v>72</v>
      </c>
      <c r="AG521">
        <v>56</v>
      </c>
      <c r="AH521">
        <v>5</v>
      </c>
      <c r="AI521">
        <v>5</v>
      </c>
      <c r="AJ521">
        <v>1</v>
      </c>
      <c r="AK521">
        <v>14</v>
      </c>
      <c r="AL521" t="s">
        <v>240</v>
      </c>
      <c r="AM521" t="s">
        <v>241</v>
      </c>
      <c r="AN521" t="s">
        <v>242</v>
      </c>
      <c r="AO521" t="s">
        <v>243</v>
      </c>
      <c r="AP521" t="s">
        <v>244</v>
      </c>
      <c r="AQ521" t="s">
        <v>72</v>
      </c>
      <c r="AR521" t="s">
        <v>245</v>
      </c>
      <c r="AS521" t="s">
        <v>246</v>
      </c>
      <c r="AT521" t="s">
        <v>776</v>
      </c>
      <c r="AU521">
        <v>2019</v>
      </c>
      <c r="AV521">
        <v>27</v>
      </c>
      <c r="AW521">
        <v>3</v>
      </c>
      <c r="AX521" t="s">
        <v>72</v>
      </c>
      <c r="AY521" t="s">
        <v>72</v>
      </c>
      <c r="AZ521" t="s">
        <v>72</v>
      </c>
      <c r="BA521" t="s">
        <v>72</v>
      </c>
      <c r="BB521">
        <v>339</v>
      </c>
      <c r="BC521">
        <v>359</v>
      </c>
      <c r="BD521" t="s">
        <v>72</v>
      </c>
      <c r="BE521" t="s">
        <v>1442</v>
      </c>
      <c r="BF521" t="str">
        <f>HYPERLINK("http://dx.doi.org/10.1017/pan.2018.62","http://dx.doi.org/10.1017/pan.2018.62")</f>
        <v>http://dx.doi.org/10.1017/pan.2018.62</v>
      </c>
      <c r="BG521" t="s">
        <v>72</v>
      </c>
      <c r="BH521" t="s">
        <v>72</v>
      </c>
      <c r="BI521">
        <v>21</v>
      </c>
      <c r="BJ521" t="s">
        <v>219</v>
      </c>
      <c r="BK521" s="1" t="s">
        <v>17619</v>
      </c>
      <c r="BL521" t="s">
        <v>1443</v>
      </c>
      <c r="BM521" t="s">
        <v>72</v>
      </c>
      <c r="BN521" t="s">
        <v>72</v>
      </c>
      <c r="BO521" t="s">
        <v>72</v>
      </c>
      <c r="BP521" t="s">
        <v>72</v>
      </c>
      <c r="BQ521" t="s">
        <v>100</v>
      </c>
      <c r="BR521" t="s">
        <v>1444</v>
      </c>
      <c r="BS521" t="str">
        <f>HYPERLINK("https%3A%2F%2Fwww.webofscience.com%2Fwos%2Fwoscc%2Ffull-record%2FWOS:000475687800005","View Full Record in Web of Science")</f>
        <v>View Full Record in Web of Science</v>
      </c>
    </row>
    <row r="522" spans="1:71" x14ac:dyDescent="0.2">
      <c r="A522" t="s">
        <v>70</v>
      </c>
      <c r="B522" t="s">
        <v>1773</v>
      </c>
      <c r="C522" t="s">
        <v>72</v>
      </c>
      <c r="D522" t="s">
        <v>72</v>
      </c>
      <c r="E522" t="s">
        <v>72</v>
      </c>
      <c r="F522" t="s">
        <v>1774</v>
      </c>
      <c r="G522" t="s">
        <v>72</v>
      </c>
      <c r="H522" t="s">
        <v>72</v>
      </c>
      <c r="I522" t="s">
        <v>1775</v>
      </c>
      <c r="J522" t="s">
        <v>1776</v>
      </c>
      <c r="K522" t="s">
        <v>72</v>
      </c>
      <c r="L522" t="s">
        <v>72</v>
      </c>
      <c r="M522" t="s">
        <v>76</v>
      </c>
      <c r="N522" t="s">
        <v>77</v>
      </c>
      <c r="O522" t="s">
        <v>72</v>
      </c>
      <c r="P522" t="s">
        <v>72</v>
      </c>
      <c r="Q522" t="s">
        <v>72</v>
      </c>
      <c r="R522" t="s">
        <v>72</v>
      </c>
      <c r="S522" t="s">
        <v>72</v>
      </c>
      <c r="T522" t="s">
        <v>1777</v>
      </c>
      <c r="U522" t="s">
        <v>1778</v>
      </c>
      <c r="V522" t="s">
        <v>1779</v>
      </c>
      <c r="W522" t="s">
        <v>1780</v>
      </c>
      <c r="X522" t="s">
        <v>1781</v>
      </c>
      <c r="Y522" t="s">
        <v>1782</v>
      </c>
      <c r="Z522" t="s">
        <v>1783</v>
      </c>
      <c r="AA522" t="s">
        <v>72</v>
      </c>
      <c r="AB522" t="s">
        <v>1784</v>
      </c>
      <c r="AC522" t="s">
        <v>1785</v>
      </c>
      <c r="AD522" t="s">
        <v>1785</v>
      </c>
      <c r="AE522" t="s">
        <v>1786</v>
      </c>
      <c r="AF522" t="s">
        <v>72</v>
      </c>
      <c r="AG522">
        <v>48</v>
      </c>
      <c r="AH522">
        <v>0</v>
      </c>
      <c r="AI522">
        <v>0</v>
      </c>
      <c r="AJ522">
        <v>0</v>
      </c>
      <c r="AK522">
        <v>1</v>
      </c>
      <c r="AL522" t="s">
        <v>1596</v>
      </c>
      <c r="AM522" t="s">
        <v>451</v>
      </c>
      <c r="AN522" t="s">
        <v>1597</v>
      </c>
      <c r="AO522" t="s">
        <v>1787</v>
      </c>
      <c r="AP522" t="s">
        <v>1788</v>
      </c>
      <c r="AQ522" t="s">
        <v>72</v>
      </c>
      <c r="AR522" t="s">
        <v>1789</v>
      </c>
      <c r="AS522" t="s">
        <v>1790</v>
      </c>
      <c r="AT522" t="s">
        <v>929</v>
      </c>
      <c r="AU522">
        <v>2021</v>
      </c>
      <c r="AV522">
        <v>74</v>
      </c>
      <c r="AW522" t="s">
        <v>72</v>
      </c>
      <c r="AX522" t="s">
        <v>72</v>
      </c>
      <c r="AY522" t="s">
        <v>72</v>
      </c>
      <c r="AZ522" t="s">
        <v>72</v>
      </c>
      <c r="BA522" t="s">
        <v>72</v>
      </c>
      <c r="BB522" t="s">
        <v>72</v>
      </c>
      <c r="BC522" t="s">
        <v>72</v>
      </c>
      <c r="BD522">
        <v>102417</v>
      </c>
      <c r="BE522" t="s">
        <v>1791</v>
      </c>
      <c r="BF522" t="str">
        <f>HYPERLINK("http://dx.doi.org/10.1016/j.electstud.2021.102417","http://dx.doi.org/10.1016/j.electstud.2021.102417")</f>
        <v>http://dx.doi.org/10.1016/j.electstud.2021.102417</v>
      </c>
      <c r="BG522" t="s">
        <v>72</v>
      </c>
      <c r="BH522" t="s">
        <v>1792</v>
      </c>
      <c r="BI522">
        <v>10</v>
      </c>
      <c r="BJ522" t="s">
        <v>219</v>
      </c>
      <c r="BK522" s="1" t="s">
        <v>17619</v>
      </c>
      <c r="BL522" t="s">
        <v>1793</v>
      </c>
      <c r="BM522" t="s">
        <v>72</v>
      </c>
      <c r="BN522" t="s">
        <v>72</v>
      </c>
      <c r="BO522" t="s">
        <v>72</v>
      </c>
      <c r="BP522" t="s">
        <v>72</v>
      </c>
      <c r="BQ522" t="s">
        <v>100</v>
      </c>
      <c r="BR522" t="s">
        <v>1794</v>
      </c>
      <c r="BS522" t="str">
        <f>HYPERLINK("https%3A%2F%2Fwww.webofscience.com%2Fwos%2Fwoscc%2Ffull-record%2FWOS:000722027600003","View Full Record in Web of Science")</f>
        <v>View Full Record in Web of Science</v>
      </c>
    </row>
    <row r="523" spans="1:71" x14ac:dyDescent="0.2">
      <c r="A523" t="s">
        <v>70</v>
      </c>
      <c r="B523" t="s">
        <v>485</v>
      </c>
      <c r="C523" t="s">
        <v>72</v>
      </c>
      <c r="D523" t="s">
        <v>72</v>
      </c>
      <c r="E523" t="s">
        <v>72</v>
      </c>
      <c r="F523" t="s">
        <v>486</v>
      </c>
      <c r="G523" t="s">
        <v>72</v>
      </c>
      <c r="H523" t="s">
        <v>72</v>
      </c>
      <c r="I523" t="s">
        <v>1977</v>
      </c>
      <c r="J523" t="s">
        <v>1978</v>
      </c>
      <c r="K523" t="s">
        <v>72</v>
      </c>
      <c r="L523" t="s">
        <v>72</v>
      </c>
      <c r="M523" t="s">
        <v>542</v>
      </c>
      <c r="N523" t="s">
        <v>77</v>
      </c>
      <c r="O523" t="s">
        <v>72</v>
      </c>
      <c r="P523" t="s">
        <v>72</v>
      </c>
      <c r="Q523" t="s">
        <v>72</v>
      </c>
      <c r="R523" t="s">
        <v>72</v>
      </c>
      <c r="S523" t="s">
        <v>72</v>
      </c>
      <c r="T523" t="s">
        <v>1979</v>
      </c>
      <c r="U523" t="s">
        <v>1980</v>
      </c>
      <c r="V523" t="s">
        <v>1981</v>
      </c>
      <c r="W523" t="s">
        <v>1982</v>
      </c>
      <c r="X523" t="s">
        <v>1983</v>
      </c>
      <c r="Y523" t="s">
        <v>1984</v>
      </c>
      <c r="Z523" t="s">
        <v>1985</v>
      </c>
      <c r="AA523" t="s">
        <v>1986</v>
      </c>
      <c r="AB523" t="s">
        <v>72</v>
      </c>
      <c r="AC523" t="s">
        <v>72</v>
      </c>
      <c r="AD523" t="s">
        <v>72</v>
      </c>
      <c r="AE523" t="s">
        <v>72</v>
      </c>
      <c r="AF523" t="s">
        <v>72</v>
      </c>
      <c r="AG523">
        <v>56</v>
      </c>
      <c r="AH523">
        <v>4</v>
      </c>
      <c r="AI523">
        <v>4</v>
      </c>
      <c r="AJ523">
        <v>1</v>
      </c>
      <c r="AK523">
        <v>43</v>
      </c>
      <c r="AL523" t="s">
        <v>88</v>
      </c>
      <c r="AM523" t="s">
        <v>707</v>
      </c>
      <c r="AN523" t="s">
        <v>1987</v>
      </c>
      <c r="AO523" t="s">
        <v>1988</v>
      </c>
      <c r="AP523" t="s">
        <v>1989</v>
      </c>
      <c r="AQ523" t="s">
        <v>72</v>
      </c>
      <c r="AR523" t="s">
        <v>1990</v>
      </c>
      <c r="AS523" t="s">
        <v>1991</v>
      </c>
      <c r="AT523" t="s">
        <v>72</v>
      </c>
      <c r="AU523">
        <v>2012</v>
      </c>
      <c r="AV523">
        <v>53</v>
      </c>
      <c r="AW523">
        <v>2</v>
      </c>
      <c r="AX523" t="s">
        <v>72</v>
      </c>
      <c r="AY523" t="s">
        <v>72</v>
      </c>
      <c r="AZ523" t="s">
        <v>72</v>
      </c>
      <c r="BA523" t="s">
        <v>72</v>
      </c>
      <c r="BB523">
        <v>211</v>
      </c>
      <c r="BC523">
        <v>239</v>
      </c>
      <c r="BD523" t="s">
        <v>72</v>
      </c>
      <c r="BE523" t="s">
        <v>72</v>
      </c>
      <c r="BF523" t="s">
        <v>72</v>
      </c>
      <c r="BG523" t="s">
        <v>72</v>
      </c>
      <c r="BH523" t="s">
        <v>72</v>
      </c>
      <c r="BI523">
        <v>29</v>
      </c>
      <c r="BJ523" t="s">
        <v>219</v>
      </c>
      <c r="BK523" s="1" t="s">
        <v>17619</v>
      </c>
      <c r="BL523" t="s">
        <v>1992</v>
      </c>
      <c r="BM523" t="s">
        <v>72</v>
      </c>
      <c r="BN523" t="s">
        <v>72</v>
      </c>
      <c r="BO523" t="s">
        <v>72</v>
      </c>
      <c r="BP523" t="s">
        <v>72</v>
      </c>
      <c r="BQ523" t="s">
        <v>100</v>
      </c>
      <c r="BR523" t="s">
        <v>1993</v>
      </c>
      <c r="BS523" t="str">
        <f>HYPERLINK("https%3A%2F%2Fwww.webofscience.com%2Fwos%2Fwoscc%2Ffull-record%2FWOS:000309293700002","View Full Record in Web of Science")</f>
        <v>View Full Record in Web of Science</v>
      </c>
    </row>
    <row r="524" spans="1:71" x14ac:dyDescent="0.2">
      <c r="A524" t="s">
        <v>70</v>
      </c>
      <c r="B524" t="s">
        <v>2013</v>
      </c>
      <c r="C524" t="s">
        <v>72</v>
      </c>
      <c r="D524" t="s">
        <v>72</v>
      </c>
      <c r="E524" t="s">
        <v>72</v>
      </c>
      <c r="F524" t="s">
        <v>2014</v>
      </c>
      <c r="G524" t="s">
        <v>72</v>
      </c>
      <c r="H524" t="s">
        <v>72</v>
      </c>
      <c r="I524" t="s">
        <v>2015</v>
      </c>
      <c r="J524" t="s">
        <v>1388</v>
      </c>
      <c r="K524" t="s">
        <v>72</v>
      </c>
      <c r="L524" t="s">
        <v>72</v>
      </c>
      <c r="M524" t="s">
        <v>76</v>
      </c>
      <c r="N524" t="s">
        <v>352</v>
      </c>
      <c r="O524" t="s">
        <v>72</v>
      </c>
      <c r="P524" t="s">
        <v>72</v>
      </c>
      <c r="Q524" t="s">
        <v>72</v>
      </c>
      <c r="R524" t="s">
        <v>72</v>
      </c>
      <c r="S524" t="s">
        <v>72</v>
      </c>
      <c r="T524" t="s">
        <v>2016</v>
      </c>
      <c r="U524" t="s">
        <v>2017</v>
      </c>
      <c r="V524" t="s">
        <v>2018</v>
      </c>
      <c r="W524" t="s">
        <v>2019</v>
      </c>
      <c r="X524" t="s">
        <v>2020</v>
      </c>
      <c r="Y524" t="s">
        <v>2021</v>
      </c>
      <c r="Z524" t="s">
        <v>2022</v>
      </c>
      <c r="AA524" t="s">
        <v>2023</v>
      </c>
      <c r="AB524" t="s">
        <v>2024</v>
      </c>
      <c r="AC524" t="s">
        <v>2025</v>
      </c>
      <c r="AD524" t="s">
        <v>2026</v>
      </c>
      <c r="AE524" t="s">
        <v>2027</v>
      </c>
      <c r="AF524" t="s">
        <v>72</v>
      </c>
      <c r="AG524">
        <v>54</v>
      </c>
      <c r="AH524">
        <v>0</v>
      </c>
      <c r="AI524">
        <v>0</v>
      </c>
      <c r="AJ524">
        <v>4</v>
      </c>
      <c r="AK524">
        <v>4</v>
      </c>
      <c r="AL524" t="s">
        <v>336</v>
      </c>
      <c r="AM524" t="s">
        <v>337</v>
      </c>
      <c r="AN524" t="s">
        <v>338</v>
      </c>
      <c r="AO524" t="s">
        <v>1398</v>
      </c>
      <c r="AP524" t="s">
        <v>1399</v>
      </c>
      <c r="AQ524" t="s">
        <v>72</v>
      </c>
      <c r="AR524" t="s">
        <v>1400</v>
      </c>
      <c r="AS524" t="s">
        <v>1401</v>
      </c>
      <c r="AT524" t="s">
        <v>72</v>
      </c>
      <c r="AU524" t="s">
        <v>72</v>
      </c>
      <c r="AV524" t="s">
        <v>72</v>
      </c>
      <c r="AW524" t="s">
        <v>72</v>
      </c>
      <c r="AX524" t="s">
        <v>72</v>
      </c>
      <c r="AY524" t="s">
        <v>72</v>
      </c>
      <c r="AZ524" t="s">
        <v>72</v>
      </c>
      <c r="BA524" t="s">
        <v>72</v>
      </c>
      <c r="BB524" t="s">
        <v>72</v>
      </c>
      <c r="BC524" t="s">
        <v>72</v>
      </c>
      <c r="BD524">
        <v>1.3540688221097082E+16</v>
      </c>
      <c r="BE524" t="s">
        <v>2028</v>
      </c>
      <c r="BF524" t="str">
        <f>HYPERLINK("http://dx.doi.org/10.1177/13540688221097082","http://dx.doi.org/10.1177/13540688221097082")</f>
        <v>http://dx.doi.org/10.1177/13540688221097082</v>
      </c>
      <c r="BG524" t="s">
        <v>72</v>
      </c>
      <c r="BH524" t="s">
        <v>1403</v>
      </c>
      <c r="BI524">
        <v>13</v>
      </c>
      <c r="BJ524" t="s">
        <v>219</v>
      </c>
      <c r="BK524" s="1" t="s">
        <v>17619</v>
      </c>
      <c r="BL524" t="s">
        <v>2029</v>
      </c>
      <c r="BM524" t="s">
        <v>72</v>
      </c>
      <c r="BN524" t="s">
        <v>280</v>
      </c>
      <c r="BO524" t="s">
        <v>72</v>
      </c>
      <c r="BP524" t="s">
        <v>72</v>
      </c>
      <c r="BQ524" t="s">
        <v>100</v>
      </c>
      <c r="BR524" t="s">
        <v>2030</v>
      </c>
      <c r="BS524" t="str">
        <f>HYPERLINK("https%3A%2F%2Fwww.webofscience.com%2Fwos%2Fwoscc%2Ffull-record%2FWOS:000799634600001","View Full Record in Web of Science")</f>
        <v>View Full Record in Web of Science</v>
      </c>
    </row>
    <row r="525" spans="1:71" x14ac:dyDescent="0.2">
      <c r="A525" t="s">
        <v>70</v>
      </c>
      <c r="B525" t="s">
        <v>2049</v>
      </c>
      <c r="C525" t="s">
        <v>72</v>
      </c>
      <c r="D525" t="s">
        <v>72</v>
      </c>
      <c r="E525" t="s">
        <v>72</v>
      </c>
      <c r="F525" t="s">
        <v>2050</v>
      </c>
      <c r="G525" t="s">
        <v>72</v>
      </c>
      <c r="H525" t="s">
        <v>72</v>
      </c>
      <c r="I525" t="s">
        <v>2051</v>
      </c>
      <c r="J525" t="s">
        <v>1388</v>
      </c>
      <c r="K525" t="s">
        <v>72</v>
      </c>
      <c r="L525" t="s">
        <v>72</v>
      </c>
      <c r="M525" t="s">
        <v>76</v>
      </c>
      <c r="N525" t="s">
        <v>77</v>
      </c>
      <c r="O525" t="s">
        <v>72</v>
      </c>
      <c r="P525" t="s">
        <v>72</v>
      </c>
      <c r="Q525" t="s">
        <v>72</v>
      </c>
      <c r="R525" t="s">
        <v>72</v>
      </c>
      <c r="S525" t="s">
        <v>72</v>
      </c>
      <c r="T525" t="s">
        <v>2052</v>
      </c>
      <c r="U525" t="s">
        <v>2053</v>
      </c>
      <c r="V525" t="s">
        <v>2054</v>
      </c>
      <c r="W525" t="s">
        <v>2055</v>
      </c>
      <c r="X525" t="s">
        <v>1781</v>
      </c>
      <c r="Y525" t="s">
        <v>2056</v>
      </c>
      <c r="Z525" t="s">
        <v>2057</v>
      </c>
      <c r="AA525" t="s">
        <v>72</v>
      </c>
      <c r="AB525" t="s">
        <v>2058</v>
      </c>
      <c r="AC525" t="s">
        <v>72</v>
      </c>
      <c r="AD525" t="s">
        <v>72</v>
      </c>
      <c r="AE525" t="s">
        <v>72</v>
      </c>
      <c r="AF525" t="s">
        <v>72</v>
      </c>
      <c r="AG525">
        <v>70</v>
      </c>
      <c r="AH525">
        <v>34</v>
      </c>
      <c r="AI525">
        <v>34</v>
      </c>
      <c r="AJ525">
        <v>3</v>
      </c>
      <c r="AK525">
        <v>21</v>
      </c>
      <c r="AL525" t="s">
        <v>336</v>
      </c>
      <c r="AM525" t="s">
        <v>337</v>
      </c>
      <c r="AN525" t="s">
        <v>338</v>
      </c>
      <c r="AO525" t="s">
        <v>1398</v>
      </c>
      <c r="AP525" t="s">
        <v>1399</v>
      </c>
      <c r="AQ525" t="s">
        <v>72</v>
      </c>
      <c r="AR525" t="s">
        <v>1400</v>
      </c>
      <c r="AS525" t="s">
        <v>1401</v>
      </c>
      <c r="AT525" t="s">
        <v>951</v>
      </c>
      <c r="AU525">
        <v>2016</v>
      </c>
      <c r="AV525">
        <v>22</v>
      </c>
      <c r="AW525">
        <v>6</v>
      </c>
      <c r="AX525" t="s">
        <v>72</v>
      </c>
      <c r="AY525" t="s">
        <v>72</v>
      </c>
      <c r="AZ525" t="s">
        <v>72</v>
      </c>
      <c r="BA525" t="s">
        <v>72</v>
      </c>
      <c r="BB525">
        <v>797</v>
      </c>
      <c r="BC525">
        <v>808</v>
      </c>
      <c r="BD525" t="s">
        <v>72</v>
      </c>
      <c r="BE525" t="s">
        <v>2059</v>
      </c>
      <c r="BF525" t="str">
        <f>HYPERLINK("http://dx.doi.org/10.1177/1354068814563974","http://dx.doi.org/10.1177/1354068814563974")</f>
        <v>http://dx.doi.org/10.1177/1354068814563974</v>
      </c>
      <c r="BG525" t="s">
        <v>72</v>
      </c>
      <c r="BH525" t="s">
        <v>72</v>
      </c>
      <c r="BI525">
        <v>12</v>
      </c>
      <c r="BJ525" t="s">
        <v>219</v>
      </c>
      <c r="BK525" s="1" t="s">
        <v>17619</v>
      </c>
      <c r="BL525" t="s">
        <v>2060</v>
      </c>
      <c r="BM525" t="s">
        <v>72</v>
      </c>
      <c r="BN525" t="s">
        <v>72</v>
      </c>
      <c r="BO525" t="s">
        <v>72</v>
      </c>
      <c r="BP525" t="s">
        <v>72</v>
      </c>
      <c r="BQ525" t="s">
        <v>100</v>
      </c>
      <c r="BR525" t="s">
        <v>2061</v>
      </c>
      <c r="BS525" t="str">
        <f>HYPERLINK("https%3A%2F%2Fwww.webofscience.com%2Fwos%2Fwoscc%2Ffull-record%2FWOS:000386694000011","View Full Record in Web of Science")</f>
        <v>View Full Record in Web of Science</v>
      </c>
    </row>
    <row r="526" spans="1:71" x14ac:dyDescent="0.2">
      <c r="A526" t="s">
        <v>70</v>
      </c>
      <c r="B526" t="s">
        <v>2062</v>
      </c>
      <c r="C526" t="s">
        <v>72</v>
      </c>
      <c r="D526" t="s">
        <v>72</v>
      </c>
      <c r="E526" t="s">
        <v>72</v>
      </c>
      <c r="F526" t="s">
        <v>2063</v>
      </c>
      <c r="G526" t="s">
        <v>72</v>
      </c>
      <c r="H526" t="s">
        <v>72</v>
      </c>
      <c r="I526" t="s">
        <v>2064</v>
      </c>
      <c r="J526" t="s">
        <v>2065</v>
      </c>
      <c r="K526" t="s">
        <v>72</v>
      </c>
      <c r="L526" t="s">
        <v>72</v>
      </c>
      <c r="M526" t="s">
        <v>76</v>
      </c>
      <c r="N526" t="s">
        <v>77</v>
      </c>
      <c r="O526" t="s">
        <v>72</v>
      </c>
      <c r="P526" t="s">
        <v>72</v>
      </c>
      <c r="Q526" t="s">
        <v>72</v>
      </c>
      <c r="R526" t="s">
        <v>72</v>
      </c>
      <c r="S526" t="s">
        <v>72</v>
      </c>
      <c r="T526" t="s">
        <v>2066</v>
      </c>
      <c r="U526" t="s">
        <v>2067</v>
      </c>
      <c r="V526" t="s">
        <v>2068</v>
      </c>
      <c r="W526" t="s">
        <v>2069</v>
      </c>
      <c r="X526" t="s">
        <v>72</v>
      </c>
      <c r="Y526" t="s">
        <v>2070</v>
      </c>
      <c r="Z526" t="s">
        <v>2071</v>
      </c>
      <c r="AA526" t="s">
        <v>72</v>
      </c>
      <c r="AB526" t="s">
        <v>2072</v>
      </c>
      <c r="AC526" t="s">
        <v>72</v>
      </c>
      <c r="AD526" t="s">
        <v>72</v>
      </c>
      <c r="AE526" t="s">
        <v>72</v>
      </c>
      <c r="AF526" t="s">
        <v>72</v>
      </c>
      <c r="AG526">
        <v>79</v>
      </c>
      <c r="AH526">
        <v>4</v>
      </c>
      <c r="AI526">
        <v>4</v>
      </c>
      <c r="AJ526">
        <v>2</v>
      </c>
      <c r="AK526">
        <v>3</v>
      </c>
      <c r="AL526" t="s">
        <v>2073</v>
      </c>
      <c r="AM526" t="s">
        <v>365</v>
      </c>
      <c r="AN526" t="s">
        <v>2074</v>
      </c>
      <c r="AO526" t="s">
        <v>72</v>
      </c>
      <c r="AP526" t="s">
        <v>2075</v>
      </c>
      <c r="AQ526" t="s">
        <v>72</v>
      </c>
      <c r="AR526" t="s">
        <v>2076</v>
      </c>
      <c r="AS526" t="s">
        <v>2077</v>
      </c>
      <c r="AT526" t="s">
        <v>72</v>
      </c>
      <c r="AU526">
        <v>2019</v>
      </c>
      <c r="AV526">
        <v>1</v>
      </c>
      <c r="AW526">
        <v>1</v>
      </c>
      <c r="AX526" t="s">
        <v>72</v>
      </c>
      <c r="AY526" t="s">
        <v>72</v>
      </c>
      <c r="AZ526" t="s">
        <v>72</v>
      </c>
      <c r="BA526" t="s">
        <v>72</v>
      </c>
      <c r="BB526" t="s">
        <v>72</v>
      </c>
      <c r="BC526" t="s">
        <v>72</v>
      </c>
      <c r="BD526">
        <v>1605834</v>
      </c>
      <c r="BE526" t="s">
        <v>2078</v>
      </c>
      <c r="BF526" t="str">
        <f>HYPERLINK("http://dx.doi.org/10.1080/2474736X.2019.1605834","http://dx.doi.org/10.1080/2474736X.2019.1605834")</f>
        <v>http://dx.doi.org/10.1080/2474736X.2019.1605834</v>
      </c>
      <c r="BG526" t="s">
        <v>72</v>
      </c>
      <c r="BH526" t="s">
        <v>72</v>
      </c>
      <c r="BI526">
        <v>23</v>
      </c>
      <c r="BJ526" t="s">
        <v>219</v>
      </c>
      <c r="BK526" s="1" t="s">
        <v>17619</v>
      </c>
      <c r="BL526" t="s">
        <v>2079</v>
      </c>
      <c r="BM526" t="s">
        <v>72</v>
      </c>
      <c r="BN526" t="s">
        <v>222</v>
      </c>
      <c r="BO526" t="s">
        <v>72</v>
      </c>
      <c r="BP526" t="s">
        <v>72</v>
      </c>
      <c r="BQ526" t="s">
        <v>100</v>
      </c>
      <c r="BR526" t="s">
        <v>2080</v>
      </c>
      <c r="BS526" t="str">
        <f>HYPERLINK("https%3A%2F%2Fwww.webofscience.com%2Fwos%2Fwoscc%2Ffull-record%2FWOS:000648615600001","View Full Record in Web of Science")</f>
        <v>View Full Record in Web of Science</v>
      </c>
    </row>
    <row r="527" spans="1:71" x14ac:dyDescent="0.2">
      <c r="A527" t="s">
        <v>70</v>
      </c>
      <c r="B527" t="s">
        <v>2181</v>
      </c>
      <c r="C527" t="s">
        <v>72</v>
      </c>
      <c r="D527" t="s">
        <v>72</v>
      </c>
      <c r="E527" t="s">
        <v>72</v>
      </c>
      <c r="F527" t="s">
        <v>2182</v>
      </c>
      <c r="G527" t="s">
        <v>72</v>
      </c>
      <c r="H527" t="s">
        <v>72</v>
      </c>
      <c r="I527" t="s">
        <v>2183</v>
      </c>
      <c r="J527" t="s">
        <v>488</v>
      </c>
      <c r="K527" t="s">
        <v>72</v>
      </c>
      <c r="L527" t="s">
        <v>72</v>
      </c>
      <c r="M527" t="s">
        <v>76</v>
      </c>
      <c r="N527" t="s">
        <v>77</v>
      </c>
      <c r="O527" t="s">
        <v>72</v>
      </c>
      <c r="P527" t="s">
        <v>72</v>
      </c>
      <c r="Q527" t="s">
        <v>72</v>
      </c>
      <c r="R527" t="s">
        <v>72</v>
      </c>
      <c r="S527" t="s">
        <v>72</v>
      </c>
      <c r="T527" t="s">
        <v>2184</v>
      </c>
      <c r="U527" t="s">
        <v>2185</v>
      </c>
      <c r="V527" t="s">
        <v>2186</v>
      </c>
      <c r="W527" t="s">
        <v>2187</v>
      </c>
      <c r="X527" t="s">
        <v>2188</v>
      </c>
      <c r="Y527" t="s">
        <v>2189</v>
      </c>
      <c r="Z527" t="s">
        <v>2190</v>
      </c>
      <c r="AA527" t="s">
        <v>72</v>
      </c>
      <c r="AB527" t="s">
        <v>72</v>
      </c>
      <c r="AC527" t="s">
        <v>2191</v>
      </c>
      <c r="AD527" t="s">
        <v>2192</v>
      </c>
      <c r="AE527" t="s">
        <v>2193</v>
      </c>
      <c r="AF527" t="s">
        <v>72</v>
      </c>
      <c r="AG527">
        <v>34</v>
      </c>
      <c r="AH527">
        <v>21</v>
      </c>
      <c r="AI527">
        <v>21</v>
      </c>
      <c r="AJ527">
        <v>2</v>
      </c>
      <c r="AK527">
        <v>50</v>
      </c>
      <c r="AL527" t="s">
        <v>336</v>
      </c>
      <c r="AM527" t="s">
        <v>337</v>
      </c>
      <c r="AN527" t="s">
        <v>338</v>
      </c>
      <c r="AO527" t="s">
        <v>496</v>
      </c>
      <c r="AP527" t="s">
        <v>497</v>
      </c>
      <c r="AQ527" t="s">
        <v>72</v>
      </c>
      <c r="AR527" t="s">
        <v>498</v>
      </c>
      <c r="AS527" t="s">
        <v>499</v>
      </c>
      <c r="AT527" t="s">
        <v>95</v>
      </c>
      <c r="AU527">
        <v>2015</v>
      </c>
      <c r="AV527">
        <v>16</v>
      </c>
      <c r="AW527">
        <v>3</v>
      </c>
      <c r="AX527" t="s">
        <v>72</v>
      </c>
      <c r="AY527" t="s">
        <v>72</v>
      </c>
      <c r="AZ527" t="s">
        <v>72</v>
      </c>
      <c r="BA527" t="s">
        <v>72</v>
      </c>
      <c r="BB527">
        <v>429</v>
      </c>
      <c r="BC527">
        <v>455</v>
      </c>
      <c r="BD527" t="s">
        <v>72</v>
      </c>
      <c r="BE527" t="s">
        <v>2194</v>
      </c>
      <c r="BF527" t="str">
        <f>HYPERLINK("http://dx.doi.org/10.1177/1465116515577821","http://dx.doi.org/10.1177/1465116515577821")</f>
        <v>http://dx.doi.org/10.1177/1465116515577821</v>
      </c>
      <c r="BG527" t="s">
        <v>72</v>
      </c>
      <c r="BH527" t="s">
        <v>72</v>
      </c>
      <c r="BI527">
        <v>27</v>
      </c>
      <c r="BJ527" t="s">
        <v>219</v>
      </c>
      <c r="BK527" s="1" t="s">
        <v>17619</v>
      </c>
      <c r="BL527" t="s">
        <v>501</v>
      </c>
      <c r="BM527" t="s">
        <v>72</v>
      </c>
      <c r="BN527" t="s">
        <v>72</v>
      </c>
      <c r="BO527" t="s">
        <v>72</v>
      </c>
      <c r="BP527" t="s">
        <v>72</v>
      </c>
      <c r="BQ527" t="s">
        <v>100</v>
      </c>
      <c r="BR527" t="s">
        <v>2195</v>
      </c>
      <c r="BS527" t="str">
        <f>HYPERLINK("https%3A%2F%2Fwww.webofscience.com%2Fwos%2Fwoscc%2Ffull-record%2FWOS:000360108000007","View Full Record in Web of Science")</f>
        <v>View Full Record in Web of Science</v>
      </c>
    </row>
    <row r="528" spans="1:71" x14ac:dyDescent="0.2">
      <c r="A528" t="s">
        <v>70</v>
      </c>
      <c r="B528" t="s">
        <v>2215</v>
      </c>
      <c r="C528" t="s">
        <v>72</v>
      </c>
      <c r="D528" t="s">
        <v>72</v>
      </c>
      <c r="E528" t="s">
        <v>72</v>
      </c>
      <c r="F528" t="s">
        <v>2216</v>
      </c>
      <c r="G528" t="s">
        <v>72</v>
      </c>
      <c r="H528" t="s">
        <v>72</v>
      </c>
      <c r="I528" t="s">
        <v>2217</v>
      </c>
      <c r="J528" t="s">
        <v>2218</v>
      </c>
      <c r="K528" t="s">
        <v>72</v>
      </c>
      <c r="L528" t="s">
        <v>72</v>
      </c>
      <c r="M528" t="s">
        <v>542</v>
      </c>
      <c r="N528" t="s">
        <v>77</v>
      </c>
      <c r="O528" t="s">
        <v>72</v>
      </c>
      <c r="P528" t="s">
        <v>72</v>
      </c>
      <c r="Q528" t="s">
        <v>72</v>
      </c>
      <c r="R528" t="s">
        <v>72</v>
      </c>
      <c r="S528" t="s">
        <v>72</v>
      </c>
      <c r="T528" t="s">
        <v>2219</v>
      </c>
      <c r="U528" t="s">
        <v>2220</v>
      </c>
      <c r="V528" t="s">
        <v>2221</v>
      </c>
      <c r="W528" t="s">
        <v>2222</v>
      </c>
      <c r="X528" t="s">
        <v>805</v>
      </c>
      <c r="Y528" t="s">
        <v>2223</v>
      </c>
      <c r="Z528" t="s">
        <v>2224</v>
      </c>
      <c r="AA528" t="s">
        <v>2225</v>
      </c>
      <c r="AB528" t="s">
        <v>2226</v>
      </c>
      <c r="AC528" t="s">
        <v>2227</v>
      </c>
      <c r="AD528" t="s">
        <v>2227</v>
      </c>
      <c r="AE528" t="s">
        <v>2228</v>
      </c>
      <c r="AF528" t="s">
        <v>72</v>
      </c>
      <c r="AG528">
        <v>68</v>
      </c>
      <c r="AH528">
        <v>2</v>
      </c>
      <c r="AI528">
        <v>2</v>
      </c>
      <c r="AJ528">
        <v>0</v>
      </c>
      <c r="AK528">
        <v>6</v>
      </c>
      <c r="AL528" t="s">
        <v>2229</v>
      </c>
      <c r="AM528" t="s">
        <v>2230</v>
      </c>
      <c r="AN528" t="s">
        <v>2231</v>
      </c>
      <c r="AO528" t="s">
        <v>2232</v>
      </c>
      <c r="AP528" t="s">
        <v>2233</v>
      </c>
      <c r="AQ528" t="s">
        <v>72</v>
      </c>
      <c r="AR528" t="s">
        <v>2234</v>
      </c>
      <c r="AS528" t="s">
        <v>2235</v>
      </c>
      <c r="AT528" t="s">
        <v>299</v>
      </c>
      <c r="AU528">
        <v>2020</v>
      </c>
      <c r="AV528">
        <v>14</v>
      </c>
      <c r="AW528">
        <v>2</v>
      </c>
      <c r="AX528" t="s">
        <v>72</v>
      </c>
      <c r="AY528" t="s">
        <v>72</v>
      </c>
      <c r="AZ528" t="s">
        <v>72</v>
      </c>
      <c r="BA528" t="s">
        <v>72</v>
      </c>
      <c r="BB528">
        <v>123</v>
      </c>
      <c r="BC528">
        <v>148</v>
      </c>
      <c r="BD528" t="s">
        <v>72</v>
      </c>
      <c r="BE528" t="s">
        <v>2236</v>
      </c>
      <c r="BF528" t="str">
        <f>HYPERLINK("http://dx.doi.org/10.1007/s12286-020-00445-6","http://dx.doi.org/10.1007/s12286-020-00445-6")</f>
        <v>http://dx.doi.org/10.1007/s12286-020-00445-6</v>
      </c>
      <c r="BG528" t="s">
        <v>72</v>
      </c>
      <c r="BH528" t="s">
        <v>2237</v>
      </c>
      <c r="BI528">
        <v>26</v>
      </c>
      <c r="BJ528" t="s">
        <v>219</v>
      </c>
      <c r="BK528" s="1" t="s">
        <v>17619</v>
      </c>
      <c r="BL528" t="s">
        <v>2238</v>
      </c>
      <c r="BM528" t="s">
        <v>72</v>
      </c>
      <c r="BN528" t="s">
        <v>280</v>
      </c>
      <c r="BO528" t="s">
        <v>72</v>
      </c>
      <c r="BP528" t="s">
        <v>72</v>
      </c>
      <c r="BQ528" t="s">
        <v>100</v>
      </c>
      <c r="BR528" t="s">
        <v>2239</v>
      </c>
      <c r="BS528" t="str">
        <f>HYPERLINK("https%3A%2F%2Fwww.webofscience.com%2Fwos%2Fwoscc%2Ffull-record%2FWOS:000534195500002","View Full Record in Web of Science")</f>
        <v>View Full Record in Web of Science</v>
      </c>
    </row>
    <row r="529" spans="1:71" x14ac:dyDescent="0.2">
      <c r="A529" t="s">
        <v>70</v>
      </c>
      <c r="B529" t="s">
        <v>485</v>
      </c>
      <c r="C529" t="s">
        <v>72</v>
      </c>
      <c r="D529" t="s">
        <v>72</v>
      </c>
      <c r="E529" t="s">
        <v>72</v>
      </c>
      <c r="F529" t="s">
        <v>486</v>
      </c>
      <c r="G529" t="s">
        <v>72</v>
      </c>
      <c r="H529" t="s">
        <v>72</v>
      </c>
      <c r="I529" t="s">
        <v>2405</v>
      </c>
      <c r="J529" t="s">
        <v>488</v>
      </c>
      <c r="K529" t="s">
        <v>72</v>
      </c>
      <c r="L529" t="s">
        <v>72</v>
      </c>
      <c r="M529" t="s">
        <v>76</v>
      </c>
      <c r="N529" t="s">
        <v>77</v>
      </c>
      <c r="O529" t="s">
        <v>72</v>
      </c>
      <c r="P529" t="s">
        <v>72</v>
      </c>
      <c r="Q529" t="s">
        <v>72</v>
      </c>
      <c r="R529" t="s">
        <v>72</v>
      </c>
      <c r="S529" t="s">
        <v>72</v>
      </c>
      <c r="T529" t="s">
        <v>2406</v>
      </c>
      <c r="U529" t="s">
        <v>2407</v>
      </c>
      <c r="V529" t="s">
        <v>2408</v>
      </c>
      <c r="W529" t="s">
        <v>2409</v>
      </c>
      <c r="X529" t="s">
        <v>1983</v>
      </c>
      <c r="Y529" t="s">
        <v>2410</v>
      </c>
      <c r="Z529" t="s">
        <v>1985</v>
      </c>
      <c r="AA529" t="s">
        <v>1986</v>
      </c>
      <c r="AB529" t="s">
        <v>72</v>
      </c>
      <c r="AC529" t="s">
        <v>72</v>
      </c>
      <c r="AD529" t="s">
        <v>72</v>
      </c>
      <c r="AE529" t="s">
        <v>72</v>
      </c>
      <c r="AF529" t="s">
        <v>72</v>
      </c>
      <c r="AG529">
        <v>49</v>
      </c>
      <c r="AH529">
        <v>123</v>
      </c>
      <c r="AI529">
        <v>123</v>
      </c>
      <c r="AJ529">
        <v>4</v>
      </c>
      <c r="AK529">
        <v>89</v>
      </c>
      <c r="AL529" t="s">
        <v>336</v>
      </c>
      <c r="AM529" t="s">
        <v>337</v>
      </c>
      <c r="AN529" t="s">
        <v>338</v>
      </c>
      <c r="AO529" t="s">
        <v>496</v>
      </c>
      <c r="AP529" t="s">
        <v>497</v>
      </c>
      <c r="AQ529" t="s">
        <v>72</v>
      </c>
      <c r="AR529" t="s">
        <v>498</v>
      </c>
      <c r="AS529" t="s">
        <v>499</v>
      </c>
      <c r="AT529" t="s">
        <v>929</v>
      </c>
      <c r="AU529">
        <v>2011</v>
      </c>
      <c r="AV529">
        <v>12</v>
      </c>
      <c r="AW529">
        <v>4</v>
      </c>
      <c r="AX529" t="s">
        <v>72</v>
      </c>
      <c r="AY529" t="s">
        <v>72</v>
      </c>
      <c r="AZ529" t="s">
        <v>72</v>
      </c>
      <c r="BA529" t="s">
        <v>72</v>
      </c>
      <c r="BB529">
        <v>483</v>
      </c>
      <c r="BC529">
        <v>506</v>
      </c>
      <c r="BD529" t="s">
        <v>72</v>
      </c>
      <c r="BE529" t="s">
        <v>2411</v>
      </c>
      <c r="BF529" t="str">
        <f>HYPERLINK("http://dx.doi.org/10.1177/1465116511413163","http://dx.doi.org/10.1177/1465116511413163")</f>
        <v>http://dx.doi.org/10.1177/1465116511413163</v>
      </c>
      <c r="BG529" t="s">
        <v>72</v>
      </c>
      <c r="BH529" t="s">
        <v>72</v>
      </c>
      <c r="BI529">
        <v>24</v>
      </c>
      <c r="BJ529" t="s">
        <v>219</v>
      </c>
      <c r="BK529" s="1" t="s">
        <v>17619</v>
      </c>
      <c r="BL529" t="s">
        <v>2412</v>
      </c>
      <c r="BM529" t="s">
        <v>72</v>
      </c>
      <c r="BN529" t="s">
        <v>72</v>
      </c>
      <c r="BO529" t="s">
        <v>72</v>
      </c>
      <c r="BP529" t="s">
        <v>72</v>
      </c>
      <c r="BQ529" t="s">
        <v>100</v>
      </c>
      <c r="BR529" t="s">
        <v>2413</v>
      </c>
      <c r="BS529" t="str">
        <f>HYPERLINK("https%3A%2F%2Fwww.webofscience.com%2Fwos%2Fwoscc%2Ffull-record%2FWOS:000298256600001","View Full Record in Web of Science")</f>
        <v>View Full Record in Web of Science</v>
      </c>
    </row>
    <row r="530" spans="1:71" x14ac:dyDescent="0.2">
      <c r="A530" t="s">
        <v>70</v>
      </c>
      <c r="B530" t="s">
        <v>2614</v>
      </c>
      <c r="C530" t="s">
        <v>72</v>
      </c>
      <c r="D530" t="s">
        <v>72</v>
      </c>
      <c r="E530" t="s">
        <v>72</v>
      </c>
      <c r="F530" t="s">
        <v>2615</v>
      </c>
      <c r="G530" t="s">
        <v>72</v>
      </c>
      <c r="H530" t="s">
        <v>72</v>
      </c>
      <c r="I530" t="s">
        <v>2616</v>
      </c>
      <c r="J530" t="s">
        <v>2617</v>
      </c>
      <c r="K530" t="s">
        <v>72</v>
      </c>
      <c r="L530" t="s">
        <v>72</v>
      </c>
      <c r="M530" t="s">
        <v>76</v>
      </c>
      <c r="N530" t="s">
        <v>77</v>
      </c>
      <c r="O530" t="s">
        <v>72</v>
      </c>
      <c r="P530" t="s">
        <v>72</v>
      </c>
      <c r="Q530" t="s">
        <v>72</v>
      </c>
      <c r="R530" t="s">
        <v>72</v>
      </c>
      <c r="S530" t="s">
        <v>72</v>
      </c>
      <c r="T530" t="s">
        <v>2618</v>
      </c>
      <c r="U530" t="s">
        <v>2619</v>
      </c>
      <c r="V530" t="s">
        <v>2620</v>
      </c>
      <c r="W530" t="s">
        <v>2621</v>
      </c>
      <c r="X530" t="s">
        <v>2622</v>
      </c>
      <c r="Y530" t="s">
        <v>2623</v>
      </c>
      <c r="Z530" t="s">
        <v>2624</v>
      </c>
      <c r="AA530" t="s">
        <v>72</v>
      </c>
      <c r="AB530" t="s">
        <v>2625</v>
      </c>
      <c r="AC530" t="s">
        <v>2626</v>
      </c>
      <c r="AD530" t="s">
        <v>2627</v>
      </c>
      <c r="AE530" t="s">
        <v>2628</v>
      </c>
      <c r="AF530" t="s">
        <v>72</v>
      </c>
      <c r="AG530">
        <v>77</v>
      </c>
      <c r="AH530">
        <v>0</v>
      </c>
      <c r="AI530">
        <v>0</v>
      </c>
      <c r="AJ530">
        <v>2</v>
      </c>
      <c r="AK530">
        <v>5</v>
      </c>
      <c r="AL530" t="s">
        <v>1260</v>
      </c>
      <c r="AM530" t="s">
        <v>964</v>
      </c>
      <c r="AN530" t="s">
        <v>965</v>
      </c>
      <c r="AO530" t="s">
        <v>2629</v>
      </c>
      <c r="AP530" t="s">
        <v>2630</v>
      </c>
      <c r="AQ530" t="s">
        <v>72</v>
      </c>
      <c r="AR530" t="s">
        <v>2631</v>
      </c>
      <c r="AS530" t="s">
        <v>2632</v>
      </c>
      <c r="AT530" t="s">
        <v>951</v>
      </c>
      <c r="AU530">
        <v>2022</v>
      </c>
      <c r="AV530">
        <v>61</v>
      </c>
      <c r="AW530">
        <v>4</v>
      </c>
      <c r="AX530" t="s">
        <v>72</v>
      </c>
      <c r="AY530" t="s">
        <v>72</v>
      </c>
      <c r="AZ530" t="s">
        <v>72</v>
      </c>
      <c r="BA530" t="s">
        <v>72</v>
      </c>
      <c r="BB530">
        <v>952</v>
      </c>
      <c r="BC530">
        <v>972</v>
      </c>
      <c r="BD530" t="s">
        <v>72</v>
      </c>
      <c r="BE530" t="s">
        <v>2633</v>
      </c>
      <c r="BF530" t="str">
        <f>HYPERLINK("http://dx.doi.org/10.1111/1475-6765.12504","http://dx.doi.org/10.1111/1475-6765.12504")</f>
        <v>http://dx.doi.org/10.1111/1475-6765.12504</v>
      </c>
      <c r="BG530" t="s">
        <v>72</v>
      </c>
      <c r="BH530" t="s">
        <v>1288</v>
      </c>
      <c r="BI530">
        <v>21</v>
      </c>
      <c r="BJ530" t="s">
        <v>219</v>
      </c>
      <c r="BK530" s="1" t="s">
        <v>17619</v>
      </c>
      <c r="BL530" t="s">
        <v>2634</v>
      </c>
      <c r="BM530" t="s">
        <v>72</v>
      </c>
      <c r="BN530" t="s">
        <v>280</v>
      </c>
      <c r="BO530" t="s">
        <v>72</v>
      </c>
      <c r="BP530" t="s">
        <v>72</v>
      </c>
      <c r="BQ530" t="s">
        <v>100</v>
      </c>
      <c r="BR530" t="s">
        <v>2635</v>
      </c>
      <c r="BS530" t="str">
        <f>HYPERLINK("https%3A%2F%2Fwww.webofscience.com%2Fwos%2Fwoscc%2Ffull-record%2FWOS:000734961900001","View Full Record in Web of Science")</f>
        <v>View Full Record in Web of Science</v>
      </c>
    </row>
    <row r="531" spans="1:71" x14ac:dyDescent="0.2">
      <c r="A531" t="s">
        <v>70</v>
      </c>
      <c r="B531" t="s">
        <v>2726</v>
      </c>
      <c r="C531" t="s">
        <v>72</v>
      </c>
      <c r="D531" t="s">
        <v>72</v>
      </c>
      <c r="E531" t="s">
        <v>72</v>
      </c>
      <c r="F531" t="s">
        <v>2727</v>
      </c>
      <c r="G531" t="s">
        <v>72</v>
      </c>
      <c r="H531" t="s">
        <v>72</v>
      </c>
      <c r="I531" t="s">
        <v>2728</v>
      </c>
      <c r="J531" t="s">
        <v>506</v>
      </c>
      <c r="K531" t="s">
        <v>72</v>
      </c>
      <c r="L531" t="s">
        <v>72</v>
      </c>
      <c r="M531" t="s">
        <v>76</v>
      </c>
      <c r="N531" t="s">
        <v>352</v>
      </c>
      <c r="O531" t="s">
        <v>72</v>
      </c>
      <c r="P531" t="s">
        <v>72</v>
      </c>
      <c r="Q531" t="s">
        <v>72</v>
      </c>
      <c r="R531" t="s">
        <v>72</v>
      </c>
      <c r="S531" t="s">
        <v>72</v>
      </c>
      <c r="T531" t="s">
        <v>2729</v>
      </c>
      <c r="U531" t="s">
        <v>2730</v>
      </c>
      <c r="V531" t="s">
        <v>2731</v>
      </c>
      <c r="W531" t="s">
        <v>2732</v>
      </c>
      <c r="X531" t="s">
        <v>2733</v>
      </c>
      <c r="Y531" t="s">
        <v>2734</v>
      </c>
      <c r="Z531" t="s">
        <v>2735</v>
      </c>
      <c r="AA531" t="s">
        <v>2736</v>
      </c>
      <c r="AB531" t="s">
        <v>2737</v>
      </c>
      <c r="AC531" t="s">
        <v>2738</v>
      </c>
      <c r="AD531" t="s">
        <v>2739</v>
      </c>
      <c r="AE531" t="s">
        <v>2740</v>
      </c>
      <c r="AF531" t="s">
        <v>72</v>
      </c>
      <c r="AG531">
        <v>54</v>
      </c>
      <c r="AH531">
        <v>0</v>
      </c>
      <c r="AI531">
        <v>0</v>
      </c>
      <c r="AJ531">
        <v>2</v>
      </c>
      <c r="AK531">
        <v>5</v>
      </c>
      <c r="AL531" t="s">
        <v>364</v>
      </c>
      <c r="AM531" t="s">
        <v>365</v>
      </c>
      <c r="AN531" t="s">
        <v>366</v>
      </c>
      <c r="AO531" t="s">
        <v>515</v>
      </c>
      <c r="AP531" t="s">
        <v>516</v>
      </c>
      <c r="AQ531" t="s">
        <v>72</v>
      </c>
      <c r="AR531" t="s">
        <v>517</v>
      </c>
      <c r="AS531" t="s">
        <v>518</v>
      </c>
      <c r="AT531" t="s">
        <v>72</v>
      </c>
      <c r="AU531" t="s">
        <v>72</v>
      </c>
      <c r="AV531" t="s">
        <v>72</v>
      </c>
      <c r="AW531" t="s">
        <v>72</v>
      </c>
      <c r="AX531" t="s">
        <v>72</v>
      </c>
      <c r="AY531" t="s">
        <v>72</v>
      </c>
      <c r="AZ531" t="s">
        <v>72</v>
      </c>
      <c r="BA531" t="s">
        <v>72</v>
      </c>
      <c r="BB531" t="s">
        <v>72</v>
      </c>
      <c r="BC531" t="s">
        <v>72</v>
      </c>
      <c r="BD531" t="s">
        <v>72</v>
      </c>
      <c r="BE531" t="s">
        <v>2741</v>
      </c>
      <c r="BF531" t="str">
        <f>HYPERLINK("http://dx.doi.org/10.1080/10361146.2022.2045900","http://dx.doi.org/10.1080/10361146.2022.2045900")</f>
        <v>http://dx.doi.org/10.1080/10361146.2022.2045900</v>
      </c>
      <c r="BG531" t="s">
        <v>72</v>
      </c>
      <c r="BH531" t="s">
        <v>2211</v>
      </c>
      <c r="BI531">
        <v>19</v>
      </c>
      <c r="BJ531" t="s">
        <v>219</v>
      </c>
      <c r="BK531" s="1" t="s">
        <v>17619</v>
      </c>
      <c r="BL531" t="s">
        <v>2742</v>
      </c>
      <c r="BM531" t="s">
        <v>72</v>
      </c>
      <c r="BN531" t="s">
        <v>280</v>
      </c>
      <c r="BO531" t="s">
        <v>72</v>
      </c>
      <c r="BP531" t="s">
        <v>72</v>
      </c>
      <c r="BQ531" t="s">
        <v>100</v>
      </c>
      <c r="BR531" t="s">
        <v>2743</v>
      </c>
      <c r="BS531" t="str">
        <f>HYPERLINK("https%3A%2F%2Fwww.webofscience.com%2Fwos%2Fwoscc%2Ffull-record%2FWOS:000764922000001","View Full Record in Web of Science")</f>
        <v>View Full Record in Web of Science</v>
      </c>
    </row>
    <row r="532" spans="1:71" x14ac:dyDescent="0.2">
      <c r="A532" t="s">
        <v>70</v>
      </c>
      <c r="B532" t="s">
        <v>2906</v>
      </c>
      <c r="C532" t="s">
        <v>72</v>
      </c>
      <c r="D532" t="s">
        <v>72</v>
      </c>
      <c r="E532" t="s">
        <v>72</v>
      </c>
      <c r="F532" t="s">
        <v>2907</v>
      </c>
      <c r="G532" t="s">
        <v>72</v>
      </c>
      <c r="H532" t="s">
        <v>72</v>
      </c>
      <c r="I532" t="s">
        <v>2908</v>
      </c>
      <c r="J532" t="s">
        <v>2909</v>
      </c>
      <c r="K532" t="s">
        <v>72</v>
      </c>
      <c r="L532" t="s">
        <v>72</v>
      </c>
      <c r="M532" t="s">
        <v>76</v>
      </c>
      <c r="N532" t="s">
        <v>77</v>
      </c>
      <c r="O532" t="s">
        <v>72</v>
      </c>
      <c r="P532" t="s">
        <v>72</v>
      </c>
      <c r="Q532" t="s">
        <v>72</v>
      </c>
      <c r="R532" t="s">
        <v>72</v>
      </c>
      <c r="S532" t="s">
        <v>72</v>
      </c>
      <c r="T532" t="s">
        <v>72</v>
      </c>
      <c r="U532" t="s">
        <v>2910</v>
      </c>
      <c r="V532" t="s">
        <v>2911</v>
      </c>
      <c r="W532" t="s">
        <v>2912</v>
      </c>
      <c r="X532" t="s">
        <v>2913</v>
      </c>
      <c r="Y532" t="s">
        <v>2914</v>
      </c>
      <c r="Z532" t="s">
        <v>2915</v>
      </c>
      <c r="AA532" t="s">
        <v>72</v>
      </c>
      <c r="AB532" t="s">
        <v>2916</v>
      </c>
      <c r="AC532" t="s">
        <v>72</v>
      </c>
      <c r="AD532" t="s">
        <v>72</v>
      </c>
      <c r="AE532" t="s">
        <v>72</v>
      </c>
      <c r="AF532" t="s">
        <v>72</v>
      </c>
      <c r="AG532">
        <v>12</v>
      </c>
      <c r="AH532">
        <v>8</v>
      </c>
      <c r="AI532">
        <v>8</v>
      </c>
      <c r="AJ532">
        <v>0</v>
      </c>
      <c r="AK532">
        <v>4</v>
      </c>
      <c r="AL532" t="s">
        <v>240</v>
      </c>
      <c r="AM532" t="s">
        <v>707</v>
      </c>
      <c r="AN532" t="s">
        <v>1205</v>
      </c>
      <c r="AO532" t="s">
        <v>2917</v>
      </c>
      <c r="AP532" t="s">
        <v>2918</v>
      </c>
      <c r="AQ532" t="s">
        <v>72</v>
      </c>
      <c r="AR532" t="s">
        <v>2919</v>
      </c>
      <c r="AS532" t="s">
        <v>2920</v>
      </c>
      <c r="AT532" t="s">
        <v>776</v>
      </c>
      <c r="AU532">
        <v>2014</v>
      </c>
      <c r="AV532">
        <v>47</v>
      </c>
      <c r="AW532">
        <v>3</v>
      </c>
      <c r="AX532" t="s">
        <v>72</v>
      </c>
      <c r="AY532" t="s">
        <v>72</v>
      </c>
      <c r="AZ532" t="s">
        <v>72</v>
      </c>
      <c r="BA532" t="s">
        <v>72</v>
      </c>
      <c r="BB532">
        <v>663</v>
      </c>
      <c r="BC532">
        <v>666</v>
      </c>
      <c r="BD532" t="s">
        <v>72</v>
      </c>
      <c r="BE532" t="s">
        <v>2921</v>
      </c>
      <c r="BF532" t="str">
        <f>HYPERLINK("http://dx.doi.org/10.1017/S1049096514000808","http://dx.doi.org/10.1017/S1049096514000808")</f>
        <v>http://dx.doi.org/10.1017/S1049096514000808</v>
      </c>
      <c r="BG532" t="s">
        <v>72</v>
      </c>
      <c r="BH532" t="s">
        <v>72</v>
      </c>
      <c r="BI532">
        <v>4</v>
      </c>
      <c r="BJ532" t="s">
        <v>219</v>
      </c>
      <c r="BK532" s="1" t="s">
        <v>17619</v>
      </c>
      <c r="BL532" t="s">
        <v>2922</v>
      </c>
      <c r="BM532" t="s">
        <v>72</v>
      </c>
      <c r="BN532" t="s">
        <v>1497</v>
      </c>
      <c r="BO532" t="s">
        <v>72</v>
      </c>
      <c r="BP532" t="s">
        <v>72</v>
      </c>
      <c r="BQ532" t="s">
        <v>100</v>
      </c>
      <c r="BR532" t="s">
        <v>2923</v>
      </c>
      <c r="BS532" t="str">
        <f>HYPERLINK("https%3A%2F%2Fwww.webofscience.com%2Fwos%2Fwoscc%2Ffull-record%2FWOS:000337970400012","View Full Record in Web of Science")</f>
        <v>View Full Record in Web of Science</v>
      </c>
    </row>
    <row r="533" spans="1:71" x14ac:dyDescent="0.2">
      <c r="A533" t="s">
        <v>70</v>
      </c>
      <c r="B533" t="s">
        <v>2945</v>
      </c>
      <c r="C533" t="s">
        <v>72</v>
      </c>
      <c r="D533" t="s">
        <v>72</v>
      </c>
      <c r="E533" t="s">
        <v>72</v>
      </c>
      <c r="F533" t="s">
        <v>2946</v>
      </c>
      <c r="G533" t="s">
        <v>72</v>
      </c>
      <c r="H533" t="s">
        <v>72</v>
      </c>
      <c r="I533" t="s">
        <v>2947</v>
      </c>
      <c r="J533" t="s">
        <v>2948</v>
      </c>
      <c r="K533" t="s">
        <v>72</v>
      </c>
      <c r="L533" t="s">
        <v>72</v>
      </c>
      <c r="M533" t="s">
        <v>76</v>
      </c>
      <c r="N533" t="s">
        <v>77</v>
      </c>
      <c r="O533" t="s">
        <v>72</v>
      </c>
      <c r="P533" t="s">
        <v>72</v>
      </c>
      <c r="Q533" t="s">
        <v>72</v>
      </c>
      <c r="R533" t="s">
        <v>72</v>
      </c>
      <c r="S533" t="s">
        <v>72</v>
      </c>
      <c r="T533" t="s">
        <v>2949</v>
      </c>
      <c r="U533" t="s">
        <v>2950</v>
      </c>
      <c r="V533" t="s">
        <v>2951</v>
      </c>
      <c r="W533" t="s">
        <v>2952</v>
      </c>
      <c r="X533" t="s">
        <v>2953</v>
      </c>
      <c r="Y533" t="s">
        <v>2954</v>
      </c>
      <c r="Z533" t="s">
        <v>2955</v>
      </c>
      <c r="AA533" t="s">
        <v>72</v>
      </c>
      <c r="AB533" t="s">
        <v>72</v>
      </c>
      <c r="AC533" t="s">
        <v>72</v>
      </c>
      <c r="AD533" t="s">
        <v>72</v>
      </c>
      <c r="AE533" t="s">
        <v>72</v>
      </c>
      <c r="AF533" t="s">
        <v>72</v>
      </c>
      <c r="AG533">
        <v>42</v>
      </c>
      <c r="AH533">
        <v>69</v>
      </c>
      <c r="AI533">
        <v>68</v>
      </c>
      <c r="AJ533">
        <v>3</v>
      </c>
      <c r="AK533">
        <v>48</v>
      </c>
      <c r="AL533" t="s">
        <v>364</v>
      </c>
      <c r="AM533" t="s">
        <v>365</v>
      </c>
      <c r="AN533" t="s">
        <v>366</v>
      </c>
      <c r="AO533" t="s">
        <v>2956</v>
      </c>
      <c r="AP533" t="s">
        <v>2957</v>
      </c>
      <c r="AQ533" t="s">
        <v>72</v>
      </c>
      <c r="AR533" t="s">
        <v>2958</v>
      </c>
      <c r="AS533" t="s">
        <v>2959</v>
      </c>
      <c r="AT533" t="s">
        <v>2960</v>
      </c>
      <c r="AU533">
        <v>2016</v>
      </c>
      <c r="AV533">
        <v>39</v>
      </c>
      <c r="AW533">
        <v>2</v>
      </c>
      <c r="AX533" t="s">
        <v>72</v>
      </c>
      <c r="AY533" t="s">
        <v>72</v>
      </c>
      <c r="AZ533" t="s">
        <v>72</v>
      </c>
      <c r="BA533" t="s">
        <v>72</v>
      </c>
      <c r="BB533">
        <v>380</v>
      </c>
      <c r="BC533">
        <v>398</v>
      </c>
      <c r="BD533" t="s">
        <v>72</v>
      </c>
      <c r="BE533" t="s">
        <v>2961</v>
      </c>
      <c r="BF533" t="str">
        <f>HYPERLINK("http://dx.doi.org/10.1080/01402382.2015.1101295","http://dx.doi.org/10.1080/01402382.2015.1101295")</f>
        <v>http://dx.doi.org/10.1080/01402382.2015.1101295</v>
      </c>
      <c r="BG533" t="s">
        <v>72</v>
      </c>
      <c r="BH533" t="s">
        <v>72</v>
      </c>
      <c r="BI533">
        <v>19</v>
      </c>
      <c r="BJ533" t="s">
        <v>219</v>
      </c>
      <c r="BK533" s="1" t="s">
        <v>17619</v>
      </c>
      <c r="BL533" t="s">
        <v>2962</v>
      </c>
      <c r="BM533" t="s">
        <v>72</v>
      </c>
      <c r="BN533" t="s">
        <v>2963</v>
      </c>
      <c r="BO533" t="s">
        <v>72</v>
      </c>
      <c r="BP533" t="s">
        <v>72</v>
      </c>
      <c r="BQ533" t="s">
        <v>100</v>
      </c>
      <c r="BR533" t="s">
        <v>2964</v>
      </c>
      <c r="BS533" t="str">
        <f>HYPERLINK("https%3A%2F%2Fwww.webofscience.com%2Fwos%2Fwoscc%2Ffull-record%2FWOS:000367061100009","View Full Record in Web of Science")</f>
        <v>View Full Record in Web of Science</v>
      </c>
    </row>
    <row r="534" spans="1:71" x14ac:dyDescent="0.2">
      <c r="A534" t="s">
        <v>70</v>
      </c>
      <c r="B534" t="s">
        <v>2975</v>
      </c>
      <c r="C534" t="s">
        <v>72</v>
      </c>
      <c r="D534" t="s">
        <v>72</v>
      </c>
      <c r="E534" t="s">
        <v>72</v>
      </c>
      <c r="F534" t="s">
        <v>2976</v>
      </c>
      <c r="G534" t="s">
        <v>72</v>
      </c>
      <c r="H534" t="s">
        <v>72</v>
      </c>
      <c r="I534" t="s">
        <v>2977</v>
      </c>
      <c r="J534" t="s">
        <v>2617</v>
      </c>
      <c r="K534" t="s">
        <v>72</v>
      </c>
      <c r="L534" t="s">
        <v>72</v>
      </c>
      <c r="M534" t="s">
        <v>76</v>
      </c>
      <c r="N534" t="s">
        <v>77</v>
      </c>
      <c r="O534" t="s">
        <v>72</v>
      </c>
      <c r="P534" t="s">
        <v>72</v>
      </c>
      <c r="Q534" t="s">
        <v>72</v>
      </c>
      <c r="R534" t="s">
        <v>72</v>
      </c>
      <c r="S534" t="s">
        <v>72</v>
      </c>
      <c r="T534" t="s">
        <v>2978</v>
      </c>
      <c r="U534" t="s">
        <v>2979</v>
      </c>
      <c r="V534" t="s">
        <v>2980</v>
      </c>
      <c r="W534" t="s">
        <v>2981</v>
      </c>
      <c r="X534" t="s">
        <v>2982</v>
      </c>
      <c r="Y534" t="s">
        <v>2983</v>
      </c>
      <c r="Z534" t="s">
        <v>2984</v>
      </c>
      <c r="AA534" t="s">
        <v>72</v>
      </c>
      <c r="AB534" t="s">
        <v>2985</v>
      </c>
      <c r="AC534" t="s">
        <v>2986</v>
      </c>
      <c r="AD534" t="s">
        <v>2987</v>
      </c>
      <c r="AE534" t="s">
        <v>2988</v>
      </c>
      <c r="AF534" t="s">
        <v>72</v>
      </c>
      <c r="AG534">
        <v>73</v>
      </c>
      <c r="AH534">
        <v>20</v>
      </c>
      <c r="AI534">
        <v>20</v>
      </c>
      <c r="AJ534">
        <v>2</v>
      </c>
      <c r="AK534">
        <v>12</v>
      </c>
      <c r="AL534" t="s">
        <v>1260</v>
      </c>
      <c r="AM534" t="s">
        <v>964</v>
      </c>
      <c r="AN534" t="s">
        <v>965</v>
      </c>
      <c r="AO534" t="s">
        <v>2629</v>
      </c>
      <c r="AP534" t="s">
        <v>2630</v>
      </c>
      <c r="AQ534" t="s">
        <v>72</v>
      </c>
      <c r="AR534" t="s">
        <v>2631</v>
      </c>
      <c r="AS534" t="s">
        <v>2632</v>
      </c>
      <c r="AT534" t="s">
        <v>1602</v>
      </c>
      <c r="AU534">
        <v>2020</v>
      </c>
      <c r="AV534">
        <v>59</v>
      </c>
      <c r="AW534">
        <v>1</v>
      </c>
      <c r="AX534" t="s">
        <v>72</v>
      </c>
      <c r="AY534" t="s">
        <v>72</v>
      </c>
      <c r="AZ534" t="s">
        <v>72</v>
      </c>
      <c r="BA534" t="s">
        <v>72</v>
      </c>
      <c r="BB534">
        <v>45</v>
      </c>
      <c r="BC534">
        <v>67</v>
      </c>
      <c r="BD534" t="s">
        <v>72</v>
      </c>
      <c r="BE534" t="s">
        <v>2989</v>
      </c>
      <c r="BF534" t="str">
        <f>HYPERLINK("http://dx.doi.org/10.1111/1475-6765.12340","http://dx.doi.org/10.1111/1475-6765.12340")</f>
        <v>http://dx.doi.org/10.1111/1475-6765.12340</v>
      </c>
      <c r="BG534" t="s">
        <v>72</v>
      </c>
      <c r="BH534" t="s">
        <v>72</v>
      </c>
      <c r="BI534">
        <v>23</v>
      </c>
      <c r="BJ534" t="s">
        <v>219</v>
      </c>
      <c r="BK534" s="1" t="s">
        <v>17619</v>
      </c>
      <c r="BL534" t="s">
        <v>2990</v>
      </c>
      <c r="BM534" t="s">
        <v>72</v>
      </c>
      <c r="BN534" t="s">
        <v>2991</v>
      </c>
      <c r="BO534" t="s">
        <v>72</v>
      </c>
      <c r="BP534" t="s">
        <v>72</v>
      </c>
      <c r="BQ534" t="s">
        <v>100</v>
      </c>
      <c r="BR534" t="s">
        <v>2992</v>
      </c>
      <c r="BS534" t="str">
        <f>HYPERLINK("https%3A%2F%2Fwww.webofscience.com%2Fwos%2Fwoscc%2Ffull-record%2FWOS:000507996700003","View Full Record in Web of Science")</f>
        <v>View Full Record in Web of Science</v>
      </c>
    </row>
    <row r="535" spans="1:71" x14ac:dyDescent="0.2">
      <c r="A535" t="s">
        <v>70</v>
      </c>
      <c r="B535" t="s">
        <v>3057</v>
      </c>
      <c r="C535" t="s">
        <v>72</v>
      </c>
      <c r="D535" t="s">
        <v>72</v>
      </c>
      <c r="E535" t="s">
        <v>72</v>
      </c>
      <c r="F535" t="s">
        <v>3058</v>
      </c>
      <c r="G535" t="s">
        <v>72</v>
      </c>
      <c r="H535" t="s">
        <v>72</v>
      </c>
      <c r="I535" t="s">
        <v>3059</v>
      </c>
      <c r="J535" t="s">
        <v>488</v>
      </c>
      <c r="K535" t="s">
        <v>72</v>
      </c>
      <c r="L535" t="s">
        <v>72</v>
      </c>
      <c r="M535" t="s">
        <v>76</v>
      </c>
      <c r="N535" t="s">
        <v>77</v>
      </c>
      <c r="O535" t="s">
        <v>72</v>
      </c>
      <c r="P535" t="s">
        <v>72</v>
      </c>
      <c r="Q535" t="s">
        <v>72</v>
      </c>
      <c r="R535" t="s">
        <v>72</v>
      </c>
      <c r="S535" t="s">
        <v>72</v>
      </c>
      <c r="T535" t="s">
        <v>3060</v>
      </c>
      <c r="U535" t="s">
        <v>3061</v>
      </c>
      <c r="V535" t="s">
        <v>3062</v>
      </c>
      <c r="W535" t="s">
        <v>3063</v>
      </c>
      <c r="X535" t="s">
        <v>3064</v>
      </c>
      <c r="Y535" t="s">
        <v>3065</v>
      </c>
      <c r="Z535" t="s">
        <v>3066</v>
      </c>
      <c r="AA535" t="s">
        <v>72</v>
      </c>
      <c r="AB535" t="s">
        <v>3067</v>
      </c>
      <c r="AC535" t="s">
        <v>72</v>
      </c>
      <c r="AD535" t="s">
        <v>72</v>
      </c>
      <c r="AE535" t="s">
        <v>72</v>
      </c>
      <c r="AF535" t="s">
        <v>72</v>
      </c>
      <c r="AG535">
        <v>45</v>
      </c>
      <c r="AH535">
        <v>10</v>
      </c>
      <c r="AI535">
        <v>10</v>
      </c>
      <c r="AJ535">
        <v>1</v>
      </c>
      <c r="AK535">
        <v>20</v>
      </c>
      <c r="AL535" t="s">
        <v>336</v>
      </c>
      <c r="AM535" t="s">
        <v>337</v>
      </c>
      <c r="AN535" t="s">
        <v>338</v>
      </c>
      <c r="AO535" t="s">
        <v>496</v>
      </c>
      <c r="AP535" t="s">
        <v>497</v>
      </c>
      <c r="AQ535" t="s">
        <v>72</v>
      </c>
      <c r="AR535" t="s">
        <v>498</v>
      </c>
      <c r="AS535" t="s">
        <v>499</v>
      </c>
      <c r="AT535" t="s">
        <v>299</v>
      </c>
      <c r="AU535">
        <v>2018</v>
      </c>
      <c r="AV535">
        <v>19</v>
      </c>
      <c r="AW535">
        <v>2</v>
      </c>
      <c r="AX535" t="s">
        <v>72</v>
      </c>
      <c r="AY535" t="s">
        <v>72</v>
      </c>
      <c r="AZ535" t="s">
        <v>72</v>
      </c>
      <c r="BA535" t="s">
        <v>72</v>
      </c>
      <c r="BB535">
        <v>344</v>
      </c>
      <c r="BC535">
        <v>362</v>
      </c>
      <c r="BD535" t="s">
        <v>72</v>
      </c>
      <c r="BE535" t="s">
        <v>3068</v>
      </c>
      <c r="BF535" t="str">
        <f>HYPERLINK("http://dx.doi.org/10.1177/1465116518755954","http://dx.doi.org/10.1177/1465116518755954")</f>
        <v>http://dx.doi.org/10.1177/1465116518755954</v>
      </c>
      <c r="BG535" t="s">
        <v>72</v>
      </c>
      <c r="BH535" t="s">
        <v>72</v>
      </c>
      <c r="BI535">
        <v>19</v>
      </c>
      <c r="BJ535" t="s">
        <v>219</v>
      </c>
      <c r="BK535" s="1" t="s">
        <v>17619</v>
      </c>
      <c r="BL535" t="s">
        <v>3069</v>
      </c>
      <c r="BM535" t="s">
        <v>72</v>
      </c>
      <c r="BN535" t="s">
        <v>72</v>
      </c>
      <c r="BO535" t="s">
        <v>72</v>
      </c>
      <c r="BP535" t="s">
        <v>72</v>
      </c>
      <c r="BQ535" t="s">
        <v>100</v>
      </c>
      <c r="BR535" t="s">
        <v>3070</v>
      </c>
      <c r="BS535" t="str">
        <f>HYPERLINK("https%3A%2F%2Fwww.webofscience.com%2Fwos%2Fwoscc%2Ffull-record%2FWOS:000432063700007","View Full Record in Web of Science")</f>
        <v>View Full Record in Web of Science</v>
      </c>
    </row>
    <row r="536" spans="1:71" x14ac:dyDescent="0.2">
      <c r="A536" t="s">
        <v>561</v>
      </c>
      <c r="B536" t="s">
        <v>3105</v>
      </c>
      <c r="C536" t="s">
        <v>72</v>
      </c>
      <c r="D536" t="s">
        <v>3106</v>
      </c>
      <c r="E536" t="s">
        <v>72</v>
      </c>
      <c r="F536" t="s">
        <v>3107</v>
      </c>
      <c r="G536" t="s">
        <v>72</v>
      </c>
      <c r="H536" t="s">
        <v>72</v>
      </c>
      <c r="I536" t="s">
        <v>3108</v>
      </c>
      <c r="J536" t="s">
        <v>3109</v>
      </c>
      <c r="K536" t="s">
        <v>3110</v>
      </c>
      <c r="L536" t="s">
        <v>72</v>
      </c>
      <c r="M536" t="s">
        <v>76</v>
      </c>
      <c r="N536" t="s">
        <v>567</v>
      </c>
      <c r="O536" t="s">
        <v>72</v>
      </c>
      <c r="P536" t="s">
        <v>72</v>
      </c>
      <c r="Q536" t="s">
        <v>72</v>
      </c>
      <c r="R536" t="s">
        <v>72</v>
      </c>
      <c r="S536" t="s">
        <v>72</v>
      </c>
      <c r="T536" t="s">
        <v>72</v>
      </c>
      <c r="U536" t="s">
        <v>3111</v>
      </c>
      <c r="V536" t="s">
        <v>72</v>
      </c>
      <c r="W536" t="s">
        <v>3112</v>
      </c>
      <c r="X536" t="s">
        <v>3090</v>
      </c>
      <c r="Y536" t="s">
        <v>3113</v>
      </c>
      <c r="Z536" t="s">
        <v>72</v>
      </c>
      <c r="AA536" t="s">
        <v>72</v>
      </c>
      <c r="AB536" t="s">
        <v>72</v>
      </c>
      <c r="AC536" t="s">
        <v>72</v>
      </c>
      <c r="AD536" t="s">
        <v>72</v>
      </c>
      <c r="AE536" t="s">
        <v>72</v>
      </c>
      <c r="AF536" t="s">
        <v>72</v>
      </c>
      <c r="AG536">
        <v>39</v>
      </c>
      <c r="AH536">
        <v>0</v>
      </c>
      <c r="AI536">
        <v>0</v>
      </c>
      <c r="AJ536">
        <v>0</v>
      </c>
      <c r="AK536">
        <v>0</v>
      </c>
      <c r="AL536" t="s">
        <v>3114</v>
      </c>
      <c r="AM536" t="s">
        <v>3115</v>
      </c>
      <c r="AN536" t="s">
        <v>3116</v>
      </c>
      <c r="AO536" t="s">
        <v>72</v>
      </c>
      <c r="AP536" t="s">
        <v>72</v>
      </c>
      <c r="AQ536" t="s">
        <v>3117</v>
      </c>
      <c r="AR536" t="s">
        <v>3118</v>
      </c>
      <c r="AS536" t="s">
        <v>72</v>
      </c>
      <c r="AT536" t="s">
        <v>72</v>
      </c>
      <c r="AU536">
        <v>2019</v>
      </c>
      <c r="AV536" t="s">
        <v>72</v>
      </c>
      <c r="AW536" t="s">
        <v>72</v>
      </c>
      <c r="AX536" t="s">
        <v>72</v>
      </c>
      <c r="AY536" t="s">
        <v>72</v>
      </c>
      <c r="AZ536" t="s">
        <v>72</v>
      </c>
      <c r="BA536" t="s">
        <v>72</v>
      </c>
      <c r="BB536">
        <v>443</v>
      </c>
      <c r="BC536">
        <v>456</v>
      </c>
      <c r="BD536" t="s">
        <v>72</v>
      </c>
      <c r="BE536" t="s">
        <v>72</v>
      </c>
      <c r="BF536" t="s">
        <v>72</v>
      </c>
      <c r="BG536" t="s">
        <v>3119</v>
      </c>
      <c r="BH536" t="s">
        <v>72</v>
      </c>
      <c r="BI536">
        <v>14</v>
      </c>
      <c r="BJ536" t="s">
        <v>3120</v>
      </c>
      <c r="BK536" s="1" t="s">
        <v>17619</v>
      </c>
      <c r="BL536" t="s">
        <v>3121</v>
      </c>
      <c r="BM536" t="s">
        <v>72</v>
      </c>
      <c r="BN536" t="s">
        <v>72</v>
      </c>
      <c r="BO536" t="s">
        <v>72</v>
      </c>
      <c r="BP536" t="s">
        <v>72</v>
      </c>
      <c r="BQ536" t="s">
        <v>100</v>
      </c>
      <c r="BR536" t="s">
        <v>3122</v>
      </c>
      <c r="BS536" t="str">
        <f>HYPERLINK("https%3A%2F%2Fwww.webofscience.com%2Fwos%2Fwoscc%2Ffull-record%2FWOS:000664717300032","View Full Record in Web of Science")</f>
        <v>View Full Record in Web of Science</v>
      </c>
    </row>
    <row r="537" spans="1:71" x14ac:dyDescent="0.2">
      <c r="A537" t="s">
        <v>70</v>
      </c>
      <c r="B537" t="s">
        <v>3246</v>
      </c>
      <c r="C537" t="s">
        <v>72</v>
      </c>
      <c r="D537" t="s">
        <v>72</v>
      </c>
      <c r="E537" t="s">
        <v>72</v>
      </c>
      <c r="F537" t="s">
        <v>3247</v>
      </c>
      <c r="G537" t="s">
        <v>72</v>
      </c>
      <c r="H537" t="s">
        <v>72</v>
      </c>
      <c r="I537" t="s">
        <v>3248</v>
      </c>
      <c r="J537" t="s">
        <v>3249</v>
      </c>
      <c r="K537" t="s">
        <v>72</v>
      </c>
      <c r="L537" t="s">
        <v>72</v>
      </c>
      <c r="M537" t="s">
        <v>76</v>
      </c>
      <c r="N537" t="s">
        <v>77</v>
      </c>
      <c r="O537" t="s">
        <v>72</v>
      </c>
      <c r="P537" t="s">
        <v>72</v>
      </c>
      <c r="Q537" t="s">
        <v>72</v>
      </c>
      <c r="R537" t="s">
        <v>72</v>
      </c>
      <c r="S537" t="s">
        <v>72</v>
      </c>
      <c r="T537" t="s">
        <v>3250</v>
      </c>
      <c r="U537" t="s">
        <v>3251</v>
      </c>
      <c r="V537" t="s">
        <v>3252</v>
      </c>
      <c r="W537" t="s">
        <v>3253</v>
      </c>
      <c r="X537" t="s">
        <v>3254</v>
      </c>
      <c r="Y537" t="s">
        <v>3255</v>
      </c>
      <c r="Z537" t="s">
        <v>3256</v>
      </c>
      <c r="AA537" t="s">
        <v>72</v>
      </c>
      <c r="AB537" t="s">
        <v>72</v>
      </c>
      <c r="AC537" t="s">
        <v>72</v>
      </c>
      <c r="AD537" t="s">
        <v>72</v>
      </c>
      <c r="AE537" t="s">
        <v>72</v>
      </c>
      <c r="AF537" t="s">
        <v>72</v>
      </c>
      <c r="AG537">
        <v>48</v>
      </c>
      <c r="AH537">
        <v>0</v>
      </c>
      <c r="AI537">
        <v>0</v>
      </c>
      <c r="AJ537">
        <v>3</v>
      </c>
      <c r="AK537">
        <v>3</v>
      </c>
      <c r="AL537" t="s">
        <v>2426</v>
      </c>
      <c r="AM537" t="s">
        <v>2427</v>
      </c>
      <c r="AN537" t="s">
        <v>2428</v>
      </c>
      <c r="AO537" t="s">
        <v>72</v>
      </c>
      <c r="AP537" t="s">
        <v>3257</v>
      </c>
      <c r="AQ537" t="s">
        <v>72</v>
      </c>
      <c r="AR537" t="s">
        <v>3258</v>
      </c>
      <c r="AS537" t="s">
        <v>3259</v>
      </c>
      <c r="AT537" t="s">
        <v>639</v>
      </c>
      <c r="AU537">
        <v>2022</v>
      </c>
      <c r="AV537">
        <v>11</v>
      </c>
      <c r="AW537">
        <v>4</v>
      </c>
      <c r="AX537" t="s">
        <v>72</v>
      </c>
      <c r="AY537" t="s">
        <v>72</v>
      </c>
      <c r="AZ537" t="s">
        <v>72</v>
      </c>
      <c r="BA537" t="s">
        <v>72</v>
      </c>
      <c r="BB537" t="s">
        <v>72</v>
      </c>
      <c r="BC537" t="s">
        <v>72</v>
      </c>
      <c r="BD537">
        <v>53</v>
      </c>
      <c r="BE537" t="s">
        <v>3260</v>
      </c>
      <c r="BF537" t="str">
        <f>HYPERLINK("http://dx.doi.org/10.3390/laws11040053","http://dx.doi.org/10.3390/laws11040053")</f>
        <v>http://dx.doi.org/10.3390/laws11040053</v>
      </c>
      <c r="BG537" t="s">
        <v>72</v>
      </c>
      <c r="BH537" t="s">
        <v>72</v>
      </c>
      <c r="BI537">
        <v>19</v>
      </c>
      <c r="BJ537" t="s">
        <v>3261</v>
      </c>
      <c r="BK537" s="1" t="s">
        <v>17619</v>
      </c>
      <c r="BL537" t="s">
        <v>3262</v>
      </c>
      <c r="BM537" t="s">
        <v>72</v>
      </c>
      <c r="BN537" t="s">
        <v>222</v>
      </c>
      <c r="BO537" t="s">
        <v>72</v>
      </c>
      <c r="BP537" t="s">
        <v>72</v>
      </c>
      <c r="BQ537" t="s">
        <v>100</v>
      </c>
      <c r="BR537" t="s">
        <v>3263</v>
      </c>
      <c r="BS537" t="str">
        <f>HYPERLINK("https%3A%2F%2Fwww.webofscience.com%2Fwos%2Fwoscc%2Ffull-record%2FWOS:000845509500001","View Full Record in Web of Science")</f>
        <v>View Full Record in Web of Science</v>
      </c>
    </row>
    <row r="538" spans="1:71" x14ac:dyDescent="0.2">
      <c r="A538" t="s">
        <v>70</v>
      </c>
      <c r="B538" t="s">
        <v>3492</v>
      </c>
      <c r="C538" t="s">
        <v>72</v>
      </c>
      <c r="D538" t="s">
        <v>72</v>
      </c>
      <c r="E538" t="s">
        <v>72</v>
      </c>
      <c r="F538" t="s">
        <v>3493</v>
      </c>
      <c r="G538" t="s">
        <v>72</v>
      </c>
      <c r="H538" t="s">
        <v>72</v>
      </c>
      <c r="I538" t="s">
        <v>3494</v>
      </c>
      <c r="J538" t="s">
        <v>2909</v>
      </c>
      <c r="K538" t="s">
        <v>72</v>
      </c>
      <c r="L538" t="s">
        <v>72</v>
      </c>
      <c r="M538" t="s">
        <v>76</v>
      </c>
      <c r="N538" t="s">
        <v>77</v>
      </c>
      <c r="O538" t="s">
        <v>72</v>
      </c>
      <c r="P538" t="s">
        <v>72</v>
      </c>
      <c r="Q538" t="s">
        <v>72</v>
      </c>
      <c r="R538" t="s">
        <v>72</v>
      </c>
      <c r="S538" t="s">
        <v>72</v>
      </c>
      <c r="T538" t="s">
        <v>72</v>
      </c>
      <c r="U538" t="s">
        <v>3495</v>
      </c>
      <c r="V538" t="s">
        <v>3496</v>
      </c>
      <c r="W538" t="s">
        <v>3497</v>
      </c>
      <c r="X538" t="s">
        <v>3498</v>
      </c>
      <c r="Y538" t="s">
        <v>3499</v>
      </c>
      <c r="Z538" t="s">
        <v>3500</v>
      </c>
      <c r="AA538" t="s">
        <v>72</v>
      </c>
      <c r="AB538" t="s">
        <v>72</v>
      </c>
      <c r="AC538" t="s">
        <v>72</v>
      </c>
      <c r="AD538" t="s">
        <v>72</v>
      </c>
      <c r="AE538" t="s">
        <v>72</v>
      </c>
      <c r="AF538" t="s">
        <v>72</v>
      </c>
      <c r="AG538">
        <v>35</v>
      </c>
      <c r="AH538">
        <v>15</v>
      </c>
      <c r="AI538">
        <v>15</v>
      </c>
      <c r="AJ538">
        <v>0</v>
      </c>
      <c r="AK538">
        <v>12</v>
      </c>
      <c r="AL538" t="s">
        <v>240</v>
      </c>
      <c r="AM538" t="s">
        <v>707</v>
      </c>
      <c r="AN538" t="s">
        <v>1205</v>
      </c>
      <c r="AO538" t="s">
        <v>2917</v>
      </c>
      <c r="AP538" t="s">
        <v>2918</v>
      </c>
      <c r="AQ538" t="s">
        <v>72</v>
      </c>
      <c r="AR538" t="s">
        <v>2919</v>
      </c>
      <c r="AS538" t="s">
        <v>2920</v>
      </c>
      <c r="AT538" t="s">
        <v>149</v>
      </c>
      <c r="AU538">
        <v>2011</v>
      </c>
      <c r="AV538">
        <v>44</v>
      </c>
      <c r="AW538">
        <v>2</v>
      </c>
      <c r="AX538" t="s">
        <v>72</v>
      </c>
      <c r="AY538" t="s">
        <v>72</v>
      </c>
      <c r="AZ538" t="s">
        <v>72</v>
      </c>
      <c r="BA538" t="s">
        <v>72</v>
      </c>
      <c r="BB538">
        <v>331</v>
      </c>
      <c r="BC538">
        <v>337</v>
      </c>
      <c r="BD538" t="s">
        <v>72</v>
      </c>
      <c r="BE538" t="s">
        <v>3501</v>
      </c>
      <c r="BF538" t="str">
        <f>HYPERLINK("http://dx.doi.org/10.1017/S1049096511000187","http://dx.doi.org/10.1017/S1049096511000187")</f>
        <v>http://dx.doi.org/10.1017/S1049096511000187</v>
      </c>
      <c r="BG538" t="s">
        <v>72</v>
      </c>
      <c r="BH538" t="s">
        <v>72</v>
      </c>
      <c r="BI538">
        <v>7</v>
      </c>
      <c r="BJ538" t="s">
        <v>219</v>
      </c>
      <c r="BK538" s="1" t="s">
        <v>17619</v>
      </c>
      <c r="BL538" t="s">
        <v>3502</v>
      </c>
      <c r="BM538" t="s">
        <v>72</v>
      </c>
      <c r="BN538" t="s">
        <v>1497</v>
      </c>
      <c r="BO538" t="s">
        <v>72</v>
      </c>
      <c r="BP538" t="s">
        <v>72</v>
      </c>
      <c r="BQ538" t="s">
        <v>100</v>
      </c>
      <c r="BR538" t="s">
        <v>3503</v>
      </c>
      <c r="BS538" t="str">
        <f>HYPERLINK("https%3A%2F%2Fwww.webofscience.com%2Fwos%2Fwoscc%2Ffull-record%2FWOS:000289803300020","View Full Record in Web of Science")</f>
        <v>View Full Record in Web of Science</v>
      </c>
    </row>
    <row r="539" spans="1:71" x14ac:dyDescent="0.2">
      <c r="A539" t="s">
        <v>715</v>
      </c>
      <c r="B539" t="s">
        <v>3547</v>
      </c>
      <c r="C539" t="s">
        <v>72</v>
      </c>
      <c r="D539" t="s">
        <v>72</v>
      </c>
      <c r="E539" t="s">
        <v>3548</v>
      </c>
      <c r="F539" t="s">
        <v>3549</v>
      </c>
      <c r="G539" t="s">
        <v>72</v>
      </c>
      <c r="H539" t="s">
        <v>72</v>
      </c>
      <c r="I539" t="s">
        <v>3550</v>
      </c>
      <c r="J539" t="s">
        <v>3551</v>
      </c>
      <c r="K539" t="s">
        <v>1082</v>
      </c>
      <c r="L539" t="s">
        <v>72</v>
      </c>
      <c r="M539" t="s">
        <v>76</v>
      </c>
      <c r="N539" t="s">
        <v>567</v>
      </c>
      <c r="O539" t="s">
        <v>72</v>
      </c>
      <c r="P539" t="s">
        <v>72</v>
      </c>
      <c r="Q539" t="s">
        <v>72</v>
      </c>
      <c r="R539" t="s">
        <v>72</v>
      </c>
      <c r="S539" t="s">
        <v>72</v>
      </c>
      <c r="T539" t="s">
        <v>3552</v>
      </c>
      <c r="U539" t="s">
        <v>3553</v>
      </c>
      <c r="V539" t="s">
        <v>3554</v>
      </c>
      <c r="W539" t="s">
        <v>3555</v>
      </c>
      <c r="X539" t="s">
        <v>1183</v>
      </c>
      <c r="Y539" t="s">
        <v>3556</v>
      </c>
      <c r="Z539" t="s">
        <v>3557</v>
      </c>
      <c r="AA539" t="s">
        <v>72</v>
      </c>
      <c r="AB539" t="s">
        <v>72</v>
      </c>
      <c r="AC539" t="s">
        <v>72</v>
      </c>
      <c r="AD539" t="s">
        <v>72</v>
      </c>
      <c r="AE539" t="s">
        <v>72</v>
      </c>
      <c r="AF539" t="s">
        <v>72</v>
      </c>
      <c r="AG539">
        <v>67</v>
      </c>
      <c r="AH539">
        <v>91</v>
      </c>
      <c r="AI539">
        <v>93</v>
      </c>
      <c r="AJ539">
        <v>8</v>
      </c>
      <c r="AK539">
        <v>49</v>
      </c>
      <c r="AL539" t="s">
        <v>1091</v>
      </c>
      <c r="AM539" t="s">
        <v>1092</v>
      </c>
      <c r="AN539" t="s">
        <v>1093</v>
      </c>
      <c r="AO539" t="s">
        <v>1094</v>
      </c>
      <c r="AP539" t="s">
        <v>3558</v>
      </c>
      <c r="AQ539" t="s">
        <v>72</v>
      </c>
      <c r="AR539" t="s">
        <v>1096</v>
      </c>
      <c r="AS539" t="s">
        <v>1097</v>
      </c>
      <c r="AT539" t="s">
        <v>72</v>
      </c>
      <c r="AU539">
        <v>2017</v>
      </c>
      <c r="AV539">
        <v>20</v>
      </c>
      <c r="AW539" t="s">
        <v>72</v>
      </c>
      <c r="AX539" t="s">
        <v>72</v>
      </c>
      <c r="AY539" t="s">
        <v>72</v>
      </c>
      <c r="AZ539" t="s">
        <v>72</v>
      </c>
      <c r="BA539" t="s">
        <v>72</v>
      </c>
      <c r="BB539">
        <v>529</v>
      </c>
      <c r="BC539">
        <v>544</v>
      </c>
      <c r="BD539" t="s">
        <v>72</v>
      </c>
      <c r="BE539" t="s">
        <v>3559</v>
      </c>
      <c r="BF539" t="str">
        <f>HYPERLINK("http://dx.doi.org/10.1146/annurev-polisci-052615-025542","http://dx.doi.org/10.1146/annurev-polisci-052615-025542")</f>
        <v>http://dx.doi.org/10.1146/annurev-polisci-052615-025542</v>
      </c>
      <c r="BG539" t="s">
        <v>72</v>
      </c>
      <c r="BH539" t="s">
        <v>72</v>
      </c>
      <c r="BI539">
        <v>16</v>
      </c>
      <c r="BJ539" t="s">
        <v>219</v>
      </c>
      <c r="BK539" s="1" t="s">
        <v>17619</v>
      </c>
      <c r="BL539" t="s">
        <v>3560</v>
      </c>
      <c r="BM539" t="s">
        <v>72</v>
      </c>
      <c r="BN539" t="s">
        <v>72</v>
      </c>
      <c r="BO539" t="s">
        <v>72</v>
      </c>
      <c r="BP539" t="s">
        <v>72</v>
      </c>
      <c r="BQ539" t="s">
        <v>100</v>
      </c>
      <c r="BR539" t="s">
        <v>3561</v>
      </c>
      <c r="BS539" t="str">
        <f>HYPERLINK("https%3A%2F%2Fwww.webofscience.com%2Fwos%2Fwoscc%2Ffull-record%2FWOS:000401334000028","View Full Record in Web of Science")</f>
        <v>View Full Record in Web of Science</v>
      </c>
    </row>
    <row r="540" spans="1:71" x14ac:dyDescent="0.2">
      <c r="A540" t="s">
        <v>70</v>
      </c>
      <c r="B540" t="s">
        <v>3869</v>
      </c>
      <c r="C540" t="s">
        <v>72</v>
      </c>
      <c r="D540" t="s">
        <v>72</v>
      </c>
      <c r="E540" t="s">
        <v>72</v>
      </c>
      <c r="F540" t="s">
        <v>3870</v>
      </c>
      <c r="G540" t="s">
        <v>72</v>
      </c>
      <c r="H540" t="s">
        <v>72</v>
      </c>
      <c r="I540" t="s">
        <v>3871</v>
      </c>
      <c r="J540" t="s">
        <v>3872</v>
      </c>
      <c r="K540" t="s">
        <v>72</v>
      </c>
      <c r="L540" t="s">
        <v>72</v>
      </c>
      <c r="M540" t="s">
        <v>76</v>
      </c>
      <c r="N540" t="s">
        <v>77</v>
      </c>
      <c r="O540" t="s">
        <v>72</v>
      </c>
      <c r="P540" t="s">
        <v>72</v>
      </c>
      <c r="Q540" t="s">
        <v>72</v>
      </c>
      <c r="R540" t="s">
        <v>72</v>
      </c>
      <c r="S540" t="s">
        <v>72</v>
      </c>
      <c r="T540" t="s">
        <v>3873</v>
      </c>
      <c r="U540" t="s">
        <v>3874</v>
      </c>
      <c r="V540" t="s">
        <v>3875</v>
      </c>
      <c r="W540" t="s">
        <v>3876</v>
      </c>
      <c r="X540" t="s">
        <v>3877</v>
      </c>
      <c r="Y540" t="s">
        <v>3878</v>
      </c>
      <c r="Z540" t="s">
        <v>3879</v>
      </c>
      <c r="AA540" t="s">
        <v>72</v>
      </c>
      <c r="AB540" t="s">
        <v>3880</v>
      </c>
      <c r="AC540" t="s">
        <v>3881</v>
      </c>
      <c r="AD540" t="s">
        <v>3882</v>
      </c>
      <c r="AE540" t="s">
        <v>3883</v>
      </c>
      <c r="AF540" t="s">
        <v>72</v>
      </c>
      <c r="AG540">
        <v>44</v>
      </c>
      <c r="AH540">
        <v>0</v>
      </c>
      <c r="AI540">
        <v>0</v>
      </c>
      <c r="AJ540">
        <v>6</v>
      </c>
      <c r="AK540">
        <v>8</v>
      </c>
      <c r="AL540" t="s">
        <v>2073</v>
      </c>
      <c r="AM540" t="s">
        <v>365</v>
      </c>
      <c r="AN540" t="s">
        <v>2074</v>
      </c>
      <c r="AO540" t="s">
        <v>3884</v>
      </c>
      <c r="AP540" t="s">
        <v>3885</v>
      </c>
      <c r="AQ540" t="s">
        <v>72</v>
      </c>
      <c r="AR540" t="s">
        <v>3886</v>
      </c>
      <c r="AS540" t="s">
        <v>3887</v>
      </c>
      <c r="AT540" t="s">
        <v>3888</v>
      </c>
      <c r="AU540">
        <v>2021</v>
      </c>
      <c r="AV540">
        <v>73</v>
      </c>
      <c r="AW540">
        <v>3</v>
      </c>
      <c r="AX540" t="s">
        <v>72</v>
      </c>
      <c r="AY540" t="s">
        <v>72</v>
      </c>
      <c r="AZ540" t="s">
        <v>72</v>
      </c>
      <c r="BA540" t="s">
        <v>72</v>
      </c>
      <c r="BB540">
        <v>215</v>
      </c>
      <c r="BC540">
        <v>233</v>
      </c>
      <c r="BD540" t="s">
        <v>72</v>
      </c>
      <c r="BE540" t="s">
        <v>3889</v>
      </c>
      <c r="BF540" t="str">
        <f>HYPERLINK("http://dx.doi.org/10.1080/00323187.2022.2057336","http://dx.doi.org/10.1080/00323187.2022.2057336")</f>
        <v>http://dx.doi.org/10.1080/00323187.2022.2057336</v>
      </c>
      <c r="BG540" t="s">
        <v>72</v>
      </c>
      <c r="BH540" t="s">
        <v>1770</v>
      </c>
      <c r="BI540">
        <v>19</v>
      </c>
      <c r="BJ540" t="s">
        <v>219</v>
      </c>
      <c r="BK540" s="1" t="s">
        <v>17619</v>
      </c>
      <c r="BL540" t="s">
        <v>3890</v>
      </c>
      <c r="BM540" t="s">
        <v>72</v>
      </c>
      <c r="BN540" t="s">
        <v>251</v>
      </c>
      <c r="BO540" t="s">
        <v>72</v>
      </c>
      <c r="BP540" t="s">
        <v>72</v>
      </c>
      <c r="BQ540" t="s">
        <v>100</v>
      </c>
      <c r="BR540" t="s">
        <v>3891</v>
      </c>
      <c r="BS540" t="str">
        <f>HYPERLINK("https%3A%2F%2Fwww.webofscience.com%2Fwos%2Fwoscc%2Ffull-record%2FWOS:000778921100001","View Full Record in Web of Science")</f>
        <v>View Full Record in Web of Science</v>
      </c>
    </row>
    <row r="541" spans="1:71" x14ac:dyDescent="0.2">
      <c r="A541" t="s">
        <v>70</v>
      </c>
      <c r="B541" t="s">
        <v>4078</v>
      </c>
      <c r="C541" t="s">
        <v>72</v>
      </c>
      <c r="D541" t="s">
        <v>72</v>
      </c>
      <c r="E541" t="s">
        <v>72</v>
      </c>
      <c r="F541" t="s">
        <v>4079</v>
      </c>
      <c r="G541" t="s">
        <v>72</v>
      </c>
      <c r="H541" t="s">
        <v>72</v>
      </c>
      <c r="I541" t="s">
        <v>4080</v>
      </c>
      <c r="J541" t="s">
        <v>4081</v>
      </c>
      <c r="K541" t="s">
        <v>72</v>
      </c>
      <c r="L541" t="s">
        <v>72</v>
      </c>
      <c r="M541" t="s">
        <v>76</v>
      </c>
      <c r="N541" t="s">
        <v>77</v>
      </c>
      <c r="O541" t="s">
        <v>72</v>
      </c>
      <c r="P541" t="s">
        <v>72</v>
      </c>
      <c r="Q541" t="s">
        <v>72</v>
      </c>
      <c r="R541" t="s">
        <v>72</v>
      </c>
      <c r="S541" t="s">
        <v>72</v>
      </c>
      <c r="T541" t="s">
        <v>4082</v>
      </c>
      <c r="U541" t="s">
        <v>4083</v>
      </c>
      <c r="V541" t="s">
        <v>4084</v>
      </c>
      <c r="W541" t="s">
        <v>4085</v>
      </c>
      <c r="X541" t="s">
        <v>2913</v>
      </c>
      <c r="Y541" t="s">
        <v>4086</v>
      </c>
      <c r="Z541" t="s">
        <v>4087</v>
      </c>
      <c r="AA541" t="s">
        <v>72</v>
      </c>
      <c r="AB541" t="s">
        <v>72</v>
      </c>
      <c r="AC541" t="s">
        <v>72</v>
      </c>
      <c r="AD541" t="s">
        <v>72</v>
      </c>
      <c r="AE541" t="s">
        <v>72</v>
      </c>
      <c r="AF541" t="s">
        <v>72</v>
      </c>
      <c r="AG541">
        <v>76</v>
      </c>
      <c r="AH541">
        <v>21</v>
      </c>
      <c r="AI541">
        <v>21</v>
      </c>
      <c r="AJ541">
        <v>0</v>
      </c>
      <c r="AK541">
        <v>12</v>
      </c>
      <c r="AL541" t="s">
        <v>240</v>
      </c>
      <c r="AM541" t="s">
        <v>707</v>
      </c>
      <c r="AN541" t="s">
        <v>1205</v>
      </c>
      <c r="AO541" t="s">
        <v>4088</v>
      </c>
      <c r="AP541" t="s">
        <v>4089</v>
      </c>
      <c r="AQ541" t="s">
        <v>72</v>
      </c>
      <c r="AR541" t="s">
        <v>4090</v>
      </c>
      <c r="AS541" t="s">
        <v>4091</v>
      </c>
      <c r="AT541" t="s">
        <v>299</v>
      </c>
      <c r="AU541">
        <v>2014</v>
      </c>
      <c r="AV541">
        <v>14</v>
      </c>
      <c r="AW541">
        <v>2</v>
      </c>
      <c r="AX541" t="s">
        <v>72</v>
      </c>
      <c r="AY541" t="s">
        <v>72</v>
      </c>
      <c r="AZ541" t="s">
        <v>72</v>
      </c>
      <c r="BA541" t="s">
        <v>72</v>
      </c>
      <c r="BB541">
        <v>123</v>
      </c>
      <c r="BC541">
        <v>141</v>
      </c>
      <c r="BD541" t="s">
        <v>72</v>
      </c>
      <c r="BE541" t="s">
        <v>4092</v>
      </c>
      <c r="BF541" t="str">
        <f>HYPERLINK("http://dx.doi.org/10.1177/1532440013520241","http://dx.doi.org/10.1177/1532440013520241")</f>
        <v>http://dx.doi.org/10.1177/1532440013520241</v>
      </c>
      <c r="BG541" t="s">
        <v>72</v>
      </c>
      <c r="BH541" t="s">
        <v>72</v>
      </c>
      <c r="BI541">
        <v>19</v>
      </c>
      <c r="BJ541" t="s">
        <v>219</v>
      </c>
      <c r="BK541" s="1" t="s">
        <v>17619</v>
      </c>
      <c r="BL541" t="s">
        <v>4093</v>
      </c>
      <c r="BM541" t="s">
        <v>72</v>
      </c>
      <c r="BN541" t="s">
        <v>72</v>
      </c>
      <c r="BO541" t="s">
        <v>72</v>
      </c>
      <c r="BP541" t="s">
        <v>72</v>
      </c>
      <c r="BQ541" t="s">
        <v>100</v>
      </c>
      <c r="BR541" t="s">
        <v>4094</v>
      </c>
      <c r="BS541" t="str">
        <f>HYPERLINK("https%3A%2F%2Fwww.webofscience.com%2Fwos%2Fwoscc%2Ffull-record%2FWOS:000335569900001","View Full Record in Web of Science")</f>
        <v>View Full Record in Web of Science</v>
      </c>
    </row>
    <row r="542" spans="1:71" x14ac:dyDescent="0.2">
      <c r="A542" t="s">
        <v>70</v>
      </c>
      <c r="B542" t="s">
        <v>4144</v>
      </c>
      <c r="C542" t="s">
        <v>72</v>
      </c>
      <c r="D542" t="s">
        <v>72</v>
      </c>
      <c r="E542" t="s">
        <v>72</v>
      </c>
      <c r="F542" t="s">
        <v>4145</v>
      </c>
      <c r="G542" t="s">
        <v>72</v>
      </c>
      <c r="H542" t="s">
        <v>72</v>
      </c>
      <c r="I542" t="s">
        <v>4146</v>
      </c>
      <c r="J542" t="s">
        <v>227</v>
      </c>
      <c r="K542" t="s">
        <v>72</v>
      </c>
      <c r="L542" t="s">
        <v>72</v>
      </c>
      <c r="M542" t="s">
        <v>76</v>
      </c>
      <c r="N542" t="s">
        <v>77</v>
      </c>
      <c r="O542" t="s">
        <v>72</v>
      </c>
      <c r="P542" t="s">
        <v>72</v>
      </c>
      <c r="Q542" t="s">
        <v>72</v>
      </c>
      <c r="R542" t="s">
        <v>72</v>
      </c>
      <c r="S542" t="s">
        <v>72</v>
      </c>
      <c r="T542" t="s">
        <v>72</v>
      </c>
      <c r="U542" t="s">
        <v>4147</v>
      </c>
      <c r="V542" t="s">
        <v>4148</v>
      </c>
      <c r="W542" t="s">
        <v>4149</v>
      </c>
      <c r="X542" t="s">
        <v>4150</v>
      </c>
      <c r="Y542" t="s">
        <v>4151</v>
      </c>
      <c r="Z542" t="s">
        <v>4152</v>
      </c>
      <c r="AA542" t="s">
        <v>4153</v>
      </c>
      <c r="AB542" t="s">
        <v>4154</v>
      </c>
      <c r="AC542" t="s">
        <v>72</v>
      </c>
      <c r="AD542" t="s">
        <v>72</v>
      </c>
      <c r="AE542" t="s">
        <v>72</v>
      </c>
      <c r="AF542" t="s">
        <v>72</v>
      </c>
      <c r="AG542">
        <v>65</v>
      </c>
      <c r="AH542">
        <v>204</v>
      </c>
      <c r="AI542">
        <v>209</v>
      </c>
      <c r="AJ542">
        <v>9</v>
      </c>
      <c r="AK542">
        <v>68</v>
      </c>
      <c r="AL542" t="s">
        <v>240</v>
      </c>
      <c r="AM542" t="s">
        <v>241</v>
      </c>
      <c r="AN542" t="s">
        <v>242</v>
      </c>
      <c r="AO542" t="s">
        <v>243</v>
      </c>
      <c r="AP542" t="s">
        <v>244</v>
      </c>
      <c r="AQ542" t="s">
        <v>72</v>
      </c>
      <c r="AR542" t="s">
        <v>245</v>
      </c>
      <c r="AS542" t="s">
        <v>246</v>
      </c>
      <c r="AT542" t="s">
        <v>2322</v>
      </c>
      <c r="AU542">
        <v>2015</v>
      </c>
      <c r="AV542">
        <v>23</v>
      </c>
      <c r="AW542">
        <v>2</v>
      </c>
      <c r="AX542" t="s">
        <v>72</v>
      </c>
      <c r="AY542" t="s">
        <v>72</v>
      </c>
      <c r="AZ542" t="s">
        <v>72</v>
      </c>
      <c r="BA542" t="s">
        <v>72</v>
      </c>
      <c r="BB542">
        <v>254</v>
      </c>
      <c r="BC542">
        <v>277</v>
      </c>
      <c r="BD542" t="s">
        <v>72</v>
      </c>
      <c r="BE542" t="s">
        <v>4155</v>
      </c>
      <c r="BF542" t="str">
        <f>HYPERLINK("http://dx.doi.org/10.1093/pan/mpu019","http://dx.doi.org/10.1093/pan/mpu019")</f>
        <v>http://dx.doi.org/10.1093/pan/mpu019</v>
      </c>
      <c r="BG542" t="s">
        <v>72</v>
      </c>
      <c r="BH542" t="s">
        <v>72</v>
      </c>
      <c r="BI542">
        <v>24</v>
      </c>
      <c r="BJ542" t="s">
        <v>219</v>
      </c>
      <c r="BK542" s="1" t="s">
        <v>17619</v>
      </c>
      <c r="BL542" t="s">
        <v>4156</v>
      </c>
      <c r="BM542" t="s">
        <v>72</v>
      </c>
      <c r="BN542" t="s">
        <v>795</v>
      </c>
      <c r="BO542" t="s">
        <v>72</v>
      </c>
      <c r="BP542" t="s">
        <v>72</v>
      </c>
      <c r="BQ542" t="s">
        <v>100</v>
      </c>
      <c r="BR542" t="s">
        <v>4157</v>
      </c>
      <c r="BS542" t="str">
        <f>HYPERLINK("https%3A%2F%2Fwww.webofscience.com%2Fwos%2Fwoscc%2Ffull-record%2FWOS:000354730900008","View Full Record in Web of Science")</f>
        <v>View Full Record in Web of Science</v>
      </c>
    </row>
    <row r="543" spans="1:71" x14ac:dyDescent="0.2">
      <c r="A543" t="s">
        <v>70</v>
      </c>
      <c r="B543" t="s">
        <v>4298</v>
      </c>
      <c r="C543" t="s">
        <v>72</v>
      </c>
      <c r="D543" t="s">
        <v>72</v>
      </c>
      <c r="E543" t="s">
        <v>72</v>
      </c>
      <c r="F543" t="s">
        <v>4299</v>
      </c>
      <c r="G543" t="s">
        <v>72</v>
      </c>
      <c r="H543" t="s">
        <v>72</v>
      </c>
      <c r="I543" t="s">
        <v>4300</v>
      </c>
      <c r="J543" t="s">
        <v>2218</v>
      </c>
      <c r="K543" t="s">
        <v>72</v>
      </c>
      <c r="L543" t="s">
        <v>72</v>
      </c>
      <c r="M543" t="s">
        <v>542</v>
      </c>
      <c r="N543" t="s">
        <v>77</v>
      </c>
      <c r="O543" t="s">
        <v>72</v>
      </c>
      <c r="P543" t="s">
        <v>72</v>
      </c>
      <c r="Q543" t="s">
        <v>72</v>
      </c>
      <c r="R543" t="s">
        <v>72</v>
      </c>
      <c r="S543" t="s">
        <v>72</v>
      </c>
      <c r="T543" t="s">
        <v>4301</v>
      </c>
      <c r="U543" t="s">
        <v>4302</v>
      </c>
      <c r="V543" t="s">
        <v>4303</v>
      </c>
      <c r="W543" t="s">
        <v>4304</v>
      </c>
      <c r="X543" t="s">
        <v>4305</v>
      </c>
      <c r="Y543" t="s">
        <v>4306</v>
      </c>
      <c r="Z543" t="s">
        <v>4307</v>
      </c>
      <c r="AA543" t="s">
        <v>4308</v>
      </c>
      <c r="AB543" t="s">
        <v>4309</v>
      </c>
      <c r="AC543" t="s">
        <v>72</v>
      </c>
      <c r="AD543" t="s">
        <v>72</v>
      </c>
      <c r="AE543" t="s">
        <v>72</v>
      </c>
      <c r="AF543" t="s">
        <v>72</v>
      </c>
      <c r="AG543">
        <v>34</v>
      </c>
      <c r="AH543">
        <v>6</v>
      </c>
      <c r="AI543">
        <v>6</v>
      </c>
      <c r="AJ543">
        <v>0</v>
      </c>
      <c r="AK543">
        <v>4</v>
      </c>
      <c r="AL543" t="s">
        <v>2229</v>
      </c>
      <c r="AM543" t="s">
        <v>2230</v>
      </c>
      <c r="AN543" t="s">
        <v>2231</v>
      </c>
      <c r="AO543" t="s">
        <v>2232</v>
      </c>
      <c r="AP543" t="s">
        <v>2233</v>
      </c>
      <c r="AQ543" t="s">
        <v>72</v>
      </c>
      <c r="AR543" t="s">
        <v>2234</v>
      </c>
      <c r="AS543" t="s">
        <v>2235</v>
      </c>
      <c r="AT543" t="s">
        <v>929</v>
      </c>
      <c r="AU543">
        <v>2018</v>
      </c>
      <c r="AV543">
        <v>12</v>
      </c>
      <c r="AW543">
        <v>4</v>
      </c>
      <c r="AX543" t="s">
        <v>72</v>
      </c>
      <c r="AY543" t="s">
        <v>72</v>
      </c>
      <c r="AZ543" t="s">
        <v>478</v>
      </c>
      <c r="BA543" t="s">
        <v>72</v>
      </c>
      <c r="BB543">
        <v>683</v>
      </c>
      <c r="BC543">
        <v>702</v>
      </c>
      <c r="BD543" t="s">
        <v>72</v>
      </c>
      <c r="BE543" t="s">
        <v>4310</v>
      </c>
      <c r="BF543" t="str">
        <f>HYPERLINK("http://dx.doi.org/10.1007/s12286-018-0405-x","http://dx.doi.org/10.1007/s12286-018-0405-x")</f>
        <v>http://dx.doi.org/10.1007/s12286-018-0405-x</v>
      </c>
      <c r="BG543" t="s">
        <v>72</v>
      </c>
      <c r="BH543" t="s">
        <v>72</v>
      </c>
      <c r="BI543">
        <v>20</v>
      </c>
      <c r="BJ543" t="s">
        <v>219</v>
      </c>
      <c r="BK543" s="1" t="s">
        <v>17619</v>
      </c>
      <c r="BL543" t="s">
        <v>4311</v>
      </c>
      <c r="BM543" t="s">
        <v>72</v>
      </c>
      <c r="BN543" t="s">
        <v>72</v>
      </c>
      <c r="BO543" t="s">
        <v>72</v>
      </c>
      <c r="BP543" t="s">
        <v>72</v>
      </c>
      <c r="BQ543" t="s">
        <v>100</v>
      </c>
      <c r="BR543" t="s">
        <v>4312</v>
      </c>
      <c r="BS543" t="str">
        <f>HYPERLINK("https%3A%2F%2Fwww.webofscience.com%2Fwos%2Fwoscc%2Ffull-record%2FWOS:000451387500005","View Full Record in Web of Science")</f>
        <v>View Full Record in Web of Science</v>
      </c>
    </row>
    <row r="544" spans="1:71" x14ac:dyDescent="0.2">
      <c r="A544" t="s">
        <v>70</v>
      </c>
      <c r="B544" t="s">
        <v>4414</v>
      </c>
      <c r="C544" t="s">
        <v>72</v>
      </c>
      <c r="D544" t="s">
        <v>72</v>
      </c>
      <c r="E544" t="s">
        <v>72</v>
      </c>
      <c r="F544" t="s">
        <v>4415</v>
      </c>
      <c r="G544" t="s">
        <v>72</v>
      </c>
      <c r="H544" t="s">
        <v>72</v>
      </c>
      <c r="I544" t="s">
        <v>4416</v>
      </c>
      <c r="J544" t="s">
        <v>2909</v>
      </c>
      <c r="K544" t="s">
        <v>72</v>
      </c>
      <c r="L544" t="s">
        <v>72</v>
      </c>
      <c r="M544" t="s">
        <v>76</v>
      </c>
      <c r="N544" t="s">
        <v>77</v>
      </c>
      <c r="O544" t="s">
        <v>72</v>
      </c>
      <c r="P544" t="s">
        <v>72</v>
      </c>
      <c r="Q544" t="s">
        <v>72</v>
      </c>
      <c r="R544" t="s">
        <v>72</v>
      </c>
      <c r="S544" t="s">
        <v>72</v>
      </c>
      <c r="T544" t="s">
        <v>72</v>
      </c>
      <c r="U544" t="s">
        <v>4417</v>
      </c>
      <c r="V544" t="s">
        <v>4418</v>
      </c>
      <c r="W544" t="s">
        <v>4419</v>
      </c>
      <c r="X544" t="s">
        <v>4420</v>
      </c>
      <c r="Y544" t="s">
        <v>4421</v>
      </c>
      <c r="Z544" t="s">
        <v>4422</v>
      </c>
      <c r="AA544" t="s">
        <v>72</v>
      </c>
      <c r="AB544" t="s">
        <v>4423</v>
      </c>
      <c r="AC544" t="s">
        <v>72</v>
      </c>
      <c r="AD544" t="s">
        <v>72</v>
      </c>
      <c r="AE544" t="s">
        <v>72</v>
      </c>
      <c r="AF544" t="s">
        <v>72</v>
      </c>
      <c r="AG544">
        <v>35</v>
      </c>
      <c r="AH544">
        <v>1</v>
      </c>
      <c r="AI544">
        <v>1</v>
      </c>
      <c r="AJ544">
        <v>2</v>
      </c>
      <c r="AK544">
        <v>6</v>
      </c>
      <c r="AL544" t="s">
        <v>240</v>
      </c>
      <c r="AM544" t="s">
        <v>707</v>
      </c>
      <c r="AN544" t="s">
        <v>1205</v>
      </c>
      <c r="AO544" t="s">
        <v>2917</v>
      </c>
      <c r="AP544" t="s">
        <v>2918</v>
      </c>
      <c r="AQ544" t="s">
        <v>72</v>
      </c>
      <c r="AR544" t="s">
        <v>2919</v>
      </c>
      <c r="AS544" t="s">
        <v>2920</v>
      </c>
      <c r="AT544" t="s">
        <v>247</v>
      </c>
      <c r="AU544">
        <v>2022</v>
      </c>
      <c r="AV544">
        <v>55</v>
      </c>
      <c r="AW544">
        <v>1</v>
      </c>
      <c r="AX544" t="s">
        <v>72</v>
      </c>
      <c r="AY544" t="s">
        <v>72</v>
      </c>
      <c r="AZ544" t="s">
        <v>72</v>
      </c>
      <c r="BA544" t="s">
        <v>72</v>
      </c>
      <c r="BB544">
        <v>109</v>
      </c>
      <c r="BC544">
        <v>116</v>
      </c>
      <c r="BD544" t="s">
        <v>4424</v>
      </c>
      <c r="BE544" t="s">
        <v>4425</v>
      </c>
      <c r="BF544" t="str">
        <f>HYPERLINK("http://dx.doi.org/10.1017/S1049096521001049","http://dx.doi.org/10.1017/S1049096521001049")</f>
        <v>http://dx.doi.org/10.1017/S1049096521001049</v>
      </c>
      <c r="BG544" t="s">
        <v>72</v>
      </c>
      <c r="BH544" t="s">
        <v>72</v>
      </c>
      <c r="BI544">
        <v>8</v>
      </c>
      <c r="BJ544" t="s">
        <v>219</v>
      </c>
      <c r="BK544" s="1" t="s">
        <v>17619</v>
      </c>
      <c r="BL544" t="s">
        <v>4426</v>
      </c>
      <c r="BM544" t="s">
        <v>72</v>
      </c>
      <c r="BN544" t="s">
        <v>72</v>
      </c>
      <c r="BO544" t="s">
        <v>72</v>
      </c>
      <c r="BP544" t="s">
        <v>72</v>
      </c>
      <c r="BQ544" t="s">
        <v>100</v>
      </c>
      <c r="BR544" t="s">
        <v>4427</v>
      </c>
      <c r="BS544" t="str">
        <f>HYPERLINK("https%3A%2F%2Fwww.webofscience.com%2Fwos%2Fwoscc%2Ffull-record%2FWOS:000731954800024","View Full Record in Web of Science")</f>
        <v>View Full Record in Web of Science</v>
      </c>
    </row>
    <row r="545" spans="1:71" x14ac:dyDescent="0.2">
      <c r="A545" t="s">
        <v>70</v>
      </c>
      <c r="B545" t="s">
        <v>4487</v>
      </c>
      <c r="C545" t="s">
        <v>72</v>
      </c>
      <c r="D545" t="s">
        <v>72</v>
      </c>
      <c r="E545" t="s">
        <v>72</v>
      </c>
      <c r="F545" t="s">
        <v>4488</v>
      </c>
      <c r="G545" t="s">
        <v>72</v>
      </c>
      <c r="H545" t="s">
        <v>72</v>
      </c>
      <c r="I545" t="s">
        <v>4489</v>
      </c>
      <c r="J545" t="s">
        <v>206</v>
      </c>
      <c r="K545" t="s">
        <v>72</v>
      </c>
      <c r="L545" t="s">
        <v>72</v>
      </c>
      <c r="M545" t="s">
        <v>76</v>
      </c>
      <c r="N545" t="s">
        <v>77</v>
      </c>
      <c r="O545" t="s">
        <v>72</v>
      </c>
      <c r="P545" t="s">
        <v>72</v>
      </c>
      <c r="Q545" t="s">
        <v>72</v>
      </c>
      <c r="R545" t="s">
        <v>72</v>
      </c>
      <c r="S545" t="s">
        <v>72</v>
      </c>
      <c r="T545" t="s">
        <v>4490</v>
      </c>
      <c r="U545" t="s">
        <v>4491</v>
      </c>
      <c r="V545" t="s">
        <v>4492</v>
      </c>
      <c r="W545" t="s">
        <v>4493</v>
      </c>
      <c r="X545" t="s">
        <v>4494</v>
      </c>
      <c r="Y545" t="s">
        <v>4495</v>
      </c>
      <c r="Z545" t="s">
        <v>4496</v>
      </c>
      <c r="AA545" t="s">
        <v>72</v>
      </c>
      <c r="AB545" t="s">
        <v>4497</v>
      </c>
      <c r="AC545" t="s">
        <v>4498</v>
      </c>
      <c r="AD545" t="s">
        <v>4498</v>
      </c>
      <c r="AE545" t="s">
        <v>4499</v>
      </c>
      <c r="AF545" t="s">
        <v>72</v>
      </c>
      <c r="AG545">
        <v>27</v>
      </c>
      <c r="AH545">
        <v>50</v>
      </c>
      <c r="AI545">
        <v>50</v>
      </c>
      <c r="AJ545">
        <v>1</v>
      </c>
      <c r="AK545">
        <v>7</v>
      </c>
      <c r="AL545" t="s">
        <v>190</v>
      </c>
      <c r="AM545" t="s">
        <v>191</v>
      </c>
      <c r="AN545" t="s">
        <v>192</v>
      </c>
      <c r="AO545" t="s">
        <v>72</v>
      </c>
      <c r="AP545" t="s">
        <v>215</v>
      </c>
      <c r="AQ545" t="s">
        <v>72</v>
      </c>
      <c r="AR545" t="s">
        <v>216</v>
      </c>
      <c r="AS545" t="s">
        <v>217</v>
      </c>
      <c r="AT545" t="s">
        <v>4500</v>
      </c>
      <c r="AU545">
        <v>2017</v>
      </c>
      <c r="AV545">
        <v>4</v>
      </c>
      <c r="AW545">
        <v>2</v>
      </c>
      <c r="AX545" t="s">
        <v>72</v>
      </c>
      <c r="AY545" t="s">
        <v>72</v>
      </c>
      <c r="AZ545" t="s">
        <v>72</v>
      </c>
      <c r="BA545" t="s">
        <v>72</v>
      </c>
      <c r="BB545" t="s">
        <v>72</v>
      </c>
      <c r="BC545" t="s">
        <v>72</v>
      </c>
      <c r="BD545">
        <v>2053168017712821</v>
      </c>
      <c r="BE545" t="s">
        <v>4501</v>
      </c>
      <c r="BF545" t="str">
        <f>HYPERLINK("http://dx.doi.org/10.1177/2053168017712821","http://dx.doi.org/10.1177/2053168017712821")</f>
        <v>http://dx.doi.org/10.1177/2053168017712821</v>
      </c>
      <c r="BG545" t="s">
        <v>72</v>
      </c>
      <c r="BH545" t="s">
        <v>72</v>
      </c>
      <c r="BI545">
        <v>9</v>
      </c>
      <c r="BJ545" t="s">
        <v>219</v>
      </c>
      <c r="BK545" s="1" t="s">
        <v>17619</v>
      </c>
      <c r="BL545" t="s">
        <v>4502</v>
      </c>
      <c r="BM545" t="s">
        <v>72</v>
      </c>
      <c r="BN545" t="s">
        <v>4503</v>
      </c>
      <c r="BO545" t="s">
        <v>72</v>
      </c>
      <c r="BP545" t="s">
        <v>72</v>
      </c>
      <c r="BQ545" t="s">
        <v>100</v>
      </c>
      <c r="BR545" t="s">
        <v>4504</v>
      </c>
      <c r="BS545" t="str">
        <f>HYPERLINK("https%3A%2F%2Fwww.webofscience.com%2Fwos%2Fwoscc%2Ffull-record%2FWOS:000425008000009","View Full Record in Web of Science")</f>
        <v>View Full Record in Web of Science</v>
      </c>
    </row>
    <row r="546" spans="1:71" x14ac:dyDescent="0.2">
      <c r="A546" t="s">
        <v>70</v>
      </c>
      <c r="B546" t="s">
        <v>4505</v>
      </c>
      <c r="C546" t="s">
        <v>72</v>
      </c>
      <c r="D546" t="s">
        <v>72</v>
      </c>
      <c r="E546" t="s">
        <v>72</v>
      </c>
      <c r="F546" t="s">
        <v>4506</v>
      </c>
      <c r="G546" t="s">
        <v>72</v>
      </c>
      <c r="H546" t="s">
        <v>72</v>
      </c>
      <c r="I546" t="s">
        <v>4507</v>
      </c>
      <c r="J546" t="s">
        <v>227</v>
      </c>
      <c r="K546" t="s">
        <v>72</v>
      </c>
      <c r="L546" t="s">
        <v>72</v>
      </c>
      <c r="M546" t="s">
        <v>76</v>
      </c>
      <c r="N546" t="s">
        <v>77</v>
      </c>
      <c r="O546" t="s">
        <v>72</v>
      </c>
      <c r="P546" t="s">
        <v>72</v>
      </c>
      <c r="Q546" t="s">
        <v>72</v>
      </c>
      <c r="R546" t="s">
        <v>72</v>
      </c>
      <c r="S546" t="s">
        <v>72</v>
      </c>
      <c r="T546" t="s">
        <v>4508</v>
      </c>
      <c r="U546" t="s">
        <v>4509</v>
      </c>
      <c r="V546" t="s">
        <v>4510</v>
      </c>
      <c r="W546" t="s">
        <v>4511</v>
      </c>
      <c r="X546" t="s">
        <v>4512</v>
      </c>
      <c r="Y546" t="s">
        <v>4513</v>
      </c>
      <c r="Z546" t="s">
        <v>213</v>
      </c>
      <c r="AA546" t="s">
        <v>4514</v>
      </c>
      <c r="AB546" t="s">
        <v>4515</v>
      </c>
      <c r="AC546" t="s">
        <v>4516</v>
      </c>
      <c r="AD546" t="s">
        <v>4517</v>
      </c>
      <c r="AE546" t="s">
        <v>4518</v>
      </c>
      <c r="AF546" t="s">
        <v>72</v>
      </c>
      <c r="AG546">
        <v>54</v>
      </c>
      <c r="AH546">
        <v>1</v>
      </c>
      <c r="AI546">
        <v>1</v>
      </c>
      <c r="AJ546">
        <v>7</v>
      </c>
      <c r="AK546">
        <v>7</v>
      </c>
      <c r="AL546" t="s">
        <v>240</v>
      </c>
      <c r="AM546" t="s">
        <v>241</v>
      </c>
      <c r="AN546" t="s">
        <v>242</v>
      </c>
      <c r="AO546" t="s">
        <v>243</v>
      </c>
      <c r="AP546" t="s">
        <v>244</v>
      </c>
      <c r="AQ546" t="s">
        <v>72</v>
      </c>
      <c r="AR546" t="s">
        <v>245</v>
      </c>
      <c r="AS546" t="s">
        <v>246</v>
      </c>
      <c r="AT546" t="s">
        <v>395</v>
      </c>
      <c r="AU546">
        <v>2022</v>
      </c>
      <c r="AV546">
        <v>30</v>
      </c>
      <c r="AW546">
        <v>4</v>
      </c>
      <c r="AX546" t="s">
        <v>72</v>
      </c>
      <c r="AY546" t="s">
        <v>72</v>
      </c>
      <c r="AZ546" t="s">
        <v>72</v>
      </c>
      <c r="BA546" t="s">
        <v>72</v>
      </c>
      <c r="BB546">
        <v>463</v>
      </c>
      <c r="BC546">
        <v>480</v>
      </c>
      <c r="BD546" t="s">
        <v>4519</v>
      </c>
      <c r="BE546" t="s">
        <v>4520</v>
      </c>
      <c r="BF546" t="str">
        <f>HYPERLINK("http://dx.doi.org/10.1017/pan.2021.15","http://dx.doi.org/10.1017/pan.2021.15")</f>
        <v>http://dx.doi.org/10.1017/pan.2021.15</v>
      </c>
      <c r="BG546" t="s">
        <v>72</v>
      </c>
      <c r="BH546" t="s">
        <v>4131</v>
      </c>
      <c r="BI546">
        <v>18</v>
      </c>
      <c r="BJ546" t="s">
        <v>219</v>
      </c>
      <c r="BK546" s="1" t="s">
        <v>17619</v>
      </c>
      <c r="BL546" t="s">
        <v>4521</v>
      </c>
      <c r="BM546" t="s">
        <v>72</v>
      </c>
      <c r="BN546" t="s">
        <v>4522</v>
      </c>
      <c r="BO546" t="s">
        <v>72</v>
      </c>
      <c r="BP546" t="s">
        <v>72</v>
      </c>
      <c r="BQ546" t="s">
        <v>100</v>
      </c>
      <c r="BR546" t="s">
        <v>4523</v>
      </c>
      <c r="BS546" t="str">
        <f>HYPERLINK("https%3A%2F%2Fwww.webofscience.com%2Fwos%2Fwoscc%2Ffull-record%2FWOS:000779073200001","View Full Record in Web of Science")</f>
        <v>View Full Record in Web of Science</v>
      </c>
    </row>
    <row r="547" spans="1:71" x14ac:dyDescent="0.2">
      <c r="A547" t="s">
        <v>70</v>
      </c>
      <c r="B547" t="s">
        <v>4640</v>
      </c>
      <c r="C547" t="s">
        <v>72</v>
      </c>
      <c r="D547" t="s">
        <v>72</v>
      </c>
      <c r="E547" t="s">
        <v>72</v>
      </c>
      <c r="F547" t="s">
        <v>4641</v>
      </c>
      <c r="G547" t="s">
        <v>72</v>
      </c>
      <c r="H547" t="s">
        <v>72</v>
      </c>
      <c r="I547" t="s">
        <v>4642</v>
      </c>
      <c r="J547" t="s">
        <v>4643</v>
      </c>
      <c r="K547" t="s">
        <v>72</v>
      </c>
      <c r="L547" t="s">
        <v>72</v>
      </c>
      <c r="M547" t="s">
        <v>76</v>
      </c>
      <c r="N547" t="s">
        <v>352</v>
      </c>
      <c r="O547" t="s">
        <v>72</v>
      </c>
      <c r="P547" t="s">
        <v>72</v>
      </c>
      <c r="Q547" t="s">
        <v>72</v>
      </c>
      <c r="R547" t="s">
        <v>72</v>
      </c>
      <c r="S547" t="s">
        <v>72</v>
      </c>
      <c r="T547" t="s">
        <v>4644</v>
      </c>
      <c r="U547" t="s">
        <v>4645</v>
      </c>
      <c r="V547" t="s">
        <v>4646</v>
      </c>
      <c r="W547" t="s">
        <v>4647</v>
      </c>
      <c r="X547" t="s">
        <v>4648</v>
      </c>
      <c r="Y547" t="s">
        <v>4649</v>
      </c>
      <c r="Z547" t="s">
        <v>4650</v>
      </c>
      <c r="AA547" t="s">
        <v>72</v>
      </c>
      <c r="AB547" t="s">
        <v>4651</v>
      </c>
      <c r="AC547" t="s">
        <v>72</v>
      </c>
      <c r="AD547" t="s">
        <v>72</v>
      </c>
      <c r="AE547" t="s">
        <v>72</v>
      </c>
      <c r="AF547" t="s">
        <v>72</v>
      </c>
      <c r="AG547">
        <v>28</v>
      </c>
      <c r="AH547">
        <v>0</v>
      </c>
      <c r="AI547">
        <v>0</v>
      </c>
      <c r="AJ547">
        <v>2</v>
      </c>
      <c r="AK547">
        <v>4</v>
      </c>
      <c r="AL547" t="s">
        <v>240</v>
      </c>
      <c r="AM547" t="s">
        <v>241</v>
      </c>
      <c r="AN547" t="s">
        <v>242</v>
      </c>
      <c r="AO547" t="s">
        <v>4652</v>
      </c>
      <c r="AP547" t="s">
        <v>4653</v>
      </c>
      <c r="AQ547" t="s">
        <v>72</v>
      </c>
      <c r="AR547" t="s">
        <v>4654</v>
      </c>
      <c r="AS547" t="s">
        <v>4655</v>
      </c>
      <c r="AT547" t="s">
        <v>72</v>
      </c>
      <c r="AU547" t="s">
        <v>72</v>
      </c>
      <c r="AV547" t="s">
        <v>72</v>
      </c>
      <c r="AW547" t="s">
        <v>72</v>
      </c>
      <c r="AX547" t="s">
        <v>72</v>
      </c>
      <c r="AY547" t="s">
        <v>72</v>
      </c>
      <c r="AZ547" t="s">
        <v>72</v>
      </c>
      <c r="BA547" t="s">
        <v>72</v>
      </c>
      <c r="BB547" t="s">
        <v>72</v>
      </c>
      <c r="BC547" t="s">
        <v>72</v>
      </c>
      <c r="BD547" t="s">
        <v>72</v>
      </c>
      <c r="BE547" t="s">
        <v>4656</v>
      </c>
      <c r="BF547" t="str">
        <f>HYPERLINK("http://dx.doi.org/10.1017/psrm.2022.9","http://dx.doi.org/10.1017/psrm.2022.9")</f>
        <v>http://dx.doi.org/10.1017/psrm.2022.9</v>
      </c>
      <c r="BG547" t="s">
        <v>72</v>
      </c>
      <c r="BH547" t="s">
        <v>2211</v>
      </c>
      <c r="BI547">
        <v>12</v>
      </c>
      <c r="BJ547" t="s">
        <v>219</v>
      </c>
      <c r="BK547" s="1" t="s">
        <v>17619</v>
      </c>
      <c r="BL547" t="s">
        <v>4657</v>
      </c>
      <c r="BM547" t="s">
        <v>72</v>
      </c>
      <c r="BN547" t="s">
        <v>72</v>
      </c>
      <c r="BO547" t="s">
        <v>72</v>
      </c>
      <c r="BP547" t="s">
        <v>72</v>
      </c>
      <c r="BQ547" t="s">
        <v>100</v>
      </c>
      <c r="BR547" t="s">
        <v>4658</v>
      </c>
      <c r="BS547" t="str">
        <f>HYPERLINK("https%3A%2F%2Fwww.webofscience.com%2Fwos%2Fwoscc%2Ffull-record%2FWOS:000773275300001","View Full Record in Web of Science")</f>
        <v>View Full Record in Web of Science</v>
      </c>
    </row>
    <row r="548" spans="1:71" x14ac:dyDescent="0.2">
      <c r="A548" t="s">
        <v>70</v>
      </c>
      <c r="B548" t="s">
        <v>4772</v>
      </c>
      <c r="C548" t="s">
        <v>72</v>
      </c>
      <c r="D548" t="s">
        <v>72</v>
      </c>
      <c r="E548" t="s">
        <v>72</v>
      </c>
      <c r="F548" t="s">
        <v>4773</v>
      </c>
      <c r="G548" t="s">
        <v>72</v>
      </c>
      <c r="H548" t="s">
        <v>72</v>
      </c>
      <c r="I548" t="s">
        <v>4774</v>
      </c>
      <c r="J548" t="s">
        <v>4775</v>
      </c>
      <c r="K548" t="s">
        <v>72</v>
      </c>
      <c r="L548" t="s">
        <v>72</v>
      </c>
      <c r="M548" t="s">
        <v>76</v>
      </c>
      <c r="N548" t="s">
        <v>77</v>
      </c>
      <c r="O548" t="s">
        <v>72</v>
      </c>
      <c r="P548" t="s">
        <v>72</v>
      </c>
      <c r="Q548" t="s">
        <v>72</v>
      </c>
      <c r="R548" t="s">
        <v>72</v>
      </c>
      <c r="S548" t="s">
        <v>72</v>
      </c>
      <c r="T548" t="s">
        <v>72</v>
      </c>
      <c r="U548" t="s">
        <v>4776</v>
      </c>
      <c r="V548" t="s">
        <v>4777</v>
      </c>
      <c r="W548" t="s">
        <v>4778</v>
      </c>
      <c r="X548" t="s">
        <v>4779</v>
      </c>
      <c r="Y548" t="s">
        <v>4780</v>
      </c>
      <c r="Z548" t="s">
        <v>4781</v>
      </c>
      <c r="AA548" t="s">
        <v>72</v>
      </c>
      <c r="AB548" t="s">
        <v>72</v>
      </c>
      <c r="AC548" t="s">
        <v>4782</v>
      </c>
      <c r="AD548" t="s">
        <v>4782</v>
      </c>
      <c r="AE548" t="s">
        <v>4783</v>
      </c>
      <c r="AF548" t="s">
        <v>72</v>
      </c>
      <c r="AG548">
        <v>49</v>
      </c>
      <c r="AH548">
        <v>34</v>
      </c>
      <c r="AI548">
        <v>35</v>
      </c>
      <c r="AJ548">
        <v>0</v>
      </c>
      <c r="AK548">
        <v>11</v>
      </c>
      <c r="AL548" t="s">
        <v>240</v>
      </c>
      <c r="AM548" t="s">
        <v>707</v>
      </c>
      <c r="AN548" t="s">
        <v>1205</v>
      </c>
      <c r="AO548" t="s">
        <v>4784</v>
      </c>
      <c r="AP548" t="s">
        <v>4785</v>
      </c>
      <c r="AQ548" t="s">
        <v>72</v>
      </c>
      <c r="AR548" t="s">
        <v>4786</v>
      </c>
      <c r="AS548" t="s">
        <v>4787</v>
      </c>
      <c r="AT548" t="s">
        <v>197</v>
      </c>
      <c r="AU548">
        <v>2020</v>
      </c>
      <c r="AV548">
        <v>114</v>
      </c>
      <c r="AW548">
        <v>2</v>
      </c>
      <c r="AX548" t="s">
        <v>72</v>
      </c>
      <c r="AY548" t="s">
        <v>72</v>
      </c>
      <c r="AZ548" t="s">
        <v>72</v>
      </c>
      <c r="BA548" t="s">
        <v>72</v>
      </c>
      <c r="BB548">
        <v>552</v>
      </c>
      <c r="BC548">
        <v>572</v>
      </c>
      <c r="BD548" t="s">
        <v>4788</v>
      </c>
      <c r="BE548" t="s">
        <v>4789</v>
      </c>
      <c r="BF548" t="str">
        <f>HYPERLINK("http://dx.doi.org/10.1017/S0003055419000856","http://dx.doi.org/10.1017/S0003055419000856")</f>
        <v>http://dx.doi.org/10.1017/S0003055419000856</v>
      </c>
      <c r="BG548" t="s">
        <v>72</v>
      </c>
      <c r="BH548" t="s">
        <v>72</v>
      </c>
      <c r="BI548">
        <v>21</v>
      </c>
      <c r="BJ548" t="s">
        <v>219</v>
      </c>
      <c r="BK548" s="1" t="s">
        <v>17619</v>
      </c>
      <c r="BL548" t="s">
        <v>4790</v>
      </c>
      <c r="BM548" t="s">
        <v>72</v>
      </c>
      <c r="BN548" t="s">
        <v>72</v>
      </c>
      <c r="BO548" t="s">
        <v>72</v>
      </c>
      <c r="BP548" t="s">
        <v>72</v>
      </c>
      <c r="BQ548" t="s">
        <v>100</v>
      </c>
      <c r="BR548" t="s">
        <v>4791</v>
      </c>
      <c r="BS548" t="str">
        <f>HYPERLINK("https%3A%2F%2Fwww.webofscience.com%2Fwos%2Fwoscc%2Ffull-record%2FWOS:000528000400016","View Full Record in Web of Science")</f>
        <v>View Full Record in Web of Science</v>
      </c>
    </row>
    <row r="549" spans="1:71" x14ac:dyDescent="0.2">
      <c r="A549" t="s">
        <v>70</v>
      </c>
      <c r="B549" t="s">
        <v>4838</v>
      </c>
      <c r="C549" t="s">
        <v>72</v>
      </c>
      <c r="D549" t="s">
        <v>72</v>
      </c>
      <c r="E549" t="s">
        <v>72</v>
      </c>
      <c r="F549" t="s">
        <v>4839</v>
      </c>
      <c r="G549" t="s">
        <v>72</v>
      </c>
      <c r="H549" t="s">
        <v>72</v>
      </c>
      <c r="I549" t="s">
        <v>4840</v>
      </c>
      <c r="J549" t="s">
        <v>4643</v>
      </c>
      <c r="K549" t="s">
        <v>72</v>
      </c>
      <c r="L549" t="s">
        <v>72</v>
      </c>
      <c r="M549" t="s">
        <v>76</v>
      </c>
      <c r="N549" t="s">
        <v>77</v>
      </c>
      <c r="O549" t="s">
        <v>72</v>
      </c>
      <c r="P549" t="s">
        <v>72</v>
      </c>
      <c r="Q549" t="s">
        <v>72</v>
      </c>
      <c r="R549" t="s">
        <v>72</v>
      </c>
      <c r="S549" t="s">
        <v>72</v>
      </c>
      <c r="T549" t="s">
        <v>72</v>
      </c>
      <c r="U549" t="s">
        <v>4841</v>
      </c>
      <c r="V549" t="s">
        <v>4842</v>
      </c>
      <c r="W549" t="s">
        <v>4843</v>
      </c>
      <c r="X549" t="s">
        <v>4844</v>
      </c>
      <c r="Y549" t="s">
        <v>4845</v>
      </c>
      <c r="Z549" t="s">
        <v>4846</v>
      </c>
      <c r="AA549" t="s">
        <v>72</v>
      </c>
      <c r="AB549" t="s">
        <v>72</v>
      </c>
      <c r="AC549" t="s">
        <v>72</v>
      </c>
      <c r="AD549" t="s">
        <v>72</v>
      </c>
      <c r="AE549" t="s">
        <v>72</v>
      </c>
      <c r="AF549" t="s">
        <v>72</v>
      </c>
      <c r="AG549">
        <v>50</v>
      </c>
      <c r="AH549">
        <v>55</v>
      </c>
      <c r="AI549">
        <v>55</v>
      </c>
      <c r="AJ549">
        <v>1</v>
      </c>
      <c r="AK549">
        <v>16</v>
      </c>
      <c r="AL549" t="s">
        <v>240</v>
      </c>
      <c r="AM549" t="s">
        <v>241</v>
      </c>
      <c r="AN549" t="s">
        <v>242</v>
      </c>
      <c r="AO549" t="s">
        <v>4652</v>
      </c>
      <c r="AP549" t="s">
        <v>4653</v>
      </c>
      <c r="AQ549" t="s">
        <v>72</v>
      </c>
      <c r="AR549" t="s">
        <v>4654</v>
      </c>
      <c r="AS549" t="s">
        <v>4655</v>
      </c>
      <c r="AT549" t="s">
        <v>149</v>
      </c>
      <c r="AU549">
        <v>2017</v>
      </c>
      <c r="AV549">
        <v>5</v>
      </c>
      <c r="AW549">
        <v>2</v>
      </c>
      <c r="AX549" t="s">
        <v>72</v>
      </c>
      <c r="AY549" t="s">
        <v>72</v>
      </c>
      <c r="AZ549" t="s">
        <v>72</v>
      </c>
      <c r="BA549" t="s">
        <v>72</v>
      </c>
      <c r="BB549">
        <v>333</v>
      </c>
      <c r="BC549">
        <v>349</v>
      </c>
      <c r="BD549" t="s">
        <v>72</v>
      </c>
      <c r="BE549" t="s">
        <v>4847</v>
      </c>
      <c r="BF549" t="str">
        <f>HYPERLINK("http://dx.doi.org/10.1017/psrm.2015.56","http://dx.doi.org/10.1017/psrm.2015.56")</f>
        <v>http://dx.doi.org/10.1017/psrm.2015.56</v>
      </c>
      <c r="BG549" t="s">
        <v>72</v>
      </c>
      <c r="BH549" t="s">
        <v>72</v>
      </c>
      <c r="BI549">
        <v>17</v>
      </c>
      <c r="BJ549" t="s">
        <v>219</v>
      </c>
      <c r="BK549" s="1" t="s">
        <v>17619</v>
      </c>
      <c r="BL549" t="s">
        <v>4848</v>
      </c>
      <c r="BM549" t="s">
        <v>72</v>
      </c>
      <c r="BN549" t="s">
        <v>559</v>
      </c>
      <c r="BO549" t="s">
        <v>72</v>
      </c>
      <c r="BP549" t="s">
        <v>72</v>
      </c>
      <c r="BQ549" t="s">
        <v>100</v>
      </c>
      <c r="BR549" t="s">
        <v>4849</v>
      </c>
      <c r="BS549" t="str">
        <f>HYPERLINK("https%3A%2F%2Fwww.webofscience.com%2Fwos%2Fwoscc%2Ffull-record%2FWOS:000398203900008","View Full Record in Web of Science")</f>
        <v>View Full Record in Web of Science</v>
      </c>
    </row>
    <row r="550" spans="1:71" x14ac:dyDescent="0.2">
      <c r="A550" t="s">
        <v>70</v>
      </c>
      <c r="B550" t="s">
        <v>4935</v>
      </c>
      <c r="C550" t="s">
        <v>72</v>
      </c>
      <c r="D550" t="s">
        <v>72</v>
      </c>
      <c r="E550" t="s">
        <v>72</v>
      </c>
      <c r="F550" t="s">
        <v>4936</v>
      </c>
      <c r="G550" t="s">
        <v>72</v>
      </c>
      <c r="H550" t="s">
        <v>72</v>
      </c>
      <c r="I550" t="s">
        <v>4937</v>
      </c>
      <c r="J550" t="s">
        <v>4938</v>
      </c>
      <c r="K550" t="s">
        <v>72</v>
      </c>
      <c r="L550" t="s">
        <v>72</v>
      </c>
      <c r="M550" t="s">
        <v>76</v>
      </c>
      <c r="N550" t="s">
        <v>77</v>
      </c>
      <c r="O550" t="s">
        <v>72</v>
      </c>
      <c r="P550" t="s">
        <v>72</v>
      </c>
      <c r="Q550" t="s">
        <v>72</v>
      </c>
      <c r="R550" t="s">
        <v>72</v>
      </c>
      <c r="S550" t="s">
        <v>72</v>
      </c>
      <c r="T550" t="s">
        <v>72</v>
      </c>
      <c r="U550" t="s">
        <v>4939</v>
      </c>
      <c r="V550" t="s">
        <v>4940</v>
      </c>
      <c r="W550" t="s">
        <v>4941</v>
      </c>
      <c r="X550" t="s">
        <v>4942</v>
      </c>
      <c r="Y550" t="s">
        <v>4943</v>
      </c>
      <c r="Z550" t="s">
        <v>4944</v>
      </c>
      <c r="AA550" t="s">
        <v>72</v>
      </c>
      <c r="AB550" t="s">
        <v>72</v>
      </c>
      <c r="AC550" t="s">
        <v>4945</v>
      </c>
      <c r="AD550" t="s">
        <v>4945</v>
      </c>
      <c r="AE550" t="s">
        <v>4946</v>
      </c>
      <c r="AF550" t="s">
        <v>72</v>
      </c>
      <c r="AG550">
        <v>52</v>
      </c>
      <c r="AH550">
        <v>4</v>
      </c>
      <c r="AI550">
        <v>4</v>
      </c>
      <c r="AJ550">
        <v>0</v>
      </c>
      <c r="AK550">
        <v>13</v>
      </c>
      <c r="AL550" t="s">
        <v>1260</v>
      </c>
      <c r="AM550" t="s">
        <v>964</v>
      </c>
      <c r="AN550" t="s">
        <v>965</v>
      </c>
      <c r="AO550" t="s">
        <v>4947</v>
      </c>
      <c r="AP550" t="s">
        <v>4948</v>
      </c>
      <c r="AQ550" t="s">
        <v>72</v>
      </c>
      <c r="AR550" t="s">
        <v>4949</v>
      </c>
      <c r="AS550" t="s">
        <v>4950</v>
      </c>
      <c r="AT550" t="s">
        <v>247</v>
      </c>
      <c r="AU550">
        <v>2020</v>
      </c>
      <c r="AV550">
        <v>64</v>
      </c>
      <c r="AW550">
        <v>1</v>
      </c>
      <c r="AX550" t="s">
        <v>72</v>
      </c>
      <c r="AY550" t="s">
        <v>72</v>
      </c>
      <c r="AZ550" t="s">
        <v>72</v>
      </c>
      <c r="BA550" t="s">
        <v>72</v>
      </c>
      <c r="BB550">
        <v>52</v>
      </c>
      <c r="BC550">
        <v>66</v>
      </c>
      <c r="BD550" t="s">
        <v>72</v>
      </c>
      <c r="BE550" t="s">
        <v>4951</v>
      </c>
      <c r="BF550" t="str">
        <f>HYPERLINK("http://dx.doi.org/10.1111/ajps.12459","http://dx.doi.org/10.1111/ajps.12459")</f>
        <v>http://dx.doi.org/10.1111/ajps.12459</v>
      </c>
      <c r="BG550" t="s">
        <v>72</v>
      </c>
      <c r="BH550" t="s">
        <v>3102</v>
      </c>
      <c r="BI550">
        <v>15</v>
      </c>
      <c r="BJ550" t="s">
        <v>219</v>
      </c>
      <c r="BK550" s="1" t="s">
        <v>17619</v>
      </c>
      <c r="BL550" t="s">
        <v>4952</v>
      </c>
      <c r="BM550" t="s">
        <v>72</v>
      </c>
      <c r="BN550" t="s">
        <v>1128</v>
      </c>
      <c r="BO550" t="s">
        <v>72</v>
      </c>
      <c r="BP550" t="s">
        <v>72</v>
      </c>
      <c r="BQ550" t="s">
        <v>100</v>
      </c>
      <c r="BR550" t="s">
        <v>4953</v>
      </c>
      <c r="BS550" t="str">
        <f>HYPERLINK("https%3A%2F%2Fwww.webofscience.com%2Fwos%2Fwoscc%2Ffull-record%2FWOS:000481186200001","View Full Record in Web of Science")</f>
        <v>View Full Record in Web of Science</v>
      </c>
    </row>
    <row r="551" spans="1:71" x14ac:dyDescent="0.2">
      <c r="A551" t="s">
        <v>70</v>
      </c>
      <c r="B551" t="s">
        <v>4954</v>
      </c>
      <c r="C551" t="s">
        <v>72</v>
      </c>
      <c r="D551" t="s">
        <v>72</v>
      </c>
      <c r="E551" t="s">
        <v>72</v>
      </c>
      <c r="F551" t="s">
        <v>4955</v>
      </c>
      <c r="G551" t="s">
        <v>72</v>
      </c>
      <c r="H551" t="s">
        <v>72</v>
      </c>
      <c r="I551" t="s">
        <v>4956</v>
      </c>
      <c r="J551" t="s">
        <v>488</v>
      </c>
      <c r="K551" t="s">
        <v>72</v>
      </c>
      <c r="L551" t="s">
        <v>72</v>
      </c>
      <c r="M551" t="s">
        <v>76</v>
      </c>
      <c r="N551" t="s">
        <v>77</v>
      </c>
      <c r="O551" t="s">
        <v>72</v>
      </c>
      <c r="P551" t="s">
        <v>72</v>
      </c>
      <c r="Q551" t="s">
        <v>72</v>
      </c>
      <c r="R551" t="s">
        <v>72</v>
      </c>
      <c r="S551" t="s">
        <v>72</v>
      </c>
      <c r="T551" t="s">
        <v>4957</v>
      </c>
      <c r="U551" t="s">
        <v>4958</v>
      </c>
      <c r="V551" t="s">
        <v>4959</v>
      </c>
      <c r="W551" t="s">
        <v>4960</v>
      </c>
      <c r="X551" t="s">
        <v>72</v>
      </c>
      <c r="Y551" t="s">
        <v>4961</v>
      </c>
      <c r="Z551" t="s">
        <v>4962</v>
      </c>
      <c r="AA551" t="s">
        <v>4963</v>
      </c>
      <c r="AB551" t="s">
        <v>4964</v>
      </c>
      <c r="AC551" t="s">
        <v>72</v>
      </c>
      <c r="AD551" t="s">
        <v>72</v>
      </c>
      <c r="AE551" t="s">
        <v>72</v>
      </c>
      <c r="AF551" t="s">
        <v>72</v>
      </c>
      <c r="AG551">
        <v>59</v>
      </c>
      <c r="AH551">
        <v>42</v>
      </c>
      <c r="AI551">
        <v>42</v>
      </c>
      <c r="AJ551">
        <v>0</v>
      </c>
      <c r="AK551">
        <v>18</v>
      </c>
      <c r="AL551" t="s">
        <v>336</v>
      </c>
      <c r="AM551" t="s">
        <v>337</v>
      </c>
      <c r="AN551" t="s">
        <v>338</v>
      </c>
      <c r="AO551" t="s">
        <v>496</v>
      </c>
      <c r="AP551" t="s">
        <v>497</v>
      </c>
      <c r="AQ551" t="s">
        <v>72</v>
      </c>
      <c r="AR551" t="s">
        <v>498</v>
      </c>
      <c r="AS551" t="s">
        <v>499</v>
      </c>
      <c r="AT551" t="s">
        <v>555</v>
      </c>
      <c r="AU551">
        <v>2015</v>
      </c>
      <c r="AV551">
        <v>16</v>
      </c>
      <c r="AW551">
        <v>1</v>
      </c>
      <c r="AX551" t="s">
        <v>72</v>
      </c>
      <c r="AY551" t="s">
        <v>72</v>
      </c>
      <c r="AZ551" t="s">
        <v>72</v>
      </c>
      <c r="BA551" t="s">
        <v>72</v>
      </c>
      <c r="BB551">
        <v>116</v>
      </c>
      <c r="BC551">
        <v>138</v>
      </c>
      <c r="BD551" t="s">
        <v>72</v>
      </c>
      <c r="BE551" t="s">
        <v>4965</v>
      </c>
      <c r="BF551" t="str">
        <f>HYPERLINK("http://dx.doi.org/10.1177/1465116514551806","http://dx.doi.org/10.1177/1465116514551806")</f>
        <v>http://dx.doi.org/10.1177/1465116514551806</v>
      </c>
      <c r="BG551" t="s">
        <v>72</v>
      </c>
      <c r="BH551" t="s">
        <v>72</v>
      </c>
      <c r="BI551">
        <v>23</v>
      </c>
      <c r="BJ551" t="s">
        <v>219</v>
      </c>
      <c r="BK551" s="1" t="s">
        <v>17619</v>
      </c>
      <c r="BL551" t="s">
        <v>4966</v>
      </c>
      <c r="BM551" t="s">
        <v>72</v>
      </c>
      <c r="BN551" t="s">
        <v>1128</v>
      </c>
      <c r="BO551" t="s">
        <v>72</v>
      </c>
      <c r="BP551" t="s">
        <v>72</v>
      </c>
      <c r="BQ551" t="s">
        <v>100</v>
      </c>
      <c r="BR551" t="s">
        <v>4967</v>
      </c>
      <c r="BS551" t="str">
        <f>HYPERLINK("https%3A%2F%2Fwww.webofscience.com%2Fwos%2Fwoscc%2Ffull-record%2FWOS:000350119000006","View Full Record in Web of Science")</f>
        <v>View Full Record in Web of Science</v>
      </c>
    </row>
    <row r="552" spans="1:71" x14ac:dyDescent="0.2">
      <c r="A552" t="s">
        <v>70</v>
      </c>
      <c r="B552" t="s">
        <v>5127</v>
      </c>
      <c r="C552" t="s">
        <v>72</v>
      </c>
      <c r="D552" t="s">
        <v>72</v>
      </c>
      <c r="E552" t="s">
        <v>72</v>
      </c>
      <c r="F552" t="s">
        <v>5128</v>
      </c>
      <c r="G552" t="s">
        <v>72</v>
      </c>
      <c r="H552" t="s">
        <v>72</v>
      </c>
      <c r="I552" t="s">
        <v>5129</v>
      </c>
      <c r="J552" t="s">
        <v>5130</v>
      </c>
      <c r="K552" t="s">
        <v>72</v>
      </c>
      <c r="L552" t="s">
        <v>72</v>
      </c>
      <c r="M552" t="s">
        <v>76</v>
      </c>
      <c r="N552" t="s">
        <v>77</v>
      </c>
      <c r="O552" t="s">
        <v>72</v>
      </c>
      <c r="P552" t="s">
        <v>72</v>
      </c>
      <c r="Q552" t="s">
        <v>72</v>
      </c>
      <c r="R552" t="s">
        <v>72</v>
      </c>
      <c r="S552" t="s">
        <v>72</v>
      </c>
      <c r="T552" t="s">
        <v>72</v>
      </c>
      <c r="U552" t="s">
        <v>72</v>
      </c>
      <c r="V552" t="s">
        <v>5131</v>
      </c>
      <c r="W552" t="s">
        <v>5132</v>
      </c>
      <c r="X552" t="s">
        <v>5133</v>
      </c>
      <c r="Y552" t="s">
        <v>5134</v>
      </c>
      <c r="Z552" t="s">
        <v>5135</v>
      </c>
      <c r="AA552" t="s">
        <v>5136</v>
      </c>
      <c r="AB552" t="s">
        <v>5137</v>
      </c>
      <c r="AC552" t="s">
        <v>5138</v>
      </c>
      <c r="AD552" t="s">
        <v>5139</v>
      </c>
      <c r="AE552" t="s">
        <v>5140</v>
      </c>
      <c r="AF552" t="s">
        <v>72</v>
      </c>
      <c r="AG552">
        <v>16</v>
      </c>
      <c r="AH552">
        <v>8</v>
      </c>
      <c r="AI552">
        <v>8</v>
      </c>
      <c r="AJ552">
        <v>0</v>
      </c>
      <c r="AK552">
        <v>11</v>
      </c>
      <c r="AL552" t="s">
        <v>1260</v>
      </c>
      <c r="AM552" t="s">
        <v>964</v>
      </c>
      <c r="AN552" t="s">
        <v>965</v>
      </c>
      <c r="AO552" t="s">
        <v>5141</v>
      </c>
      <c r="AP552" t="s">
        <v>5142</v>
      </c>
      <c r="AQ552" t="s">
        <v>72</v>
      </c>
      <c r="AR552" t="s">
        <v>5143</v>
      </c>
      <c r="AS552" t="s">
        <v>5144</v>
      </c>
      <c r="AT552" t="s">
        <v>95</v>
      </c>
      <c r="AU552">
        <v>2018</v>
      </c>
      <c r="AV552">
        <v>15</v>
      </c>
      <c r="AW552">
        <v>3</v>
      </c>
      <c r="AX552" t="s">
        <v>72</v>
      </c>
      <c r="AY552" t="s">
        <v>72</v>
      </c>
      <c r="AZ552" t="s">
        <v>72</v>
      </c>
      <c r="BA552" t="s">
        <v>72</v>
      </c>
      <c r="BB552">
        <v>648</v>
      </c>
      <c r="BC552">
        <v>666</v>
      </c>
      <c r="BD552" t="s">
        <v>72</v>
      </c>
      <c r="BE552" t="s">
        <v>5145</v>
      </c>
      <c r="BF552" t="str">
        <f>HYPERLINK("http://dx.doi.org/10.1111/jels.12189","http://dx.doi.org/10.1111/jels.12189")</f>
        <v>http://dx.doi.org/10.1111/jels.12189</v>
      </c>
      <c r="BG552" t="s">
        <v>72</v>
      </c>
      <c r="BH552" t="s">
        <v>72</v>
      </c>
      <c r="BI552">
        <v>19</v>
      </c>
      <c r="BJ552" t="s">
        <v>3261</v>
      </c>
      <c r="BK552" s="1" t="s">
        <v>17619</v>
      </c>
      <c r="BL552" t="s">
        <v>5146</v>
      </c>
      <c r="BM552" t="s">
        <v>72</v>
      </c>
      <c r="BN552" t="s">
        <v>72</v>
      </c>
      <c r="BO552" t="s">
        <v>72</v>
      </c>
      <c r="BP552" t="s">
        <v>72</v>
      </c>
      <c r="BQ552" t="s">
        <v>100</v>
      </c>
      <c r="BR552" t="s">
        <v>5147</v>
      </c>
      <c r="BS552" t="str">
        <f>HYPERLINK("https%3A%2F%2Fwww.webofscience.com%2Fwos%2Fwoscc%2Ffull-record%2FWOS:000441562900007","View Full Record in Web of Science")</f>
        <v>View Full Record in Web of Science</v>
      </c>
    </row>
    <row r="553" spans="1:71" x14ac:dyDescent="0.2">
      <c r="A553" t="s">
        <v>70</v>
      </c>
      <c r="B553" t="s">
        <v>5400</v>
      </c>
      <c r="C553" t="s">
        <v>72</v>
      </c>
      <c r="D553" t="s">
        <v>72</v>
      </c>
      <c r="E553" t="s">
        <v>72</v>
      </c>
      <c r="F553" t="s">
        <v>5401</v>
      </c>
      <c r="G553" t="s">
        <v>72</v>
      </c>
      <c r="H553" t="s">
        <v>72</v>
      </c>
      <c r="I553" t="s">
        <v>5402</v>
      </c>
      <c r="J553" t="s">
        <v>5403</v>
      </c>
      <c r="K553" t="s">
        <v>72</v>
      </c>
      <c r="L553" t="s">
        <v>72</v>
      </c>
      <c r="M553" t="s">
        <v>76</v>
      </c>
      <c r="N553" t="s">
        <v>77</v>
      </c>
      <c r="O553" t="s">
        <v>72</v>
      </c>
      <c r="P553" t="s">
        <v>72</v>
      </c>
      <c r="Q553" t="s">
        <v>72</v>
      </c>
      <c r="R553" t="s">
        <v>72</v>
      </c>
      <c r="S553" t="s">
        <v>72</v>
      </c>
      <c r="T553" t="s">
        <v>72</v>
      </c>
      <c r="U553" t="s">
        <v>5404</v>
      </c>
      <c r="V553" t="s">
        <v>5405</v>
      </c>
      <c r="W553" t="s">
        <v>5406</v>
      </c>
      <c r="X553" t="s">
        <v>5407</v>
      </c>
      <c r="Y553" t="s">
        <v>5408</v>
      </c>
      <c r="Z553" t="s">
        <v>5409</v>
      </c>
      <c r="AA553" t="s">
        <v>72</v>
      </c>
      <c r="AB553" t="s">
        <v>72</v>
      </c>
      <c r="AC553" t="s">
        <v>72</v>
      </c>
      <c r="AD553" t="s">
        <v>72</v>
      </c>
      <c r="AE553" t="s">
        <v>72</v>
      </c>
      <c r="AF553" t="s">
        <v>72</v>
      </c>
      <c r="AG553">
        <v>65</v>
      </c>
      <c r="AH553">
        <v>12</v>
      </c>
      <c r="AI553">
        <v>12</v>
      </c>
      <c r="AJ553">
        <v>0</v>
      </c>
      <c r="AK553">
        <v>16</v>
      </c>
      <c r="AL553" t="s">
        <v>1260</v>
      </c>
      <c r="AM553" t="s">
        <v>964</v>
      </c>
      <c r="AN553" t="s">
        <v>965</v>
      </c>
      <c r="AO553" t="s">
        <v>5410</v>
      </c>
      <c r="AP553" t="s">
        <v>5411</v>
      </c>
      <c r="AQ553" t="s">
        <v>72</v>
      </c>
      <c r="AR553" t="s">
        <v>5412</v>
      </c>
      <c r="AS553" t="s">
        <v>5413</v>
      </c>
      <c r="AT553" t="s">
        <v>1602</v>
      </c>
      <c r="AU553">
        <v>2013</v>
      </c>
      <c r="AV553">
        <v>38</v>
      </c>
      <c r="AW553">
        <v>1</v>
      </c>
      <c r="AX553" t="s">
        <v>72</v>
      </c>
      <c r="AY553" t="s">
        <v>72</v>
      </c>
      <c r="AZ553" t="s">
        <v>72</v>
      </c>
      <c r="BA553" t="s">
        <v>72</v>
      </c>
      <c r="BB553">
        <v>5</v>
      </c>
      <c r="BC553">
        <v>30</v>
      </c>
      <c r="BD553" t="s">
        <v>72</v>
      </c>
      <c r="BE553" t="s">
        <v>5414</v>
      </c>
      <c r="BF553" t="str">
        <f>HYPERLINK("http://dx.doi.org/10.1111/lsq.12001","http://dx.doi.org/10.1111/lsq.12001")</f>
        <v>http://dx.doi.org/10.1111/lsq.12001</v>
      </c>
      <c r="BG553" t="s">
        <v>72</v>
      </c>
      <c r="BH553" t="s">
        <v>72</v>
      </c>
      <c r="BI553">
        <v>26</v>
      </c>
      <c r="BJ553" t="s">
        <v>219</v>
      </c>
      <c r="BK553" s="1" t="s">
        <v>17619</v>
      </c>
      <c r="BL553" t="s">
        <v>5415</v>
      </c>
      <c r="BM553" t="s">
        <v>72</v>
      </c>
      <c r="BN553" t="s">
        <v>72</v>
      </c>
      <c r="BO553" t="s">
        <v>72</v>
      </c>
      <c r="BP553" t="s">
        <v>72</v>
      </c>
      <c r="BQ553" t="s">
        <v>100</v>
      </c>
      <c r="BR553" t="s">
        <v>5416</v>
      </c>
      <c r="BS553" t="str">
        <f>HYPERLINK("https%3A%2F%2Fwww.webofscience.com%2Fwos%2Fwoscc%2Ffull-record%2FWOS:000313754600002","View Full Record in Web of Science")</f>
        <v>View Full Record in Web of Science</v>
      </c>
    </row>
    <row r="554" spans="1:71" x14ac:dyDescent="0.2">
      <c r="A554" t="s">
        <v>70</v>
      </c>
      <c r="B554" t="s">
        <v>5615</v>
      </c>
      <c r="C554" t="s">
        <v>72</v>
      </c>
      <c r="D554" t="s">
        <v>72</v>
      </c>
      <c r="E554" t="s">
        <v>72</v>
      </c>
      <c r="F554" t="s">
        <v>5616</v>
      </c>
      <c r="G554" t="s">
        <v>72</v>
      </c>
      <c r="H554" t="s">
        <v>72</v>
      </c>
      <c r="I554" t="s">
        <v>5617</v>
      </c>
      <c r="J554" t="s">
        <v>2948</v>
      </c>
      <c r="K554" t="s">
        <v>72</v>
      </c>
      <c r="L554" t="s">
        <v>72</v>
      </c>
      <c r="M554" t="s">
        <v>76</v>
      </c>
      <c r="N554" t="s">
        <v>77</v>
      </c>
      <c r="O554" t="s">
        <v>72</v>
      </c>
      <c r="P554" t="s">
        <v>72</v>
      </c>
      <c r="Q554" t="s">
        <v>72</v>
      </c>
      <c r="R554" t="s">
        <v>72</v>
      </c>
      <c r="S554" t="s">
        <v>72</v>
      </c>
      <c r="T554" t="s">
        <v>5618</v>
      </c>
      <c r="U554" t="s">
        <v>5619</v>
      </c>
      <c r="V554" t="s">
        <v>5620</v>
      </c>
      <c r="W554" t="s">
        <v>5621</v>
      </c>
      <c r="X554" t="s">
        <v>1781</v>
      </c>
      <c r="Y554" t="s">
        <v>5622</v>
      </c>
      <c r="Z554" t="s">
        <v>5623</v>
      </c>
      <c r="AA554" t="s">
        <v>72</v>
      </c>
      <c r="AB554" t="s">
        <v>72</v>
      </c>
      <c r="AC554" t="s">
        <v>72</v>
      </c>
      <c r="AD554" t="s">
        <v>72</v>
      </c>
      <c r="AE554" t="s">
        <v>72</v>
      </c>
      <c r="AF554" t="s">
        <v>72</v>
      </c>
      <c r="AG554">
        <v>57</v>
      </c>
      <c r="AH554">
        <v>3</v>
      </c>
      <c r="AI554">
        <v>3</v>
      </c>
      <c r="AJ554">
        <v>0</v>
      </c>
      <c r="AK554">
        <v>6</v>
      </c>
      <c r="AL554" t="s">
        <v>364</v>
      </c>
      <c r="AM554" t="s">
        <v>365</v>
      </c>
      <c r="AN554" t="s">
        <v>366</v>
      </c>
      <c r="AO554" t="s">
        <v>2956</v>
      </c>
      <c r="AP554" t="s">
        <v>2957</v>
      </c>
      <c r="AQ554" t="s">
        <v>72</v>
      </c>
      <c r="AR554" t="s">
        <v>2958</v>
      </c>
      <c r="AS554" t="s">
        <v>2959</v>
      </c>
      <c r="AT554" t="s">
        <v>5624</v>
      </c>
      <c r="AU554">
        <v>2020</v>
      </c>
      <c r="AV554">
        <v>43</v>
      </c>
      <c r="AW554">
        <v>7</v>
      </c>
      <c r="AX554" t="s">
        <v>72</v>
      </c>
      <c r="AY554" t="s">
        <v>72</v>
      </c>
      <c r="AZ554" t="s">
        <v>72</v>
      </c>
      <c r="BA554" t="s">
        <v>72</v>
      </c>
      <c r="BB554">
        <v>1455</v>
      </c>
      <c r="BC554">
        <v>1479</v>
      </c>
      <c r="BD554" t="s">
        <v>72</v>
      </c>
      <c r="BE554" t="s">
        <v>5625</v>
      </c>
      <c r="BF554" t="str">
        <f>HYPERLINK("http://dx.doi.org/10.1080/01402382.2019.1667164","http://dx.doi.org/10.1080/01402382.2019.1667164")</f>
        <v>http://dx.doi.org/10.1080/01402382.2019.1667164</v>
      </c>
      <c r="BG554" t="s">
        <v>72</v>
      </c>
      <c r="BH554" t="s">
        <v>5224</v>
      </c>
      <c r="BI554">
        <v>25</v>
      </c>
      <c r="BJ554" t="s">
        <v>219</v>
      </c>
      <c r="BK554" s="1" t="s">
        <v>17619</v>
      </c>
      <c r="BL554" t="s">
        <v>5626</v>
      </c>
      <c r="BM554" t="s">
        <v>72</v>
      </c>
      <c r="BN554" t="s">
        <v>251</v>
      </c>
      <c r="BO554" t="s">
        <v>72</v>
      </c>
      <c r="BP554" t="s">
        <v>72</v>
      </c>
      <c r="BQ554" t="s">
        <v>100</v>
      </c>
      <c r="BR554" t="s">
        <v>5627</v>
      </c>
      <c r="BS554" t="str">
        <f>HYPERLINK("https%3A%2F%2Fwww.webofscience.com%2Fwos%2Fwoscc%2Ffull-record%2FWOS:000490699100001","View Full Record in Web of Science")</f>
        <v>View Full Record in Web of Science</v>
      </c>
    </row>
    <row r="555" spans="1:71" x14ac:dyDescent="0.2">
      <c r="A555" t="s">
        <v>70</v>
      </c>
      <c r="B555" t="s">
        <v>5930</v>
      </c>
      <c r="C555" t="s">
        <v>72</v>
      </c>
      <c r="D555" t="s">
        <v>72</v>
      </c>
      <c r="E555" t="s">
        <v>72</v>
      </c>
      <c r="F555" t="s">
        <v>5931</v>
      </c>
      <c r="G555" t="s">
        <v>72</v>
      </c>
      <c r="H555" t="s">
        <v>72</v>
      </c>
      <c r="I555" t="s">
        <v>5932</v>
      </c>
      <c r="J555" t="s">
        <v>820</v>
      </c>
      <c r="K555" t="s">
        <v>72</v>
      </c>
      <c r="L555" t="s">
        <v>72</v>
      </c>
      <c r="M555" t="s">
        <v>76</v>
      </c>
      <c r="N555" t="s">
        <v>77</v>
      </c>
      <c r="O555" t="s">
        <v>72</v>
      </c>
      <c r="P555" t="s">
        <v>72</v>
      </c>
      <c r="Q555" t="s">
        <v>72</v>
      </c>
      <c r="R555" t="s">
        <v>72</v>
      </c>
      <c r="S555" t="s">
        <v>72</v>
      </c>
      <c r="T555" t="s">
        <v>72</v>
      </c>
      <c r="U555" t="s">
        <v>5933</v>
      </c>
      <c r="V555" t="s">
        <v>5934</v>
      </c>
      <c r="W555" t="s">
        <v>5935</v>
      </c>
      <c r="X555" t="s">
        <v>5936</v>
      </c>
      <c r="Y555" t="s">
        <v>5937</v>
      </c>
      <c r="Z555" t="s">
        <v>5938</v>
      </c>
      <c r="AA555" t="s">
        <v>5939</v>
      </c>
      <c r="AB555" t="s">
        <v>5940</v>
      </c>
      <c r="AC555" t="s">
        <v>5941</v>
      </c>
      <c r="AD555" t="s">
        <v>5942</v>
      </c>
      <c r="AE555" t="s">
        <v>5943</v>
      </c>
      <c r="AF555" t="s">
        <v>72</v>
      </c>
      <c r="AG555">
        <v>40</v>
      </c>
      <c r="AH555">
        <v>33</v>
      </c>
      <c r="AI555">
        <v>33</v>
      </c>
      <c r="AJ555">
        <v>0</v>
      </c>
      <c r="AK555">
        <v>2</v>
      </c>
      <c r="AL555" t="s">
        <v>769</v>
      </c>
      <c r="AM555" t="s">
        <v>770</v>
      </c>
      <c r="AN555" t="s">
        <v>771</v>
      </c>
      <c r="AO555" t="s">
        <v>828</v>
      </c>
      <c r="AP555" t="s">
        <v>829</v>
      </c>
      <c r="AQ555" t="s">
        <v>72</v>
      </c>
      <c r="AR555" t="s">
        <v>830</v>
      </c>
      <c r="AS555" t="s">
        <v>831</v>
      </c>
      <c r="AT555" t="s">
        <v>395</v>
      </c>
      <c r="AU555">
        <v>2015</v>
      </c>
      <c r="AV555">
        <v>77</v>
      </c>
      <c r="AW555">
        <v>4</v>
      </c>
      <c r="AX555" t="s">
        <v>72</v>
      </c>
      <c r="AY555" t="s">
        <v>72</v>
      </c>
      <c r="AZ555" t="s">
        <v>72</v>
      </c>
      <c r="BA555" t="s">
        <v>72</v>
      </c>
      <c r="BB555">
        <v>1157</v>
      </c>
      <c r="BC555">
        <v>1175</v>
      </c>
      <c r="BD555" t="s">
        <v>72</v>
      </c>
      <c r="BE555" t="s">
        <v>5944</v>
      </c>
      <c r="BF555" t="str">
        <f>HYPERLINK("http://dx.doi.org/10.1086/682670","http://dx.doi.org/10.1086/682670")</f>
        <v>http://dx.doi.org/10.1086/682670</v>
      </c>
      <c r="BG555" t="s">
        <v>72</v>
      </c>
      <c r="BH555" t="s">
        <v>72</v>
      </c>
      <c r="BI555">
        <v>19</v>
      </c>
      <c r="BJ555" t="s">
        <v>219</v>
      </c>
      <c r="BK555" s="1" t="s">
        <v>17619</v>
      </c>
      <c r="BL555" t="s">
        <v>5945</v>
      </c>
      <c r="BM555" t="s">
        <v>72</v>
      </c>
      <c r="BN555" t="s">
        <v>1128</v>
      </c>
      <c r="BO555" t="s">
        <v>72</v>
      </c>
      <c r="BP555" t="s">
        <v>72</v>
      </c>
      <c r="BQ555" t="s">
        <v>100</v>
      </c>
      <c r="BR555" t="s">
        <v>5946</v>
      </c>
      <c r="BS555" t="str">
        <f>HYPERLINK("https%3A%2F%2Fwww.webofscience.com%2Fwos%2Fwoscc%2Ffull-record%2FWOS:000367653500029","View Full Record in Web of Science")</f>
        <v>View Full Record in Web of Science</v>
      </c>
    </row>
    <row r="556" spans="1:71" x14ac:dyDescent="0.2">
      <c r="A556" t="s">
        <v>70</v>
      </c>
      <c r="B556" t="s">
        <v>5947</v>
      </c>
      <c r="C556" t="s">
        <v>72</v>
      </c>
      <c r="D556" t="s">
        <v>72</v>
      </c>
      <c r="E556" t="s">
        <v>72</v>
      </c>
      <c r="F556" t="s">
        <v>5948</v>
      </c>
      <c r="G556" t="s">
        <v>72</v>
      </c>
      <c r="H556" t="s">
        <v>72</v>
      </c>
      <c r="I556" t="s">
        <v>5949</v>
      </c>
      <c r="J556" t="s">
        <v>4775</v>
      </c>
      <c r="K556" t="s">
        <v>72</v>
      </c>
      <c r="L556" t="s">
        <v>72</v>
      </c>
      <c r="M556" t="s">
        <v>76</v>
      </c>
      <c r="N556" t="s">
        <v>77</v>
      </c>
      <c r="O556" t="s">
        <v>72</v>
      </c>
      <c r="P556" t="s">
        <v>72</v>
      </c>
      <c r="Q556" t="s">
        <v>72</v>
      </c>
      <c r="R556" t="s">
        <v>72</v>
      </c>
      <c r="S556" t="s">
        <v>72</v>
      </c>
      <c r="T556" t="s">
        <v>72</v>
      </c>
      <c r="U556" t="s">
        <v>5950</v>
      </c>
      <c r="V556" t="s">
        <v>5951</v>
      </c>
      <c r="W556" t="s">
        <v>5952</v>
      </c>
      <c r="X556" t="s">
        <v>5953</v>
      </c>
      <c r="Y556" t="s">
        <v>5954</v>
      </c>
      <c r="Z556" t="s">
        <v>5955</v>
      </c>
      <c r="AA556" t="s">
        <v>5956</v>
      </c>
      <c r="AB556" t="s">
        <v>5957</v>
      </c>
      <c r="AC556" t="s">
        <v>5958</v>
      </c>
      <c r="AD556" t="s">
        <v>5959</v>
      </c>
      <c r="AE556" t="s">
        <v>5960</v>
      </c>
      <c r="AF556" t="s">
        <v>72</v>
      </c>
      <c r="AG556">
        <v>82</v>
      </c>
      <c r="AH556">
        <v>42</v>
      </c>
      <c r="AI556">
        <v>44</v>
      </c>
      <c r="AJ556">
        <v>1</v>
      </c>
      <c r="AK556">
        <v>26</v>
      </c>
      <c r="AL556" t="s">
        <v>240</v>
      </c>
      <c r="AM556" t="s">
        <v>707</v>
      </c>
      <c r="AN556" t="s">
        <v>1205</v>
      </c>
      <c r="AO556" t="s">
        <v>4784</v>
      </c>
      <c r="AP556" t="s">
        <v>4785</v>
      </c>
      <c r="AQ556" t="s">
        <v>72</v>
      </c>
      <c r="AR556" t="s">
        <v>4786</v>
      </c>
      <c r="AS556" t="s">
        <v>4787</v>
      </c>
      <c r="AT556" t="s">
        <v>1602</v>
      </c>
      <c r="AU556">
        <v>2020</v>
      </c>
      <c r="AV556">
        <v>114</v>
      </c>
      <c r="AW556">
        <v>1</v>
      </c>
      <c r="AX556" t="s">
        <v>72</v>
      </c>
      <c r="AY556" t="s">
        <v>72</v>
      </c>
      <c r="AZ556" t="s">
        <v>72</v>
      </c>
      <c r="BA556" t="s">
        <v>72</v>
      </c>
      <c r="BB556">
        <v>109</v>
      </c>
      <c r="BC556">
        <v>125</v>
      </c>
      <c r="BD556" t="s">
        <v>5961</v>
      </c>
      <c r="BE556" t="s">
        <v>5962</v>
      </c>
      <c r="BF556" t="str">
        <f>HYPERLINK("http://dx.doi.org/10.1017/S0003055419000650","http://dx.doi.org/10.1017/S0003055419000650")</f>
        <v>http://dx.doi.org/10.1017/S0003055419000650</v>
      </c>
      <c r="BG556" t="s">
        <v>72</v>
      </c>
      <c r="BH556" t="s">
        <v>72</v>
      </c>
      <c r="BI556">
        <v>17</v>
      </c>
      <c r="BJ556" t="s">
        <v>219</v>
      </c>
      <c r="BK556" s="1" t="s">
        <v>17619</v>
      </c>
      <c r="BL556" t="s">
        <v>5963</v>
      </c>
      <c r="BM556" t="s">
        <v>72</v>
      </c>
      <c r="BN556" t="s">
        <v>72</v>
      </c>
      <c r="BO556" t="s">
        <v>72</v>
      </c>
      <c r="BP556" t="s">
        <v>72</v>
      </c>
      <c r="BQ556" t="s">
        <v>100</v>
      </c>
      <c r="BR556" t="s">
        <v>5964</v>
      </c>
      <c r="BS556" t="str">
        <f>HYPERLINK("https%3A%2F%2Fwww.webofscience.com%2Fwos%2Fwoscc%2Ffull-record%2FWOS:000504568700008","View Full Record in Web of Science")</f>
        <v>View Full Record in Web of Science</v>
      </c>
    </row>
    <row r="557" spans="1:71" x14ac:dyDescent="0.2">
      <c r="A557" t="s">
        <v>70</v>
      </c>
      <c r="B557" t="s">
        <v>6013</v>
      </c>
      <c r="C557" t="s">
        <v>72</v>
      </c>
      <c r="D557" t="s">
        <v>72</v>
      </c>
      <c r="E557" t="s">
        <v>72</v>
      </c>
      <c r="F557" t="s">
        <v>6014</v>
      </c>
      <c r="G557" t="s">
        <v>72</v>
      </c>
      <c r="H557" t="s">
        <v>72</v>
      </c>
      <c r="I557" t="s">
        <v>6015</v>
      </c>
      <c r="J557" t="s">
        <v>6016</v>
      </c>
      <c r="K557" t="s">
        <v>72</v>
      </c>
      <c r="L557" t="s">
        <v>72</v>
      </c>
      <c r="M557" t="s">
        <v>76</v>
      </c>
      <c r="N557" t="s">
        <v>77</v>
      </c>
      <c r="O557" t="s">
        <v>72</v>
      </c>
      <c r="P557" t="s">
        <v>72</v>
      </c>
      <c r="Q557" t="s">
        <v>72</v>
      </c>
      <c r="R557" t="s">
        <v>72</v>
      </c>
      <c r="S557" t="s">
        <v>72</v>
      </c>
      <c r="T557" t="s">
        <v>6017</v>
      </c>
      <c r="U557" t="s">
        <v>6018</v>
      </c>
      <c r="V557" t="s">
        <v>6019</v>
      </c>
      <c r="W557" t="s">
        <v>6020</v>
      </c>
      <c r="X557" t="s">
        <v>6021</v>
      </c>
      <c r="Y557" t="s">
        <v>6022</v>
      </c>
      <c r="Z557" t="s">
        <v>6023</v>
      </c>
      <c r="AA557" t="s">
        <v>72</v>
      </c>
      <c r="AB557" t="s">
        <v>72</v>
      </c>
      <c r="AC557" t="s">
        <v>6024</v>
      </c>
      <c r="AD557" t="s">
        <v>6024</v>
      </c>
      <c r="AE557" t="s">
        <v>6025</v>
      </c>
      <c r="AF557" t="s">
        <v>72</v>
      </c>
      <c r="AG557">
        <v>87</v>
      </c>
      <c r="AH557">
        <v>1</v>
      </c>
      <c r="AI557">
        <v>1</v>
      </c>
      <c r="AJ557">
        <v>0</v>
      </c>
      <c r="AK557">
        <v>5</v>
      </c>
      <c r="AL557" t="s">
        <v>190</v>
      </c>
      <c r="AM557" t="s">
        <v>191</v>
      </c>
      <c r="AN557" t="s">
        <v>192</v>
      </c>
      <c r="AO557" t="s">
        <v>6026</v>
      </c>
      <c r="AP557" t="s">
        <v>6027</v>
      </c>
      <c r="AQ557" t="s">
        <v>72</v>
      </c>
      <c r="AR557" t="s">
        <v>6028</v>
      </c>
      <c r="AS557" t="s">
        <v>6029</v>
      </c>
      <c r="AT557" t="s">
        <v>247</v>
      </c>
      <c r="AU557">
        <v>2020</v>
      </c>
      <c r="AV557">
        <v>53</v>
      </c>
      <c r="AW557">
        <v>1</v>
      </c>
      <c r="AX557" t="s">
        <v>72</v>
      </c>
      <c r="AY557" t="s">
        <v>72</v>
      </c>
      <c r="AZ557" t="s">
        <v>72</v>
      </c>
      <c r="BA557" t="s">
        <v>72</v>
      </c>
      <c r="BB557">
        <v>109</v>
      </c>
      <c r="BC557">
        <v>143</v>
      </c>
      <c r="BD557" t="s">
        <v>72</v>
      </c>
      <c r="BE557" t="s">
        <v>6030</v>
      </c>
      <c r="BF557" t="str">
        <f>HYPERLINK("http://dx.doi.org/10.1177/0010414019843567","http://dx.doi.org/10.1177/0010414019843567")</f>
        <v>http://dx.doi.org/10.1177/0010414019843567</v>
      </c>
      <c r="BG557" t="s">
        <v>72</v>
      </c>
      <c r="BH557" t="s">
        <v>72</v>
      </c>
      <c r="BI557">
        <v>35</v>
      </c>
      <c r="BJ557" t="s">
        <v>219</v>
      </c>
      <c r="BK557" s="1" t="s">
        <v>17619</v>
      </c>
      <c r="BL557" t="s">
        <v>6031</v>
      </c>
      <c r="BM557" t="s">
        <v>72</v>
      </c>
      <c r="BN557" t="s">
        <v>72</v>
      </c>
      <c r="BO557" t="s">
        <v>72</v>
      </c>
      <c r="BP557" t="s">
        <v>72</v>
      </c>
      <c r="BQ557" t="s">
        <v>100</v>
      </c>
      <c r="BR557" t="s">
        <v>6032</v>
      </c>
      <c r="BS557" t="str">
        <f>HYPERLINK("https%3A%2F%2Fwww.webofscience.com%2Fwos%2Fwoscc%2Ffull-record%2FWOS:000499769800004","View Full Record in Web of Science")</f>
        <v>View Full Record in Web of Science</v>
      </c>
    </row>
    <row r="558" spans="1:71" x14ac:dyDescent="0.2">
      <c r="A558" t="s">
        <v>70</v>
      </c>
      <c r="B558" t="s">
        <v>6277</v>
      </c>
      <c r="C558" t="s">
        <v>72</v>
      </c>
      <c r="D558" t="s">
        <v>72</v>
      </c>
      <c r="E558" t="s">
        <v>72</v>
      </c>
      <c r="F558" t="s">
        <v>6278</v>
      </c>
      <c r="G558" t="s">
        <v>72</v>
      </c>
      <c r="H558" t="s">
        <v>72</v>
      </c>
      <c r="I558" t="s">
        <v>6279</v>
      </c>
      <c r="J558" t="s">
        <v>4775</v>
      </c>
      <c r="K558" t="s">
        <v>72</v>
      </c>
      <c r="L558" t="s">
        <v>72</v>
      </c>
      <c r="M558" t="s">
        <v>76</v>
      </c>
      <c r="N558" t="s">
        <v>77</v>
      </c>
      <c r="O558" t="s">
        <v>72</v>
      </c>
      <c r="P558" t="s">
        <v>72</v>
      </c>
      <c r="Q558" t="s">
        <v>72</v>
      </c>
      <c r="R558" t="s">
        <v>72</v>
      </c>
      <c r="S558" t="s">
        <v>72</v>
      </c>
      <c r="T558" t="s">
        <v>72</v>
      </c>
      <c r="U558" t="s">
        <v>6280</v>
      </c>
      <c r="V558" t="s">
        <v>6281</v>
      </c>
      <c r="W558" t="s">
        <v>6282</v>
      </c>
      <c r="X558" t="s">
        <v>6283</v>
      </c>
      <c r="Y558" t="s">
        <v>6284</v>
      </c>
      <c r="Z558" t="s">
        <v>6285</v>
      </c>
      <c r="AA558" t="s">
        <v>72</v>
      </c>
      <c r="AB558" t="s">
        <v>72</v>
      </c>
      <c r="AC558" t="s">
        <v>6286</v>
      </c>
      <c r="AD558" t="s">
        <v>6287</v>
      </c>
      <c r="AE558" t="s">
        <v>6288</v>
      </c>
      <c r="AF558" t="s">
        <v>72</v>
      </c>
      <c r="AG558">
        <v>50</v>
      </c>
      <c r="AH558">
        <v>20</v>
      </c>
      <c r="AI558">
        <v>20</v>
      </c>
      <c r="AJ558">
        <v>1</v>
      </c>
      <c r="AK558">
        <v>23</v>
      </c>
      <c r="AL558" t="s">
        <v>240</v>
      </c>
      <c r="AM558" t="s">
        <v>707</v>
      </c>
      <c r="AN558" t="s">
        <v>1205</v>
      </c>
      <c r="AO558" t="s">
        <v>4784</v>
      </c>
      <c r="AP558" t="s">
        <v>4785</v>
      </c>
      <c r="AQ558" t="s">
        <v>72</v>
      </c>
      <c r="AR558" t="s">
        <v>4786</v>
      </c>
      <c r="AS558" t="s">
        <v>4787</v>
      </c>
      <c r="AT558" t="s">
        <v>639</v>
      </c>
      <c r="AU558">
        <v>2019</v>
      </c>
      <c r="AV558">
        <v>113</v>
      </c>
      <c r="AW558">
        <v>3</v>
      </c>
      <c r="AX558" t="s">
        <v>72</v>
      </c>
      <c r="AY558" t="s">
        <v>72</v>
      </c>
      <c r="AZ558" t="s">
        <v>72</v>
      </c>
      <c r="BA558" t="s">
        <v>72</v>
      </c>
      <c r="BB558">
        <v>623</v>
      </c>
      <c r="BC558">
        <v>640</v>
      </c>
      <c r="BD558" t="s">
        <v>6289</v>
      </c>
      <c r="BE558" t="s">
        <v>6290</v>
      </c>
      <c r="BF558" t="str">
        <f>HYPERLINK("http://dx.doi.org/10.1017/S0003055419000182","http://dx.doi.org/10.1017/S0003055419000182")</f>
        <v>http://dx.doi.org/10.1017/S0003055419000182</v>
      </c>
      <c r="BG558" t="s">
        <v>72</v>
      </c>
      <c r="BH558" t="s">
        <v>72</v>
      </c>
      <c r="BI558">
        <v>18</v>
      </c>
      <c r="BJ558" t="s">
        <v>219</v>
      </c>
      <c r="BK558" s="1" t="s">
        <v>17619</v>
      </c>
      <c r="BL558" t="s">
        <v>6291</v>
      </c>
      <c r="BM558" t="s">
        <v>72</v>
      </c>
      <c r="BN558" t="s">
        <v>72</v>
      </c>
      <c r="BO558" t="s">
        <v>72</v>
      </c>
      <c r="BP558" t="s">
        <v>72</v>
      </c>
      <c r="BQ558" t="s">
        <v>100</v>
      </c>
      <c r="BR558" t="s">
        <v>6292</v>
      </c>
      <c r="BS558" t="str">
        <f>HYPERLINK("https%3A%2F%2Fwww.webofscience.com%2Fwos%2Fwoscc%2Ffull-record%2FWOS:000475493800001","View Full Record in Web of Science")</f>
        <v>View Full Record in Web of Science</v>
      </c>
    </row>
    <row r="559" spans="1:71" x14ac:dyDescent="0.2">
      <c r="A559" t="s">
        <v>70</v>
      </c>
      <c r="B559" t="s">
        <v>6400</v>
      </c>
      <c r="C559" t="s">
        <v>72</v>
      </c>
      <c r="D559" t="s">
        <v>72</v>
      </c>
      <c r="E559" t="s">
        <v>72</v>
      </c>
      <c r="F559" t="s">
        <v>6401</v>
      </c>
      <c r="G559" t="s">
        <v>72</v>
      </c>
      <c r="H559" t="s">
        <v>72</v>
      </c>
      <c r="I559" t="s">
        <v>6402</v>
      </c>
      <c r="J559" t="s">
        <v>1388</v>
      </c>
      <c r="K559" t="s">
        <v>72</v>
      </c>
      <c r="L559" t="s">
        <v>72</v>
      </c>
      <c r="M559" t="s">
        <v>76</v>
      </c>
      <c r="N559" t="s">
        <v>352</v>
      </c>
      <c r="O559" t="s">
        <v>72</v>
      </c>
      <c r="P559" t="s">
        <v>72</v>
      </c>
      <c r="Q559" t="s">
        <v>72</v>
      </c>
      <c r="R559" t="s">
        <v>72</v>
      </c>
      <c r="S559" t="s">
        <v>72</v>
      </c>
      <c r="T559" t="s">
        <v>6403</v>
      </c>
      <c r="U559" t="s">
        <v>6404</v>
      </c>
      <c r="V559" t="s">
        <v>6405</v>
      </c>
      <c r="W559" t="s">
        <v>6406</v>
      </c>
      <c r="X559" t="s">
        <v>1675</v>
      </c>
      <c r="Y559" t="s">
        <v>6407</v>
      </c>
      <c r="Z559" t="s">
        <v>6408</v>
      </c>
      <c r="AA559" t="s">
        <v>72</v>
      </c>
      <c r="AB559" t="s">
        <v>6409</v>
      </c>
      <c r="AC559" t="s">
        <v>6410</v>
      </c>
      <c r="AD559" t="s">
        <v>6411</v>
      </c>
      <c r="AE559" t="s">
        <v>6412</v>
      </c>
      <c r="AF559" t="s">
        <v>72</v>
      </c>
      <c r="AG559">
        <v>41</v>
      </c>
      <c r="AH559">
        <v>0</v>
      </c>
      <c r="AI559">
        <v>0</v>
      </c>
      <c r="AJ559">
        <v>1</v>
      </c>
      <c r="AK559">
        <v>1</v>
      </c>
      <c r="AL559" t="s">
        <v>336</v>
      </c>
      <c r="AM559" t="s">
        <v>337</v>
      </c>
      <c r="AN559" t="s">
        <v>338</v>
      </c>
      <c r="AO559" t="s">
        <v>1398</v>
      </c>
      <c r="AP559" t="s">
        <v>1399</v>
      </c>
      <c r="AQ559" t="s">
        <v>72</v>
      </c>
      <c r="AR559" t="s">
        <v>1400</v>
      </c>
      <c r="AS559" t="s">
        <v>1401</v>
      </c>
      <c r="AT559" t="s">
        <v>72</v>
      </c>
      <c r="AU559" t="s">
        <v>72</v>
      </c>
      <c r="AV559" t="s">
        <v>72</v>
      </c>
      <c r="AW559" t="s">
        <v>72</v>
      </c>
      <c r="AX559" t="s">
        <v>72</v>
      </c>
      <c r="AY559" t="s">
        <v>72</v>
      </c>
      <c r="AZ559" t="s">
        <v>72</v>
      </c>
      <c r="BA559" t="s">
        <v>72</v>
      </c>
      <c r="BB559" t="s">
        <v>72</v>
      </c>
      <c r="BC559" t="s">
        <v>72</v>
      </c>
      <c r="BD559" t="s">
        <v>72</v>
      </c>
      <c r="BE559" t="s">
        <v>6413</v>
      </c>
      <c r="BF559" t="str">
        <f>HYPERLINK("http://dx.doi.org/10.1177/13540688221131982","http://dx.doi.org/10.1177/13540688221131982")</f>
        <v>http://dx.doi.org/10.1177/13540688221131982</v>
      </c>
      <c r="BG559" t="s">
        <v>72</v>
      </c>
      <c r="BH559" t="s">
        <v>2868</v>
      </c>
      <c r="BI559">
        <v>17</v>
      </c>
      <c r="BJ559" t="s">
        <v>219</v>
      </c>
      <c r="BK559" s="1" t="s">
        <v>17619</v>
      </c>
      <c r="BL559" t="s">
        <v>6414</v>
      </c>
      <c r="BM559" t="s">
        <v>72</v>
      </c>
      <c r="BN559" t="s">
        <v>280</v>
      </c>
      <c r="BO559" t="s">
        <v>72</v>
      </c>
      <c r="BP559" t="s">
        <v>72</v>
      </c>
      <c r="BQ559" t="s">
        <v>100</v>
      </c>
      <c r="BR559" t="s">
        <v>6415</v>
      </c>
      <c r="BS559" t="str">
        <f>HYPERLINK("https%3A%2F%2Fwww.webofscience.com%2Fwos%2Fwoscc%2Ffull-record%2FWOS:000864883400001","View Full Record in Web of Science")</f>
        <v>View Full Record in Web of Science</v>
      </c>
    </row>
    <row r="560" spans="1:71" x14ac:dyDescent="0.2">
      <c r="A560" t="s">
        <v>70</v>
      </c>
      <c r="B560" t="s">
        <v>6437</v>
      </c>
      <c r="C560" t="s">
        <v>72</v>
      </c>
      <c r="D560" t="s">
        <v>72</v>
      </c>
      <c r="E560" t="s">
        <v>72</v>
      </c>
      <c r="F560" t="s">
        <v>6438</v>
      </c>
      <c r="G560" t="s">
        <v>72</v>
      </c>
      <c r="H560" t="s">
        <v>72</v>
      </c>
      <c r="I560" t="s">
        <v>6439</v>
      </c>
      <c r="J560" t="s">
        <v>6440</v>
      </c>
      <c r="K560" t="s">
        <v>72</v>
      </c>
      <c r="L560" t="s">
        <v>72</v>
      </c>
      <c r="M560" t="s">
        <v>76</v>
      </c>
      <c r="N560" t="s">
        <v>77</v>
      </c>
      <c r="O560" t="s">
        <v>72</v>
      </c>
      <c r="P560" t="s">
        <v>72</v>
      </c>
      <c r="Q560" t="s">
        <v>72</v>
      </c>
      <c r="R560" t="s">
        <v>72</v>
      </c>
      <c r="S560" t="s">
        <v>72</v>
      </c>
      <c r="T560" t="s">
        <v>6441</v>
      </c>
      <c r="U560" t="s">
        <v>6442</v>
      </c>
      <c r="V560" t="s">
        <v>6443</v>
      </c>
      <c r="W560" t="s">
        <v>6444</v>
      </c>
      <c r="X560" t="s">
        <v>6445</v>
      </c>
      <c r="Y560" t="s">
        <v>6446</v>
      </c>
      <c r="Z560" t="s">
        <v>6447</v>
      </c>
      <c r="AA560" t="s">
        <v>6448</v>
      </c>
      <c r="AB560" t="s">
        <v>6449</v>
      </c>
      <c r="AC560" t="s">
        <v>72</v>
      </c>
      <c r="AD560" t="s">
        <v>72</v>
      </c>
      <c r="AE560" t="s">
        <v>72</v>
      </c>
      <c r="AF560" t="s">
        <v>72</v>
      </c>
      <c r="AG560">
        <v>62</v>
      </c>
      <c r="AH560">
        <v>1</v>
      </c>
      <c r="AI560">
        <v>1</v>
      </c>
      <c r="AJ560">
        <v>3</v>
      </c>
      <c r="AK560">
        <v>13</v>
      </c>
      <c r="AL560" t="s">
        <v>240</v>
      </c>
      <c r="AM560" t="s">
        <v>707</v>
      </c>
      <c r="AN560" t="s">
        <v>1205</v>
      </c>
      <c r="AO560" t="s">
        <v>6450</v>
      </c>
      <c r="AP560" t="s">
        <v>6451</v>
      </c>
      <c r="AQ560" t="s">
        <v>72</v>
      </c>
      <c r="AR560" t="s">
        <v>6452</v>
      </c>
      <c r="AS560" t="s">
        <v>6453</v>
      </c>
      <c r="AT560" t="s">
        <v>639</v>
      </c>
      <c r="AU560">
        <v>2021</v>
      </c>
      <c r="AV560">
        <v>13</v>
      </c>
      <c r="AW560">
        <v>3</v>
      </c>
      <c r="AX560" t="s">
        <v>72</v>
      </c>
      <c r="AY560" t="s">
        <v>72</v>
      </c>
      <c r="AZ560" t="s">
        <v>72</v>
      </c>
      <c r="BA560" t="s">
        <v>72</v>
      </c>
      <c r="BB560">
        <v>391</v>
      </c>
      <c r="BC560">
        <v>409</v>
      </c>
      <c r="BD560" t="s">
        <v>72</v>
      </c>
      <c r="BE560" t="s">
        <v>6454</v>
      </c>
      <c r="BF560" t="str">
        <f>HYPERLINK("http://dx.doi.org/10.1017/S175577392100014X","http://dx.doi.org/10.1017/S175577392100014X")</f>
        <v>http://dx.doi.org/10.1017/S175577392100014X</v>
      </c>
      <c r="BG560" t="s">
        <v>72</v>
      </c>
      <c r="BH560" t="s">
        <v>72</v>
      </c>
      <c r="BI560">
        <v>19</v>
      </c>
      <c r="BJ560" t="s">
        <v>219</v>
      </c>
      <c r="BK560" s="1" t="s">
        <v>17619</v>
      </c>
      <c r="BL560" t="s">
        <v>6455</v>
      </c>
      <c r="BM560" t="s">
        <v>72</v>
      </c>
      <c r="BN560" t="s">
        <v>2403</v>
      </c>
      <c r="BO560" t="s">
        <v>72</v>
      </c>
      <c r="BP560" t="s">
        <v>72</v>
      </c>
      <c r="BQ560" t="s">
        <v>100</v>
      </c>
      <c r="BR560" t="s">
        <v>6456</v>
      </c>
      <c r="BS560" t="str">
        <f>HYPERLINK("https%3A%2F%2Fwww.webofscience.com%2Fwos%2Fwoscc%2Ffull-record%2FWOS:000670729900007","View Full Record in Web of Science")</f>
        <v>View Full Record in Web of Science</v>
      </c>
    </row>
    <row r="561" spans="1:71" x14ac:dyDescent="0.2">
      <c r="A561" t="s">
        <v>70</v>
      </c>
      <c r="B561" t="s">
        <v>6515</v>
      </c>
      <c r="C561" t="s">
        <v>72</v>
      </c>
      <c r="D561" t="s">
        <v>72</v>
      </c>
      <c r="E561" t="s">
        <v>72</v>
      </c>
      <c r="F561" t="s">
        <v>6516</v>
      </c>
      <c r="G561" t="s">
        <v>72</v>
      </c>
      <c r="H561" t="s">
        <v>72</v>
      </c>
      <c r="I561" t="s">
        <v>6517</v>
      </c>
      <c r="J561" t="s">
        <v>1978</v>
      </c>
      <c r="K561" t="s">
        <v>72</v>
      </c>
      <c r="L561" t="s">
        <v>72</v>
      </c>
      <c r="M561" t="s">
        <v>542</v>
      </c>
      <c r="N561" t="s">
        <v>77</v>
      </c>
      <c r="O561" t="s">
        <v>72</v>
      </c>
      <c r="P561" t="s">
        <v>72</v>
      </c>
      <c r="Q561" t="s">
        <v>72</v>
      </c>
      <c r="R561" t="s">
        <v>72</v>
      </c>
      <c r="S561" t="s">
        <v>72</v>
      </c>
      <c r="T561" t="s">
        <v>6518</v>
      </c>
      <c r="U561" t="s">
        <v>72</v>
      </c>
      <c r="V561" t="s">
        <v>6519</v>
      </c>
      <c r="W561" t="s">
        <v>6520</v>
      </c>
      <c r="X561" t="s">
        <v>6521</v>
      </c>
      <c r="Y561" t="s">
        <v>6522</v>
      </c>
      <c r="Z561" t="s">
        <v>6523</v>
      </c>
      <c r="AA561" t="s">
        <v>6524</v>
      </c>
      <c r="AB561" t="s">
        <v>6525</v>
      </c>
      <c r="AC561" t="s">
        <v>72</v>
      </c>
      <c r="AD561" t="s">
        <v>72</v>
      </c>
      <c r="AE561" t="s">
        <v>72</v>
      </c>
      <c r="AF561" t="s">
        <v>72</v>
      </c>
      <c r="AG561">
        <v>71</v>
      </c>
      <c r="AH561">
        <v>0</v>
      </c>
      <c r="AI561">
        <v>0</v>
      </c>
      <c r="AJ561">
        <v>0</v>
      </c>
      <c r="AK561">
        <v>5</v>
      </c>
      <c r="AL561" t="s">
        <v>88</v>
      </c>
      <c r="AM561" t="s">
        <v>707</v>
      </c>
      <c r="AN561" t="s">
        <v>5184</v>
      </c>
      <c r="AO561" t="s">
        <v>1988</v>
      </c>
      <c r="AP561" t="s">
        <v>1989</v>
      </c>
      <c r="AQ561" t="s">
        <v>72</v>
      </c>
      <c r="AR561" t="s">
        <v>1990</v>
      </c>
      <c r="AS561" t="s">
        <v>1991</v>
      </c>
      <c r="AT561" t="s">
        <v>72</v>
      </c>
      <c r="AU561">
        <v>2017</v>
      </c>
      <c r="AV561" t="s">
        <v>72</v>
      </c>
      <c r="AW561" t="s">
        <v>72</v>
      </c>
      <c r="AX561" t="s">
        <v>72</v>
      </c>
      <c r="AY561" t="s">
        <v>72</v>
      </c>
      <c r="AZ561">
        <v>52</v>
      </c>
      <c r="BA561" t="s">
        <v>72</v>
      </c>
      <c r="BB561">
        <v>287</v>
      </c>
      <c r="BC561" t="s">
        <v>173</v>
      </c>
      <c r="BD561" t="s">
        <v>72</v>
      </c>
      <c r="BE561" t="s">
        <v>72</v>
      </c>
      <c r="BF561" t="s">
        <v>72</v>
      </c>
      <c r="BG561" t="s">
        <v>72</v>
      </c>
      <c r="BH561" t="s">
        <v>72</v>
      </c>
      <c r="BI561">
        <v>25</v>
      </c>
      <c r="BJ561" t="s">
        <v>219</v>
      </c>
      <c r="BK561" s="1" t="s">
        <v>17619</v>
      </c>
      <c r="BL561" t="s">
        <v>6526</v>
      </c>
      <c r="BM561" t="s">
        <v>72</v>
      </c>
      <c r="BN561" t="s">
        <v>72</v>
      </c>
      <c r="BO561" t="s">
        <v>72</v>
      </c>
      <c r="BP561" t="s">
        <v>72</v>
      </c>
      <c r="BQ561" t="s">
        <v>100</v>
      </c>
      <c r="BR561" t="s">
        <v>6527</v>
      </c>
      <c r="BS561" t="str">
        <f>HYPERLINK("https%3A%2F%2Fwww.webofscience.com%2Fwos%2Fwoscc%2Ffull-record%2FWOS:000422892700014","View Full Record in Web of Science")</f>
        <v>View Full Record in Web of Science</v>
      </c>
    </row>
    <row r="562" spans="1:71" x14ac:dyDescent="0.2">
      <c r="A562" t="s">
        <v>70</v>
      </c>
      <c r="B562" t="s">
        <v>6546</v>
      </c>
      <c r="C562" t="s">
        <v>72</v>
      </c>
      <c r="D562" t="s">
        <v>72</v>
      </c>
      <c r="E562" t="s">
        <v>72</v>
      </c>
      <c r="F562" t="s">
        <v>6547</v>
      </c>
      <c r="G562" t="s">
        <v>72</v>
      </c>
      <c r="H562" t="s">
        <v>72</v>
      </c>
      <c r="I562" t="s">
        <v>6548</v>
      </c>
      <c r="J562" t="s">
        <v>4643</v>
      </c>
      <c r="K562" t="s">
        <v>72</v>
      </c>
      <c r="L562" t="s">
        <v>72</v>
      </c>
      <c r="M562" t="s">
        <v>76</v>
      </c>
      <c r="N562" t="s">
        <v>77</v>
      </c>
      <c r="O562" t="s">
        <v>72</v>
      </c>
      <c r="P562" t="s">
        <v>72</v>
      </c>
      <c r="Q562" t="s">
        <v>72</v>
      </c>
      <c r="R562" t="s">
        <v>72</v>
      </c>
      <c r="S562" t="s">
        <v>72</v>
      </c>
      <c r="T562" t="s">
        <v>6549</v>
      </c>
      <c r="U562" t="s">
        <v>6550</v>
      </c>
      <c r="V562" t="s">
        <v>6551</v>
      </c>
      <c r="W562" t="s">
        <v>6552</v>
      </c>
      <c r="X562" t="s">
        <v>6553</v>
      </c>
      <c r="Y562" t="s">
        <v>6554</v>
      </c>
      <c r="Z562" t="s">
        <v>6555</v>
      </c>
      <c r="AA562" t="s">
        <v>72</v>
      </c>
      <c r="AB562" t="s">
        <v>6556</v>
      </c>
      <c r="AC562" t="s">
        <v>6557</v>
      </c>
      <c r="AD562" t="s">
        <v>6557</v>
      </c>
      <c r="AE562" t="s">
        <v>6558</v>
      </c>
      <c r="AF562" t="s">
        <v>72</v>
      </c>
      <c r="AG562">
        <v>42</v>
      </c>
      <c r="AH562">
        <v>2</v>
      </c>
      <c r="AI562">
        <v>2</v>
      </c>
      <c r="AJ562">
        <v>1</v>
      </c>
      <c r="AK562">
        <v>5</v>
      </c>
      <c r="AL562" t="s">
        <v>240</v>
      </c>
      <c r="AM562" t="s">
        <v>241</v>
      </c>
      <c r="AN562" t="s">
        <v>242</v>
      </c>
      <c r="AO562" t="s">
        <v>4652</v>
      </c>
      <c r="AP562" t="s">
        <v>4653</v>
      </c>
      <c r="AQ562" t="s">
        <v>72</v>
      </c>
      <c r="AR562" t="s">
        <v>4654</v>
      </c>
      <c r="AS562" t="s">
        <v>4655</v>
      </c>
      <c r="AT562" t="s">
        <v>395</v>
      </c>
      <c r="AU562">
        <v>2020</v>
      </c>
      <c r="AV562">
        <v>8</v>
      </c>
      <c r="AW562">
        <v>4</v>
      </c>
      <c r="AX562" t="s">
        <v>72</v>
      </c>
      <c r="AY562" t="s">
        <v>72</v>
      </c>
      <c r="AZ562" t="s">
        <v>72</v>
      </c>
      <c r="BA562" t="s">
        <v>72</v>
      </c>
      <c r="BB562">
        <v>731</v>
      </c>
      <c r="BC562">
        <v>746</v>
      </c>
      <c r="BD562" t="s">
        <v>6559</v>
      </c>
      <c r="BE562" t="s">
        <v>6560</v>
      </c>
      <c r="BF562" t="str">
        <f>HYPERLINK("http://dx.doi.org/10.1017/psrm.2019.4","http://dx.doi.org/10.1017/psrm.2019.4")</f>
        <v>http://dx.doi.org/10.1017/psrm.2019.4</v>
      </c>
      <c r="BG562" t="s">
        <v>72</v>
      </c>
      <c r="BH562" t="s">
        <v>72</v>
      </c>
      <c r="BI562">
        <v>16</v>
      </c>
      <c r="BJ562" t="s">
        <v>219</v>
      </c>
      <c r="BK562" s="1" t="s">
        <v>17619</v>
      </c>
      <c r="BL562" t="s">
        <v>6561</v>
      </c>
      <c r="BM562" t="s">
        <v>72</v>
      </c>
      <c r="BN562" t="s">
        <v>72</v>
      </c>
      <c r="BO562" t="s">
        <v>72</v>
      </c>
      <c r="BP562" t="s">
        <v>72</v>
      </c>
      <c r="BQ562" t="s">
        <v>100</v>
      </c>
      <c r="BR562" t="s">
        <v>6562</v>
      </c>
      <c r="BS562" t="str">
        <f>HYPERLINK("https%3A%2F%2Fwww.webofscience.com%2Fwos%2Fwoscc%2Ffull-record%2FWOS:000612825100009","View Full Record in Web of Science")</f>
        <v>View Full Record in Web of Science</v>
      </c>
    </row>
    <row r="563" spans="1:71" x14ac:dyDescent="0.2">
      <c r="A563" t="s">
        <v>70</v>
      </c>
      <c r="B563" t="s">
        <v>6610</v>
      </c>
      <c r="C563" t="s">
        <v>72</v>
      </c>
      <c r="D563" t="s">
        <v>72</v>
      </c>
      <c r="E563" t="s">
        <v>72</v>
      </c>
      <c r="F563" t="s">
        <v>6611</v>
      </c>
      <c r="G563" t="s">
        <v>72</v>
      </c>
      <c r="H563" t="s">
        <v>72</v>
      </c>
      <c r="I563" t="s">
        <v>6612</v>
      </c>
      <c r="J563" t="s">
        <v>6613</v>
      </c>
      <c r="K563" t="s">
        <v>72</v>
      </c>
      <c r="L563" t="s">
        <v>72</v>
      </c>
      <c r="M563" t="s">
        <v>76</v>
      </c>
      <c r="N563" t="s">
        <v>77</v>
      </c>
      <c r="O563" t="s">
        <v>72</v>
      </c>
      <c r="P563" t="s">
        <v>72</v>
      </c>
      <c r="Q563" t="s">
        <v>72</v>
      </c>
      <c r="R563" t="s">
        <v>72</v>
      </c>
      <c r="S563" t="s">
        <v>72</v>
      </c>
      <c r="T563" t="s">
        <v>6614</v>
      </c>
      <c r="U563" t="s">
        <v>6615</v>
      </c>
      <c r="V563" t="s">
        <v>6616</v>
      </c>
      <c r="W563" t="s">
        <v>6617</v>
      </c>
      <c r="X563" t="s">
        <v>1781</v>
      </c>
      <c r="Y563" t="s">
        <v>6618</v>
      </c>
      <c r="Z563" t="s">
        <v>6619</v>
      </c>
      <c r="AA563" t="s">
        <v>6620</v>
      </c>
      <c r="AB563" t="s">
        <v>6621</v>
      </c>
      <c r="AC563" t="s">
        <v>72</v>
      </c>
      <c r="AD563" t="s">
        <v>72</v>
      </c>
      <c r="AE563" t="s">
        <v>72</v>
      </c>
      <c r="AF563" t="s">
        <v>72</v>
      </c>
      <c r="AG563">
        <v>42</v>
      </c>
      <c r="AH563">
        <v>0</v>
      </c>
      <c r="AI563">
        <v>0</v>
      </c>
      <c r="AJ563">
        <v>0</v>
      </c>
      <c r="AK563">
        <v>0</v>
      </c>
      <c r="AL563" t="s">
        <v>879</v>
      </c>
      <c r="AM563" t="s">
        <v>451</v>
      </c>
      <c r="AN563" t="s">
        <v>880</v>
      </c>
      <c r="AO563" t="s">
        <v>6622</v>
      </c>
      <c r="AP563" t="s">
        <v>6623</v>
      </c>
      <c r="AQ563" t="s">
        <v>72</v>
      </c>
      <c r="AR563" t="s">
        <v>6624</v>
      </c>
      <c r="AS563" t="s">
        <v>6625</v>
      </c>
      <c r="AT563" t="s">
        <v>6626</v>
      </c>
      <c r="AU563">
        <v>2022</v>
      </c>
      <c r="AV563">
        <v>75</v>
      </c>
      <c r="AW563">
        <v>3</v>
      </c>
      <c r="AX563" t="s">
        <v>72</v>
      </c>
      <c r="AY563" t="s">
        <v>72</v>
      </c>
      <c r="AZ563" t="s">
        <v>72</v>
      </c>
      <c r="BA563" t="s">
        <v>72</v>
      </c>
      <c r="BB563">
        <v>655</v>
      </c>
      <c r="BC563">
        <v>675</v>
      </c>
      <c r="BD563" t="s">
        <v>72</v>
      </c>
      <c r="BE563" t="s">
        <v>6627</v>
      </c>
      <c r="BF563" t="str">
        <f>HYPERLINK("http://dx.doi.org/10.1093/pa/gsab032","http://dx.doi.org/10.1093/pa/gsab032")</f>
        <v>http://dx.doi.org/10.1093/pa/gsab032</v>
      </c>
      <c r="BG563" t="s">
        <v>72</v>
      </c>
      <c r="BH563" t="s">
        <v>1013</v>
      </c>
      <c r="BI563">
        <v>21</v>
      </c>
      <c r="BJ563" t="s">
        <v>219</v>
      </c>
      <c r="BK563" s="1" t="s">
        <v>17619</v>
      </c>
      <c r="BL563" t="s">
        <v>6628</v>
      </c>
      <c r="BM563" t="s">
        <v>72</v>
      </c>
      <c r="BN563" t="s">
        <v>72</v>
      </c>
      <c r="BO563" t="s">
        <v>72</v>
      </c>
      <c r="BP563" t="s">
        <v>72</v>
      </c>
      <c r="BQ563" t="s">
        <v>100</v>
      </c>
      <c r="BR563" t="s">
        <v>6629</v>
      </c>
      <c r="BS563" t="str">
        <f>HYPERLINK("https%3A%2F%2Fwww.webofscience.com%2Fwos%2Fwoscc%2Ffull-record%2FWOS:000764412700001","View Full Record in Web of Science")</f>
        <v>View Full Record in Web of Science</v>
      </c>
    </row>
    <row r="564" spans="1:71" x14ac:dyDescent="0.2">
      <c r="A564" t="s">
        <v>70</v>
      </c>
      <c r="B564" t="s">
        <v>6802</v>
      </c>
      <c r="C564" t="s">
        <v>72</v>
      </c>
      <c r="D564" t="s">
        <v>72</v>
      </c>
      <c r="E564" t="s">
        <v>72</v>
      </c>
      <c r="F564" t="s">
        <v>6803</v>
      </c>
      <c r="G564" t="s">
        <v>72</v>
      </c>
      <c r="H564" t="s">
        <v>72</v>
      </c>
      <c r="I564" t="s">
        <v>6804</v>
      </c>
      <c r="J564" t="s">
        <v>6805</v>
      </c>
      <c r="K564" t="s">
        <v>72</v>
      </c>
      <c r="L564" t="s">
        <v>72</v>
      </c>
      <c r="M564" t="s">
        <v>76</v>
      </c>
      <c r="N564" t="s">
        <v>77</v>
      </c>
      <c r="O564" t="s">
        <v>72</v>
      </c>
      <c r="P564" t="s">
        <v>72</v>
      </c>
      <c r="Q564" t="s">
        <v>72</v>
      </c>
      <c r="R564" t="s">
        <v>72</v>
      </c>
      <c r="S564" t="s">
        <v>72</v>
      </c>
      <c r="T564" t="s">
        <v>6806</v>
      </c>
      <c r="U564" t="s">
        <v>6807</v>
      </c>
      <c r="V564" t="s">
        <v>6808</v>
      </c>
      <c r="W564" t="s">
        <v>6809</v>
      </c>
      <c r="X564" t="s">
        <v>72</v>
      </c>
      <c r="Y564" t="s">
        <v>6810</v>
      </c>
      <c r="Z564" t="s">
        <v>72</v>
      </c>
      <c r="AA564" t="s">
        <v>72</v>
      </c>
      <c r="AB564" t="s">
        <v>72</v>
      </c>
      <c r="AC564" t="s">
        <v>72</v>
      </c>
      <c r="AD564" t="s">
        <v>72</v>
      </c>
      <c r="AE564" t="s">
        <v>72</v>
      </c>
      <c r="AF564" t="s">
        <v>72</v>
      </c>
      <c r="AG564">
        <v>82</v>
      </c>
      <c r="AH564">
        <v>2</v>
      </c>
      <c r="AI564">
        <v>2</v>
      </c>
      <c r="AJ564">
        <v>1</v>
      </c>
      <c r="AK564">
        <v>15</v>
      </c>
      <c r="AL564" t="s">
        <v>1260</v>
      </c>
      <c r="AM564" t="s">
        <v>964</v>
      </c>
      <c r="AN564" t="s">
        <v>965</v>
      </c>
      <c r="AO564" t="s">
        <v>6811</v>
      </c>
      <c r="AP564" t="s">
        <v>6812</v>
      </c>
      <c r="AQ564" t="s">
        <v>72</v>
      </c>
      <c r="AR564" t="s">
        <v>6813</v>
      </c>
      <c r="AS564" t="s">
        <v>6814</v>
      </c>
      <c r="AT564" t="s">
        <v>555</v>
      </c>
      <c r="AU564">
        <v>2020</v>
      </c>
      <c r="AV564">
        <v>50</v>
      </c>
      <c r="AW564">
        <v>1</v>
      </c>
      <c r="AX564" t="s">
        <v>72</v>
      </c>
      <c r="AY564" t="s">
        <v>72</v>
      </c>
      <c r="AZ564" t="s">
        <v>72</v>
      </c>
      <c r="BA564" t="s">
        <v>72</v>
      </c>
      <c r="BB564">
        <v>90</v>
      </c>
      <c r="BC564">
        <v>106</v>
      </c>
      <c r="BD564" t="s">
        <v>72</v>
      </c>
      <c r="BE564" t="s">
        <v>6815</v>
      </c>
      <c r="BF564" t="str">
        <f>HYPERLINK("http://dx.doi.org/10.1111/psq.12629","http://dx.doi.org/10.1111/psq.12629")</f>
        <v>http://dx.doi.org/10.1111/psq.12629</v>
      </c>
      <c r="BG564" t="s">
        <v>72</v>
      </c>
      <c r="BH564" t="s">
        <v>6816</v>
      </c>
      <c r="BI564">
        <v>17</v>
      </c>
      <c r="BJ564" t="s">
        <v>219</v>
      </c>
      <c r="BK564" s="1" t="s">
        <v>17619</v>
      </c>
      <c r="BL564" t="s">
        <v>6817</v>
      </c>
      <c r="BM564" t="s">
        <v>72</v>
      </c>
      <c r="BN564" t="s">
        <v>72</v>
      </c>
      <c r="BO564" t="s">
        <v>72</v>
      </c>
      <c r="BP564" t="s">
        <v>72</v>
      </c>
      <c r="BQ564" t="s">
        <v>100</v>
      </c>
      <c r="BR564" t="s">
        <v>6818</v>
      </c>
      <c r="BS564" t="str">
        <f>HYPERLINK("https%3A%2F%2Fwww.webofscience.com%2Fwos%2Fwoscc%2Ffull-record%2FWOS:000501241700001","View Full Record in Web of Science")</f>
        <v>View Full Record in Web of Science</v>
      </c>
    </row>
    <row r="565" spans="1:71" x14ac:dyDescent="0.2">
      <c r="A565" t="s">
        <v>70</v>
      </c>
      <c r="B565" t="s">
        <v>7353</v>
      </c>
      <c r="C565" t="s">
        <v>72</v>
      </c>
      <c r="D565" t="s">
        <v>72</v>
      </c>
      <c r="E565" t="s">
        <v>72</v>
      </c>
      <c r="F565" t="s">
        <v>7354</v>
      </c>
      <c r="G565" t="s">
        <v>72</v>
      </c>
      <c r="H565" t="s">
        <v>72</v>
      </c>
      <c r="I565" t="s">
        <v>7355</v>
      </c>
      <c r="J565" t="s">
        <v>6613</v>
      </c>
      <c r="K565" t="s">
        <v>72</v>
      </c>
      <c r="L565" t="s">
        <v>72</v>
      </c>
      <c r="M565" t="s">
        <v>76</v>
      </c>
      <c r="N565" t="s">
        <v>77</v>
      </c>
      <c r="O565" t="s">
        <v>72</v>
      </c>
      <c r="P565" t="s">
        <v>72</v>
      </c>
      <c r="Q565" t="s">
        <v>72</v>
      </c>
      <c r="R565" t="s">
        <v>72</v>
      </c>
      <c r="S565" t="s">
        <v>72</v>
      </c>
      <c r="T565" t="s">
        <v>7356</v>
      </c>
      <c r="U565" t="s">
        <v>7357</v>
      </c>
      <c r="V565" t="s">
        <v>7358</v>
      </c>
      <c r="W565" t="s">
        <v>7359</v>
      </c>
      <c r="X565" t="s">
        <v>7360</v>
      </c>
      <c r="Y565" t="s">
        <v>7361</v>
      </c>
      <c r="Z565" t="s">
        <v>7362</v>
      </c>
      <c r="AA565" t="s">
        <v>72</v>
      </c>
      <c r="AB565" t="s">
        <v>7363</v>
      </c>
      <c r="AC565" t="s">
        <v>72</v>
      </c>
      <c r="AD565" t="s">
        <v>72</v>
      </c>
      <c r="AE565" t="s">
        <v>72</v>
      </c>
      <c r="AF565" t="s">
        <v>72</v>
      </c>
      <c r="AG565">
        <v>46</v>
      </c>
      <c r="AH565">
        <v>2</v>
      </c>
      <c r="AI565">
        <v>2</v>
      </c>
      <c r="AJ565">
        <v>0</v>
      </c>
      <c r="AK565">
        <v>0</v>
      </c>
      <c r="AL565" t="s">
        <v>879</v>
      </c>
      <c r="AM565" t="s">
        <v>451</v>
      </c>
      <c r="AN565" t="s">
        <v>880</v>
      </c>
      <c r="AO565" t="s">
        <v>6622</v>
      </c>
      <c r="AP565" t="s">
        <v>6623</v>
      </c>
      <c r="AQ565" t="s">
        <v>72</v>
      </c>
      <c r="AR565" t="s">
        <v>6624</v>
      </c>
      <c r="AS565" t="s">
        <v>6625</v>
      </c>
      <c r="AT565" t="s">
        <v>1970</v>
      </c>
      <c r="AU565">
        <v>2022</v>
      </c>
      <c r="AV565">
        <v>75</v>
      </c>
      <c r="AW565">
        <v>4</v>
      </c>
      <c r="AX565" t="s">
        <v>72</v>
      </c>
      <c r="AY565" t="s">
        <v>72</v>
      </c>
      <c r="AZ565" t="s">
        <v>72</v>
      </c>
      <c r="BA565" t="s">
        <v>72</v>
      </c>
      <c r="BB565">
        <v>843</v>
      </c>
      <c r="BC565">
        <v>866</v>
      </c>
      <c r="BD565" t="s">
        <v>72</v>
      </c>
      <c r="BE565" t="s">
        <v>7364</v>
      </c>
      <c r="BF565" t="str">
        <f>HYPERLINK("http://dx.doi.org/10.1093/pa/gsab033","http://dx.doi.org/10.1093/pa/gsab033")</f>
        <v>http://dx.doi.org/10.1093/pa/gsab033</v>
      </c>
      <c r="BG565" t="s">
        <v>72</v>
      </c>
      <c r="BH565" t="s">
        <v>4075</v>
      </c>
      <c r="BI565">
        <v>24</v>
      </c>
      <c r="BJ565" t="s">
        <v>219</v>
      </c>
      <c r="BK565" s="1" t="s">
        <v>17619</v>
      </c>
      <c r="BL565" t="s">
        <v>7365</v>
      </c>
      <c r="BM565" t="s">
        <v>72</v>
      </c>
      <c r="BN565" t="s">
        <v>72</v>
      </c>
      <c r="BO565" t="s">
        <v>72</v>
      </c>
      <c r="BP565" t="s">
        <v>72</v>
      </c>
      <c r="BQ565" t="s">
        <v>100</v>
      </c>
      <c r="BR565" t="s">
        <v>7366</v>
      </c>
      <c r="BS565" t="str">
        <f>HYPERLINK("https%3A%2F%2Fwww.webofscience.com%2Fwos%2Fwoscc%2Ffull-record%2FWOS:000764558300001","View Full Record in Web of Science")</f>
        <v>View Full Record in Web of Science</v>
      </c>
    </row>
    <row r="566" spans="1:71" x14ac:dyDescent="0.2">
      <c r="A566" t="s">
        <v>70</v>
      </c>
      <c r="B566" t="s">
        <v>7367</v>
      </c>
      <c r="C566" t="s">
        <v>72</v>
      </c>
      <c r="D566" t="s">
        <v>72</v>
      </c>
      <c r="E566" t="s">
        <v>72</v>
      </c>
      <c r="F566" t="s">
        <v>7368</v>
      </c>
      <c r="G566" t="s">
        <v>72</v>
      </c>
      <c r="H566" t="s">
        <v>72</v>
      </c>
      <c r="I566" t="s">
        <v>7369</v>
      </c>
      <c r="J566" t="s">
        <v>7370</v>
      </c>
      <c r="K566" t="s">
        <v>72</v>
      </c>
      <c r="L566" t="s">
        <v>72</v>
      </c>
      <c r="M566" t="s">
        <v>76</v>
      </c>
      <c r="N566" t="s">
        <v>77</v>
      </c>
      <c r="O566" t="s">
        <v>72</v>
      </c>
      <c r="P566" t="s">
        <v>72</v>
      </c>
      <c r="Q566" t="s">
        <v>72</v>
      </c>
      <c r="R566" t="s">
        <v>72</v>
      </c>
      <c r="S566" t="s">
        <v>72</v>
      </c>
      <c r="T566" t="s">
        <v>7371</v>
      </c>
      <c r="U566" t="s">
        <v>7372</v>
      </c>
      <c r="V566" t="s">
        <v>7373</v>
      </c>
      <c r="W566" t="s">
        <v>7374</v>
      </c>
      <c r="X566" t="s">
        <v>7375</v>
      </c>
      <c r="Y566" t="s">
        <v>7376</v>
      </c>
      <c r="Z566" t="s">
        <v>7377</v>
      </c>
      <c r="AA566" t="s">
        <v>7378</v>
      </c>
      <c r="AB566" t="s">
        <v>7379</v>
      </c>
      <c r="AC566" t="s">
        <v>72</v>
      </c>
      <c r="AD566" t="s">
        <v>72</v>
      </c>
      <c r="AE566" t="s">
        <v>72</v>
      </c>
      <c r="AF566" t="s">
        <v>72</v>
      </c>
      <c r="AG566">
        <v>82</v>
      </c>
      <c r="AH566">
        <v>3</v>
      </c>
      <c r="AI566">
        <v>3</v>
      </c>
      <c r="AJ566">
        <v>1</v>
      </c>
      <c r="AK566">
        <v>6</v>
      </c>
      <c r="AL566" t="s">
        <v>364</v>
      </c>
      <c r="AM566" t="s">
        <v>365</v>
      </c>
      <c r="AN566" t="s">
        <v>366</v>
      </c>
      <c r="AO566" t="s">
        <v>7380</v>
      </c>
      <c r="AP566" t="s">
        <v>7381</v>
      </c>
      <c r="AQ566" t="s">
        <v>72</v>
      </c>
      <c r="AR566" t="s">
        <v>7382</v>
      </c>
      <c r="AS566" t="s">
        <v>7383</v>
      </c>
      <c r="AT566" t="s">
        <v>1172</v>
      </c>
      <c r="AU566">
        <v>2019</v>
      </c>
      <c r="AV566">
        <v>25</v>
      </c>
      <c r="AW566">
        <v>1</v>
      </c>
      <c r="AX566" t="s">
        <v>72</v>
      </c>
      <c r="AY566" t="s">
        <v>72</v>
      </c>
      <c r="AZ566" t="s">
        <v>72</v>
      </c>
      <c r="BA566" t="s">
        <v>72</v>
      </c>
      <c r="BB566">
        <v>88</v>
      </c>
      <c r="BC566">
        <v>118</v>
      </c>
      <c r="BD566" t="s">
        <v>72</v>
      </c>
      <c r="BE566" t="s">
        <v>7384</v>
      </c>
      <c r="BF566" t="str">
        <f>HYPERLINK("http://dx.doi.org/10.1080/13572334.2019.1570599","http://dx.doi.org/10.1080/13572334.2019.1570599")</f>
        <v>http://dx.doi.org/10.1080/13572334.2019.1570599</v>
      </c>
      <c r="BG566" t="s">
        <v>72</v>
      </c>
      <c r="BH566" t="s">
        <v>72</v>
      </c>
      <c r="BI566">
        <v>31</v>
      </c>
      <c r="BJ566" t="s">
        <v>3261</v>
      </c>
      <c r="BK566" s="1" t="s">
        <v>17619</v>
      </c>
      <c r="BL566" t="s">
        <v>7385</v>
      </c>
      <c r="BM566" t="s">
        <v>72</v>
      </c>
      <c r="BN566" t="s">
        <v>72</v>
      </c>
      <c r="BO566" t="s">
        <v>72</v>
      </c>
      <c r="BP566" t="s">
        <v>72</v>
      </c>
      <c r="BQ566" t="s">
        <v>100</v>
      </c>
      <c r="BR566" t="s">
        <v>7386</v>
      </c>
      <c r="BS566" t="str">
        <f>HYPERLINK("https%3A%2F%2Fwww.webofscience.com%2Fwos%2Fwoscc%2Ffull-record%2FWOS:000460393800005","View Full Record in Web of Science")</f>
        <v>View Full Record in Web of Science</v>
      </c>
    </row>
    <row r="567" spans="1:71" x14ac:dyDescent="0.2">
      <c r="A567" t="s">
        <v>70</v>
      </c>
      <c r="B567" t="s">
        <v>7387</v>
      </c>
      <c r="C567" t="s">
        <v>72</v>
      </c>
      <c r="D567" t="s">
        <v>72</v>
      </c>
      <c r="E567" t="s">
        <v>72</v>
      </c>
      <c r="F567" t="s">
        <v>7388</v>
      </c>
      <c r="G567" t="s">
        <v>72</v>
      </c>
      <c r="H567" t="s">
        <v>72</v>
      </c>
      <c r="I567" t="s">
        <v>7389</v>
      </c>
      <c r="J567" t="s">
        <v>7390</v>
      </c>
      <c r="K567" t="s">
        <v>72</v>
      </c>
      <c r="L567" t="s">
        <v>72</v>
      </c>
      <c r="M567" t="s">
        <v>76</v>
      </c>
      <c r="N567" t="s">
        <v>77</v>
      </c>
      <c r="O567" t="s">
        <v>72</v>
      </c>
      <c r="P567" t="s">
        <v>72</v>
      </c>
      <c r="Q567" t="s">
        <v>72</v>
      </c>
      <c r="R567" t="s">
        <v>72</v>
      </c>
      <c r="S567" t="s">
        <v>72</v>
      </c>
      <c r="T567" t="s">
        <v>7391</v>
      </c>
      <c r="U567" t="s">
        <v>7392</v>
      </c>
      <c r="V567" t="s">
        <v>7393</v>
      </c>
      <c r="W567" t="s">
        <v>7394</v>
      </c>
      <c r="X567" t="s">
        <v>7395</v>
      </c>
      <c r="Y567" t="s">
        <v>7396</v>
      </c>
      <c r="Z567" t="s">
        <v>7397</v>
      </c>
      <c r="AA567" t="s">
        <v>72</v>
      </c>
      <c r="AB567" t="s">
        <v>72</v>
      </c>
      <c r="AC567" t="s">
        <v>7398</v>
      </c>
      <c r="AD567" t="s">
        <v>5942</v>
      </c>
      <c r="AE567" t="s">
        <v>7399</v>
      </c>
      <c r="AF567" t="s">
        <v>72</v>
      </c>
      <c r="AG567">
        <v>42</v>
      </c>
      <c r="AH567">
        <v>1</v>
      </c>
      <c r="AI567">
        <v>1</v>
      </c>
      <c r="AJ567">
        <v>0</v>
      </c>
      <c r="AK567">
        <v>7</v>
      </c>
      <c r="AL567" t="s">
        <v>1005</v>
      </c>
      <c r="AM567" t="s">
        <v>1006</v>
      </c>
      <c r="AN567" t="s">
        <v>1007</v>
      </c>
      <c r="AO567" t="s">
        <v>7400</v>
      </c>
      <c r="AP567" t="s">
        <v>72</v>
      </c>
      <c r="AQ567" t="s">
        <v>72</v>
      </c>
      <c r="AR567" t="s">
        <v>7401</v>
      </c>
      <c r="AS567" t="s">
        <v>7402</v>
      </c>
      <c r="AT567" t="s">
        <v>197</v>
      </c>
      <c r="AU567">
        <v>2017</v>
      </c>
      <c r="AV567">
        <v>6</v>
      </c>
      <c r="AW567">
        <v>2</v>
      </c>
      <c r="AX567" t="s">
        <v>72</v>
      </c>
      <c r="AY567" t="s">
        <v>72</v>
      </c>
      <c r="AZ567" t="s">
        <v>72</v>
      </c>
      <c r="BA567" t="s">
        <v>72</v>
      </c>
      <c r="BB567">
        <v>161</v>
      </c>
      <c r="BC567">
        <v>178</v>
      </c>
      <c r="BD567" t="s">
        <v>72</v>
      </c>
      <c r="BE567" t="s">
        <v>7403</v>
      </c>
      <c r="BF567" t="str">
        <f>HYPERLINK("http://dx.doi.org/10.1057/s41309-017-0019-8","http://dx.doi.org/10.1057/s41309-017-0019-8")</f>
        <v>http://dx.doi.org/10.1057/s41309-017-0019-8</v>
      </c>
      <c r="BG567" t="s">
        <v>72</v>
      </c>
      <c r="BH567" t="s">
        <v>72</v>
      </c>
      <c r="BI567">
        <v>18</v>
      </c>
      <c r="BJ567" t="s">
        <v>219</v>
      </c>
      <c r="BK567" s="1" t="s">
        <v>17619</v>
      </c>
      <c r="BL567" t="s">
        <v>7404</v>
      </c>
      <c r="BM567" t="s">
        <v>72</v>
      </c>
      <c r="BN567" t="s">
        <v>72</v>
      </c>
      <c r="BO567" t="s">
        <v>72</v>
      </c>
      <c r="BP567" t="s">
        <v>72</v>
      </c>
      <c r="BQ567" t="s">
        <v>100</v>
      </c>
      <c r="BR567" t="s">
        <v>7405</v>
      </c>
      <c r="BS567" t="str">
        <f>HYPERLINK("https%3A%2F%2Fwww.webofscience.com%2Fwos%2Fwoscc%2Ffull-record%2FWOS:000411382900003","View Full Record in Web of Science")</f>
        <v>View Full Record in Web of Science</v>
      </c>
    </row>
    <row r="568" spans="1:71" x14ac:dyDescent="0.2">
      <c r="A568" t="s">
        <v>70</v>
      </c>
      <c r="B568" t="s">
        <v>7406</v>
      </c>
      <c r="C568" t="s">
        <v>72</v>
      </c>
      <c r="D568" t="s">
        <v>72</v>
      </c>
      <c r="E568" t="s">
        <v>72</v>
      </c>
      <c r="F568" t="s">
        <v>7407</v>
      </c>
      <c r="G568" t="s">
        <v>72</v>
      </c>
      <c r="H568" t="s">
        <v>72</v>
      </c>
      <c r="I568" t="s">
        <v>7408</v>
      </c>
      <c r="J568" t="s">
        <v>488</v>
      </c>
      <c r="K568" t="s">
        <v>72</v>
      </c>
      <c r="L568" t="s">
        <v>72</v>
      </c>
      <c r="M568" t="s">
        <v>76</v>
      </c>
      <c r="N568" t="s">
        <v>77</v>
      </c>
      <c r="O568" t="s">
        <v>72</v>
      </c>
      <c r="P568" t="s">
        <v>72</v>
      </c>
      <c r="Q568" t="s">
        <v>72</v>
      </c>
      <c r="R568" t="s">
        <v>72</v>
      </c>
      <c r="S568" t="s">
        <v>72</v>
      </c>
      <c r="T568" t="s">
        <v>7409</v>
      </c>
      <c r="U568" t="s">
        <v>7410</v>
      </c>
      <c r="V568" t="s">
        <v>7411</v>
      </c>
      <c r="W568" t="s">
        <v>7412</v>
      </c>
      <c r="X568" t="s">
        <v>7413</v>
      </c>
      <c r="Y568" t="s">
        <v>7414</v>
      </c>
      <c r="Z568" t="s">
        <v>7415</v>
      </c>
      <c r="AA568" t="s">
        <v>7416</v>
      </c>
      <c r="AB568" t="s">
        <v>7417</v>
      </c>
      <c r="AC568" t="s">
        <v>7418</v>
      </c>
      <c r="AD568" t="s">
        <v>7419</v>
      </c>
      <c r="AE568" t="s">
        <v>7420</v>
      </c>
      <c r="AF568" t="s">
        <v>72</v>
      </c>
      <c r="AG568">
        <v>44</v>
      </c>
      <c r="AH568">
        <v>15</v>
      </c>
      <c r="AI568">
        <v>15</v>
      </c>
      <c r="AJ568">
        <v>1</v>
      </c>
      <c r="AK568">
        <v>4</v>
      </c>
      <c r="AL568" t="s">
        <v>336</v>
      </c>
      <c r="AM568" t="s">
        <v>337</v>
      </c>
      <c r="AN568" t="s">
        <v>338</v>
      </c>
      <c r="AO568" t="s">
        <v>496</v>
      </c>
      <c r="AP568" t="s">
        <v>497</v>
      </c>
      <c r="AQ568" t="s">
        <v>72</v>
      </c>
      <c r="AR568" t="s">
        <v>498</v>
      </c>
      <c r="AS568" t="s">
        <v>499</v>
      </c>
      <c r="AT568" t="s">
        <v>929</v>
      </c>
      <c r="AU568">
        <v>2017</v>
      </c>
      <c r="AV568">
        <v>18</v>
      </c>
      <c r="AW568">
        <v>4</v>
      </c>
      <c r="AX568" t="s">
        <v>72</v>
      </c>
      <c r="AY568" t="s">
        <v>72</v>
      </c>
      <c r="AZ568" t="s">
        <v>72</v>
      </c>
      <c r="BA568" t="s">
        <v>72</v>
      </c>
      <c r="BB568">
        <v>581</v>
      </c>
      <c r="BC568">
        <v>602</v>
      </c>
      <c r="BD568" t="s">
        <v>72</v>
      </c>
      <c r="BE568" t="s">
        <v>7421</v>
      </c>
      <c r="BF568" t="str">
        <f>HYPERLINK("http://dx.doi.org/10.1177/1465116517717071","http://dx.doi.org/10.1177/1465116517717071")</f>
        <v>http://dx.doi.org/10.1177/1465116517717071</v>
      </c>
      <c r="BG568" t="s">
        <v>72</v>
      </c>
      <c r="BH568" t="s">
        <v>72</v>
      </c>
      <c r="BI568">
        <v>22</v>
      </c>
      <c r="BJ568" t="s">
        <v>219</v>
      </c>
      <c r="BK568" s="1" t="s">
        <v>17619</v>
      </c>
      <c r="BL568" t="s">
        <v>7422</v>
      </c>
      <c r="BM568" t="s">
        <v>72</v>
      </c>
      <c r="BN568" t="s">
        <v>72</v>
      </c>
      <c r="BO568" t="s">
        <v>72</v>
      </c>
      <c r="BP568" t="s">
        <v>72</v>
      </c>
      <c r="BQ568" t="s">
        <v>100</v>
      </c>
      <c r="BR568" t="s">
        <v>7423</v>
      </c>
      <c r="BS568" t="str">
        <f>HYPERLINK("https%3A%2F%2Fwww.webofscience.com%2Fwos%2Fwoscc%2Ffull-record%2FWOS:000415358100004","View Full Record in Web of Science")</f>
        <v>View Full Record in Web of Science</v>
      </c>
    </row>
    <row r="569" spans="1:71" x14ac:dyDescent="0.2">
      <c r="A569" t="s">
        <v>70</v>
      </c>
      <c r="B569" t="s">
        <v>485</v>
      </c>
      <c r="C569" t="s">
        <v>72</v>
      </c>
      <c r="D569" t="s">
        <v>72</v>
      </c>
      <c r="E569" t="s">
        <v>72</v>
      </c>
      <c r="F569" t="s">
        <v>486</v>
      </c>
      <c r="G569" t="s">
        <v>72</v>
      </c>
      <c r="H569" t="s">
        <v>72</v>
      </c>
      <c r="I569" t="s">
        <v>7468</v>
      </c>
      <c r="J569" t="s">
        <v>2948</v>
      </c>
      <c r="K569" t="s">
        <v>72</v>
      </c>
      <c r="L569" t="s">
        <v>72</v>
      </c>
      <c r="M569" t="s">
        <v>76</v>
      </c>
      <c r="N569" t="s">
        <v>77</v>
      </c>
      <c r="O569" t="s">
        <v>72</v>
      </c>
      <c r="P569" t="s">
        <v>72</v>
      </c>
      <c r="Q569" t="s">
        <v>72</v>
      </c>
      <c r="R569" t="s">
        <v>72</v>
      </c>
      <c r="S569" t="s">
        <v>72</v>
      </c>
      <c r="T569" t="s">
        <v>72</v>
      </c>
      <c r="U569" t="s">
        <v>7469</v>
      </c>
      <c r="V569" t="s">
        <v>7470</v>
      </c>
      <c r="W569" t="s">
        <v>7471</v>
      </c>
      <c r="X569" t="s">
        <v>1983</v>
      </c>
      <c r="Y569" t="s">
        <v>7472</v>
      </c>
      <c r="Z569" t="s">
        <v>2971</v>
      </c>
      <c r="AA569" t="s">
        <v>72</v>
      </c>
      <c r="AB569" t="s">
        <v>72</v>
      </c>
      <c r="AC569" t="s">
        <v>72</v>
      </c>
      <c r="AD569" t="s">
        <v>72</v>
      </c>
      <c r="AE569" t="s">
        <v>72</v>
      </c>
      <c r="AF569" t="s">
        <v>72</v>
      </c>
      <c r="AG569">
        <v>36</v>
      </c>
      <c r="AH569">
        <v>48</v>
      </c>
      <c r="AI569">
        <v>48</v>
      </c>
      <c r="AJ569">
        <v>0</v>
      </c>
      <c r="AK569">
        <v>55</v>
      </c>
      <c r="AL569" t="s">
        <v>364</v>
      </c>
      <c r="AM569" t="s">
        <v>365</v>
      </c>
      <c r="AN569" t="s">
        <v>366</v>
      </c>
      <c r="AO569" t="s">
        <v>2956</v>
      </c>
      <c r="AP569" t="s">
        <v>2957</v>
      </c>
      <c r="AQ569" t="s">
        <v>72</v>
      </c>
      <c r="AR569" t="s">
        <v>2958</v>
      </c>
      <c r="AS569" t="s">
        <v>2959</v>
      </c>
      <c r="AT569" t="s">
        <v>72</v>
      </c>
      <c r="AU569">
        <v>2012</v>
      </c>
      <c r="AV569">
        <v>35</v>
      </c>
      <c r="AW569">
        <v>5</v>
      </c>
      <c r="AX569" t="s">
        <v>72</v>
      </c>
      <c r="AY569" t="s">
        <v>72</v>
      </c>
      <c r="AZ569" t="s">
        <v>72</v>
      </c>
      <c r="BA569" t="s">
        <v>72</v>
      </c>
      <c r="BB569">
        <v>1114</v>
      </c>
      <c r="BC569">
        <v>1133</v>
      </c>
      <c r="BD569" t="s">
        <v>72</v>
      </c>
      <c r="BE569" t="s">
        <v>7473</v>
      </c>
      <c r="BF569" t="str">
        <f>HYPERLINK("http://dx.doi.org/10.1080/01402382.2012.706413","http://dx.doi.org/10.1080/01402382.2012.706413")</f>
        <v>http://dx.doi.org/10.1080/01402382.2012.706413</v>
      </c>
      <c r="BG569" t="s">
        <v>72</v>
      </c>
      <c r="BH569" t="s">
        <v>72</v>
      </c>
      <c r="BI569">
        <v>20</v>
      </c>
      <c r="BJ569" t="s">
        <v>219</v>
      </c>
      <c r="BK569" s="1" t="s">
        <v>17619</v>
      </c>
      <c r="BL569" t="s">
        <v>7474</v>
      </c>
      <c r="BM569" t="s">
        <v>72</v>
      </c>
      <c r="BN569" t="s">
        <v>72</v>
      </c>
      <c r="BO569" t="s">
        <v>72</v>
      </c>
      <c r="BP569" t="s">
        <v>72</v>
      </c>
      <c r="BQ569" t="s">
        <v>100</v>
      </c>
      <c r="BR569" t="s">
        <v>7475</v>
      </c>
      <c r="BS569" t="str">
        <f>HYPERLINK("https%3A%2F%2Fwww.webofscience.com%2Fwos%2Fwoscc%2Ffull-record%2FWOS:000307926300009","View Full Record in Web of Science")</f>
        <v>View Full Record in Web of Science</v>
      </c>
    </row>
    <row r="570" spans="1:71" x14ac:dyDescent="0.2">
      <c r="A570" t="s">
        <v>70</v>
      </c>
      <c r="B570" t="s">
        <v>7497</v>
      </c>
      <c r="C570" t="s">
        <v>72</v>
      </c>
      <c r="D570" t="s">
        <v>72</v>
      </c>
      <c r="E570" t="s">
        <v>72</v>
      </c>
      <c r="F570" t="s">
        <v>7498</v>
      </c>
      <c r="G570" t="s">
        <v>72</v>
      </c>
      <c r="H570" t="s">
        <v>72</v>
      </c>
      <c r="I570" t="s">
        <v>7499</v>
      </c>
      <c r="J570" t="s">
        <v>4938</v>
      </c>
      <c r="K570" t="s">
        <v>72</v>
      </c>
      <c r="L570" t="s">
        <v>72</v>
      </c>
      <c r="M570" t="s">
        <v>76</v>
      </c>
      <c r="N570" t="s">
        <v>352</v>
      </c>
      <c r="O570" t="s">
        <v>72</v>
      </c>
      <c r="P570" t="s">
        <v>72</v>
      </c>
      <c r="Q570" t="s">
        <v>72</v>
      </c>
      <c r="R570" t="s">
        <v>72</v>
      </c>
      <c r="S570" t="s">
        <v>72</v>
      </c>
      <c r="T570" t="s">
        <v>72</v>
      </c>
      <c r="U570" t="s">
        <v>7500</v>
      </c>
      <c r="V570" t="s">
        <v>7501</v>
      </c>
      <c r="W570" t="s">
        <v>7502</v>
      </c>
      <c r="X570" t="s">
        <v>2020</v>
      </c>
      <c r="Y570" t="s">
        <v>7503</v>
      </c>
      <c r="Z570" t="s">
        <v>7504</v>
      </c>
      <c r="AA570" t="s">
        <v>72</v>
      </c>
      <c r="AB570" t="s">
        <v>7505</v>
      </c>
      <c r="AC570" t="s">
        <v>7506</v>
      </c>
      <c r="AD570" t="s">
        <v>7507</v>
      </c>
      <c r="AE570" t="s">
        <v>7508</v>
      </c>
      <c r="AF570" t="s">
        <v>72</v>
      </c>
      <c r="AG570">
        <v>46</v>
      </c>
      <c r="AH570">
        <v>0</v>
      </c>
      <c r="AI570">
        <v>0</v>
      </c>
      <c r="AJ570">
        <v>0</v>
      </c>
      <c r="AK570">
        <v>0</v>
      </c>
      <c r="AL570" t="s">
        <v>1260</v>
      </c>
      <c r="AM570" t="s">
        <v>964</v>
      </c>
      <c r="AN570" t="s">
        <v>965</v>
      </c>
      <c r="AO570" t="s">
        <v>4947</v>
      </c>
      <c r="AP570" t="s">
        <v>4948</v>
      </c>
      <c r="AQ570" t="s">
        <v>72</v>
      </c>
      <c r="AR570" t="s">
        <v>4949</v>
      </c>
      <c r="AS570" t="s">
        <v>4950</v>
      </c>
      <c r="AT570" t="s">
        <v>72</v>
      </c>
      <c r="AU570" t="s">
        <v>72</v>
      </c>
      <c r="AV570" t="s">
        <v>72</v>
      </c>
      <c r="AW570" t="s">
        <v>72</v>
      </c>
      <c r="AX570" t="s">
        <v>72</v>
      </c>
      <c r="AY570" t="s">
        <v>72</v>
      </c>
      <c r="AZ570" t="s">
        <v>72</v>
      </c>
      <c r="BA570" t="s">
        <v>72</v>
      </c>
      <c r="BB570" t="s">
        <v>72</v>
      </c>
      <c r="BC570" t="s">
        <v>72</v>
      </c>
      <c r="BD570" t="s">
        <v>72</v>
      </c>
      <c r="BE570" t="s">
        <v>7509</v>
      </c>
      <c r="BF570" t="str">
        <f>HYPERLINK("http://dx.doi.org/10.1111/ajps.12743","http://dx.doi.org/10.1111/ajps.12743")</f>
        <v>http://dx.doi.org/10.1111/ajps.12743</v>
      </c>
      <c r="BG570" t="s">
        <v>72</v>
      </c>
      <c r="BH570" t="s">
        <v>2868</v>
      </c>
      <c r="BI570">
        <v>21</v>
      </c>
      <c r="BJ570" t="s">
        <v>219</v>
      </c>
      <c r="BK570" s="1" t="s">
        <v>17619</v>
      </c>
      <c r="BL570" t="s">
        <v>7510</v>
      </c>
      <c r="BM570" t="s">
        <v>72</v>
      </c>
      <c r="BN570" t="s">
        <v>280</v>
      </c>
      <c r="BO570" t="s">
        <v>72</v>
      </c>
      <c r="BP570" t="s">
        <v>72</v>
      </c>
      <c r="BQ570" t="s">
        <v>100</v>
      </c>
      <c r="BR570" t="s">
        <v>7511</v>
      </c>
      <c r="BS570" t="str">
        <f>HYPERLINK("https%3A%2F%2Fwww.webofscience.com%2Fwos%2Fwoscc%2Ffull-record%2FWOS:000865169000001","View Full Record in Web of Science")</f>
        <v>View Full Record in Web of Science</v>
      </c>
    </row>
    <row r="571" spans="1:71" x14ac:dyDescent="0.2">
      <c r="A571" t="s">
        <v>70</v>
      </c>
      <c r="B571" t="s">
        <v>7536</v>
      </c>
      <c r="C571" t="s">
        <v>72</v>
      </c>
      <c r="D571" t="s">
        <v>72</v>
      </c>
      <c r="E571" t="s">
        <v>72</v>
      </c>
      <c r="F571" t="s">
        <v>7537</v>
      </c>
      <c r="G571" t="s">
        <v>72</v>
      </c>
      <c r="H571" t="s">
        <v>72</v>
      </c>
      <c r="I571" t="s">
        <v>7538</v>
      </c>
      <c r="J571" t="s">
        <v>488</v>
      </c>
      <c r="K571" t="s">
        <v>72</v>
      </c>
      <c r="L571" t="s">
        <v>72</v>
      </c>
      <c r="M571" t="s">
        <v>76</v>
      </c>
      <c r="N571" t="s">
        <v>77</v>
      </c>
      <c r="O571" t="s">
        <v>72</v>
      </c>
      <c r="P571" t="s">
        <v>72</v>
      </c>
      <c r="Q571" t="s">
        <v>72</v>
      </c>
      <c r="R571" t="s">
        <v>72</v>
      </c>
      <c r="S571" t="s">
        <v>72</v>
      </c>
      <c r="T571" t="s">
        <v>7539</v>
      </c>
      <c r="U571" t="s">
        <v>7540</v>
      </c>
      <c r="V571" t="s">
        <v>7541</v>
      </c>
      <c r="W571" t="s">
        <v>7542</v>
      </c>
      <c r="X571" t="s">
        <v>7543</v>
      </c>
      <c r="Y571" t="s">
        <v>7544</v>
      </c>
      <c r="Z571" t="s">
        <v>7545</v>
      </c>
      <c r="AA571" t="s">
        <v>7546</v>
      </c>
      <c r="AB571" t="s">
        <v>7547</v>
      </c>
      <c r="AC571" t="s">
        <v>72</v>
      </c>
      <c r="AD571" t="s">
        <v>72</v>
      </c>
      <c r="AE571" t="s">
        <v>72</v>
      </c>
      <c r="AF571" t="s">
        <v>72</v>
      </c>
      <c r="AG571">
        <v>50</v>
      </c>
      <c r="AH571">
        <v>8</v>
      </c>
      <c r="AI571">
        <v>8</v>
      </c>
      <c r="AJ571">
        <v>0</v>
      </c>
      <c r="AK571">
        <v>1</v>
      </c>
      <c r="AL571" t="s">
        <v>336</v>
      </c>
      <c r="AM571" t="s">
        <v>337</v>
      </c>
      <c r="AN571" t="s">
        <v>338</v>
      </c>
      <c r="AO571" t="s">
        <v>496</v>
      </c>
      <c r="AP571" t="s">
        <v>497</v>
      </c>
      <c r="AQ571" t="s">
        <v>72</v>
      </c>
      <c r="AR571" t="s">
        <v>498</v>
      </c>
      <c r="AS571" t="s">
        <v>499</v>
      </c>
      <c r="AT571" t="s">
        <v>95</v>
      </c>
      <c r="AU571">
        <v>2019</v>
      </c>
      <c r="AV571">
        <v>20</v>
      </c>
      <c r="AW571">
        <v>3</v>
      </c>
      <c r="AX571" t="s">
        <v>72</v>
      </c>
      <c r="AY571" t="s">
        <v>72</v>
      </c>
      <c r="AZ571" t="s">
        <v>72</v>
      </c>
      <c r="BA571" t="s">
        <v>72</v>
      </c>
      <c r="BB571">
        <v>511</v>
      </c>
      <c r="BC571">
        <v>531</v>
      </c>
      <c r="BD571" t="s">
        <v>72</v>
      </c>
      <c r="BE571" t="s">
        <v>7548</v>
      </c>
      <c r="BF571" t="str">
        <f>HYPERLINK("http://dx.doi.org/10.1177/1465116519839152","http://dx.doi.org/10.1177/1465116519839152")</f>
        <v>http://dx.doi.org/10.1177/1465116519839152</v>
      </c>
      <c r="BG571" t="s">
        <v>72</v>
      </c>
      <c r="BH571" t="s">
        <v>72</v>
      </c>
      <c r="BI571">
        <v>21</v>
      </c>
      <c r="BJ571" t="s">
        <v>219</v>
      </c>
      <c r="BK571" s="1" t="s">
        <v>17619</v>
      </c>
      <c r="BL571" t="s">
        <v>7549</v>
      </c>
      <c r="BM571" t="s">
        <v>72</v>
      </c>
      <c r="BN571" t="s">
        <v>6375</v>
      </c>
      <c r="BO571" t="s">
        <v>72</v>
      </c>
      <c r="BP571" t="s">
        <v>72</v>
      </c>
      <c r="BQ571" t="s">
        <v>100</v>
      </c>
      <c r="BR571" t="s">
        <v>7550</v>
      </c>
      <c r="BS571" t="str">
        <f>HYPERLINK("https%3A%2F%2Fwww.webofscience.com%2Fwos%2Fwoscc%2Ffull-record%2FWOS:000479248100009","View Full Record in Web of Science")</f>
        <v>View Full Record in Web of Science</v>
      </c>
    </row>
    <row r="572" spans="1:71" x14ac:dyDescent="0.2">
      <c r="A572" t="s">
        <v>70</v>
      </c>
      <c r="B572" t="s">
        <v>7551</v>
      </c>
      <c r="C572" t="s">
        <v>72</v>
      </c>
      <c r="D572" t="s">
        <v>72</v>
      </c>
      <c r="E572" t="s">
        <v>72</v>
      </c>
      <c r="F572" t="s">
        <v>7552</v>
      </c>
      <c r="G572" t="s">
        <v>72</v>
      </c>
      <c r="H572" t="s">
        <v>72</v>
      </c>
      <c r="I572" t="s">
        <v>7553</v>
      </c>
      <c r="J572" t="s">
        <v>227</v>
      </c>
      <c r="K572" t="s">
        <v>72</v>
      </c>
      <c r="L572" t="s">
        <v>72</v>
      </c>
      <c r="M572" t="s">
        <v>76</v>
      </c>
      <c r="N572" t="s">
        <v>77</v>
      </c>
      <c r="O572" t="s">
        <v>72</v>
      </c>
      <c r="P572" t="s">
        <v>72</v>
      </c>
      <c r="Q572" t="s">
        <v>72</v>
      </c>
      <c r="R572" t="s">
        <v>72</v>
      </c>
      <c r="S572" t="s">
        <v>72</v>
      </c>
      <c r="T572" t="s">
        <v>7554</v>
      </c>
      <c r="U572" t="s">
        <v>7555</v>
      </c>
      <c r="V572" t="s">
        <v>7556</v>
      </c>
      <c r="W572" t="s">
        <v>7557</v>
      </c>
      <c r="X572" t="s">
        <v>7558</v>
      </c>
      <c r="Y572" t="s">
        <v>7559</v>
      </c>
      <c r="Z572" t="s">
        <v>7560</v>
      </c>
      <c r="AA572" t="s">
        <v>72</v>
      </c>
      <c r="AB572" t="s">
        <v>7561</v>
      </c>
      <c r="AC572" t="s">
        <v>72</v>
      </c>
      <c r="AD572" t="s">
        <v>72</v>
      </c>
      <c r="AE572" t="s">
        <v>72</v>
      </c>
      <c r="AF572" t="s">
        <v>72</v>
      </c>
      <c r="AG572">
        <v>19</v>
      </c>
      <c r="AH572">
        <v>1</v>
      </c>
      <c r="AI572">
        <v>1</v>
      </c>
      <c r="AJ572">
        <v>2</v>
      </c>
      <c r="AK572">
        <v>2</v>
      </c>
      <c r="AL572" t="s">
        <v>240</v>
      </c>
      <c r="AM572" t="s">
        <v>241</v>
      </c>
      <c r="AN572" t="s">
        <v>242</v>
      </c>
      <c r="AO572" t="s">
        <v>243</v>
      </c>
      <c r="AP572" t="s">
        <v>244</v>
      </c>
      <c r="AQ572" t="s">
        <v>72</v>
      </c>
      <c r="AR572" t="s">
        <v>245</v>
      </c>
      <c r="AS572" t="s">
        <v>246</v>
      </c>
      <c r="AT572" t="s">
        <v>149</v>
      </c>
      <c r="AU572">
        <v>2022</v>
      </c>
      <c r="AV572">
        <v>30</v>
      </c>
      <c r="AW572">
        <v>2</v>
      </c>
      <c r="AX572" t="s">
        <v>72</v>
      </c>
      <c r="AY572" t="s">
        <v>72</v>
      </c>
      <c r="AZ572" t="s">
        <v>72</v>
      </c>
      <c r="BA572" t="s">
        <v>72</v>
      </c>
      <c r="BB572">
        <v>289</v>
      </c>
      <c r="BC572">
        <v>297</v>
      </c>
      <c r="BD572" t="s">
        <v>7562</v>
      </c>
      <c r="BE572" t="s">
        <v>7563</v>
      </c>
      <c r="BF572" t="str">
        <f>HYPERLINK("http://dx.doi.org/10.1017/pan.2021.2","http://dx.doi.org/10.1017/pan.2021.2")</f>
        <v>http://dx.doi.org/10.1017/pan.2021.2</v>
      </c>
      <c r="BG572" t="s">
        <v>72</v>
      </c>
      <c r="BH572" t="s">
        <v>72</v>
      </c>
      <c r="BI572">
        <v>9</v>
      </c>
      <c r="BJ572" t="s">
        <v>219</v>
      </c>
      <c r="BK572" s="1" t="s">
        <v>17619</v>
      </c>
      <c r="BL572" t="s">
        <v>7564</v>
      </c>
      <c r="BM572" t="s">
        <v>72</v>
      </c>
      <c r="BN572" t="s">
        <v>6174</v>
      </c>
      <c r="BO572" t="s">
        <v>72</v>
      </c>
      <c r="BP572" t="s">
        <v>72</v>
      </c>
      <c r="BQ572" t="s">
        <v>100</v>
      </c>
      <c r="BR572" t="s">
        <v>7565</v>
      </c>
      <c r="BS572" t="str">
        <f>HYPERLINK("https%3A%2F%2Fwww.webofscience.com%2Fwos%2Fwoscc%2Ffull-record%2FWOS:000766699500011","View Full Record in Web of Science")</f>
        <v>View Full Record in Web of Science</v>
      </c>
    </row>
    <row r="573" spans="1:71" x14ac:dyDescent="0.2">
      <c r="A573" t="s">
        <v>70</v>
      </c>
      <c r="B573" t="s">
        <v>7566</v>
      </c>
      <c r="C573" t="s">
        <v>72</v>
      </c>
      <c r="D573" t="s">
        <v>72</v>
      </c>
      <c r="E573" t="s">
        <v>72</v>
      </c>
      <c r="F573" t="s">
        <v>7567</v>
      </c>
      <c r="G573" t="s">
        <v>72</v>
      </c>
      <c r="H573" t="s">
        <v>72</v>
      </c>
      <c r="I573" t="s">
        <v>7568</v>
      </c>
      <c r="J573" t="s">
        <v>1196</v>
      </c>
      <c r="K573" t="s">
        <v>72</v>
      </c>
      <c r="L573" t="s">
        <v>72</v>
      </c>
      <c r="M573" t="s">
        <v>76</v>
      </c>
      <c r="N573" t="s">
        <v>77</v>
      </c>
      <c r="O573" t="s">
        <v>72</v>
      </c>
      <c r="P573" t="s">
        <v>72</v>
      </c>
      <c r="Q573" t="s">
        <v>72</v>
      </c>
      <c r="R573" t="s">
        <v>72</v>
      </c>
      <c r="S573" t="s">
        <v>72</v>
      </c>
      <c r="T573" t="s">
        <v>7569</v>
      </c>
      <c r="U573" t="s">
        <v>7570</v>
      </c>
      <c r="V573" t="s">
        <v>7571</v>
      </c>
      <c r="W573" t="s">
        <v>7572</v>
      </c>
      <c r="X573" t="s">
        <v>7573</v>
      </c>
      <c r="Y573" t="s">
        <v>7574</v>
      </c>
      <c r="Z573" t="s">
        <v>7575</v>
      </c>
      <c r="AA573" t="s">
        <v>72</v>
      </c>
      <c r="AB573" t="s">
        <v>7576</v>
      </c>
      <c r="AC573" t="s">
        <v>7577</v>
      </c>
      <c r="AD573" t="s">
        <v>7578</v>
      </c>
      <c r="AE573" t="s">
        <v>7579</v>
      </c>
      <c r="AF573" t="s">
        <v>72</v>
      </c>
      <c r="AG573">
        <v>72</v>
      </c>
      <c r="AH573">
        <v>1</v>
      </c>
      <c r="AI573">
        <v>1</v>
      </c>
      <c r="AJ573">
        <v>3</v>
      </c>
      <c r="AK573">
        <v>6</v>
      </c>
      <c r="AL573" t="s">
        <v>240</v>
      </c>
      <c r="AM573" t="s">
        <v>707</v>
      </c>
      <c r="AN573" t="s">
        <v>1205</v>
      </c>
      <c r="AO573" t="s">
        <v>1206</v>
      </c>
      <c r="AP573" t="s">
        <v>1207</v>
      </c>
      <c r="AQ573" t="s">
        <v>72</v>
      </c>
      <c r="AR573" t="s">
        <v>1208</v>
      </c>
      <c r="AS573" t="s">
        <v>1209</v>
      </c>
      <c r="AT573" t="s">
        <v>149</v>
      </c>
      <c r="AU573">
        <v>2022</v>
      </c>
      <c r="AV573">
        <v>52</v>
      </c>
      <c r="AW573">
        <v>2</v>
      </c>
      <c r="AX573" t="s">
        <v>72</v>
      </c>
      <c r="AY573" t="s">
        <v>72</v>
      </c>
      <c r="AZ573" t="s">
        <v>72</v>
      </c>
      <c r="BA573" t="s">
        <v>72</v>
      </c>
      <c r="BB573">
        <v>613</v>
      </c>
      <c r="BC573">
        <v>630</v>
      </c>
      <c r="BD573" t="s">
        <v>7580</v>
      </c>
      <c r="BE573" t="s">
        <v>7581</v>
      </c>
      <c r="BF573" t="str">
        <f>HYPERLINK("http://dx.doi.org/10.1017/S0007123420000617","http://dx.doi.org/10.1017/S0007123420000617")</f>
        <v>http://dx.doi.org/10.1017/S0007123420000617</v>
      </c>
      <c r="BG573" t="s">
        <v>72</v>
      </c>
      <c r="BH573" t="s">
        <v>72</v>
      </c>
      <c r="BI573">
        <v>18</v>
      </c>
      <c r="BJ573" t="s">
        <v>219</v>
      </c>
      <c r="BK573" s="1" t="s">
        <v>17619</v>
      </c>
      <c r="BL573" t="s">
        <v>7582</v>
      </c>
      <c r="BM573" t="s">
        <v>72</v>
      </c>
      <c r="BN573" t="s">
        <v>280</v>
      </c>
      <c r="BO573" t="s">
        <v>72</v>
      </c>
      <c r="BP573" t="s">
        <v>72</v>
      </c>
      <c r="BQ573" t="s">
        <v>100</v>
      </c>
      <c r="BR573" t="s">
        <v>7583</v>
      </c>
      <c r="BS573" t="str">
        <f>HYPERLINK("https%3A%2F%2Fwww.webofscience.com%2Fwos%2Fwoscc%2Ffull-record%2FWOS:000772490800009","View Full Record in Web of Science")</f>
        <v>View Full Record in Web of Science</v>
      </c>
    </row>
    <row r="574" spans="1:71" x14ac:dyDescent="0.2">
      <c r="A574" t="s">
        <v>70</v>
      </c>
      <c r="B574" t="s">
        <v>7944</v>
      </c>
      <c r="C574" t="s">
        <v>72</v>
      </c>
      <c r="D574" t="s">
        <v>72</v>
      </c>
      <c r="E574" t="s">
        <v>72</v>
      </c>
      <c r="F574" t="s">
        <v>7945</v>
      </c>
      <c r="G574" t="s">
        <v>72</v>
      </c>
      <c r="H574" t="s">
        <v>72</v>
      </c>
      <c r="I574" t="s">
        <v>7946</v>
      </c>
      <c r="J574" t="s">
        <v>2948</v>
      </c>
      <c r="K574" t="s">
        <v>72</v>
      </c>
      <c r="L574" t="s">
        <v>72</v>
      </c>
      <c r="M574" t="s">
        <v>76</v>
      </c>
      <c r="N574" t="s">
        <v>77</v>
      </c>
      <c r="O574" t="s">
        <v>72</v>
      </c>
      <c r="P574" t="s">
        <v>72</v>
      </c>
      <c r="Q574" t="s">
        <v>72</v>
      </c>
      <c r="R574" t="s">
        <v>72</v>
      </c>
      <c r="S574" t="s">
        <v>72</v>
      </c>
      <c r="T574" t="s">
        <v>7947</v>
      </c>
      <c r="U574" t="s">
        <v>7948</v>
      </c>
      <c r="V574" t="s">
        <v>7949</v>
      </c>
      <c r="W574" t="s">
        <v>7950</v>
      </c>
      <c r="X574" t="s">
        <v>7951</v>
      </c>
      <c r="Y574" t="s">
        <v>7952</v>
      </c>
      <c r="Z574" t="s">
        <v>7953</v>
      </c>
      <c r="AA574" t="s">
        <v>7954</v>
      </c>
      <c r="AB574" t="s">
        <v>7955</v>
      </c>
      <c r="AC574" t="s">
        <v>7956</v>
      </c>
      <c r="AD574" t="s">
        <v>7957</v>
      </c>
      <c r="AE574" t="s">
        <v>7958</v>
      </c>
      <c r="AF574" t="s">
        <v>72</v>
      </c>
      <c r="AG574">
        <v>68</v>
      </c>
      <c r="AH574">
        <v>1</v>
      </c>
      <c r="AI574">
        <v>1</v>
      </c>
      <c r="AJ574">
        <v>0</v>
      </c>
      <c r="AK574">
        <v>4</v>
      </c>
      <c r="AL574" t="s">
        <v>364</v>
      </c>
      <c r="AM574" t="s">
        <v>365</v>
      </c>
      <c r="AN574" t="s">
        <v>366</v>
      </c>
      <c r="AO574" t="s">
        <v>2956</v>
      </c>
      <c r="AP574" t="s">
        <v>2957</v>
      </c>
      <c r="AQ574" t="s">
        <v>72</v>
      </c>
      <c r="AR574" t="s">
        <v>2958</v>
      </c>
      <c r="AS574" t="s">
        <v>2959</v>
      </c>
      <c r="AT574" t="s">
        <v>1232</v>
      </c>
      <c r="AU574">
        <v>2022</v>
      </c>
      <c r="AV574">
        <v>45</v>
      </c>
      <c r="AW574">
        <v>4</v>
      </c>
      <c r="AX574" t="s">
        <v>72</v>
      </c>
      <c r="AY574" t="s">
        <v>72</v>
      </c>
      <c r="AZ574" t="s">
        <v>72</v>
      </c>
      <c r="BA574" t="s">
        <v>72</v>
      </c>
      <c r="BB574">
        <v>816</v>
      </c>
      <c r="BC574">
        <v>840</v>
      </c>
      <c r="BD574" t="s">
        <v>72</v>
      </c>
      <c r="BE574" t="s">
        <v>7959</v>
      </c>
      <c r="BF574" t="str">
        <f>HYPERLINK("http://dx.doi.org/10.1080/01402382.2021.1910778","http://dx.doi.org/10.1080/01402382.2021.1910778")</f>
        <v>http://dx.doi.org/10.1080/01402382.2021.1910778</v>
      </c>
      <c r="BG574" t="s">
        <v>72</v>
      </c>
      <c r="BH574" t="s">
        <v>397</v>
      </c>
      <c r="BI574">
        <v>25</v>
      </c>
      <c r="BJ574" t="s">
        <v>219</v>
      </c>
      <c r="BK574" s="1" t="s">
        <v>17619</v>
      </c>
      <c r="BL574" t="s">
        <v>7960</v>
      </c>
      <c r="BM574" t="s">
        <v>72</v>
      </c>
      <c r="BN574" t="s">
        <v>2991</v>
      </c>
      <c r="BO574" t="s">
        <v>72</v>
      </c>
      <c r="BP574" t="s">
        <v>72</v>
      </c>
      <c r="BQ574" t="s">
        <v>100</v>
      </c>
      <c r="BR574" t="s">
        <v>7961</v>
      </c>
      <c r="BS574" t="str">
        <f>HYPERLINK("https%3A%2F%2Fwww.webofscience.com%2Fwos%2Fwoscc%2Ffull-record%2FWOS:000646167500001","View Full Record in Web of Science")</f>
        <v>View Full Record in Web of Science</v>
      </c>
    </row>
    <row r="575" spans="1:71" x14ac:dyDescent="0.2">
      <c r="A575" t="s">
        <v>70</v>
      </c>
      <c r="B575" t="s">
        <v>8253</v>
      </c>
      <c r="C575" t="s">
        <v>72</v>
      </c>
      <c r="D575" t="s">
        <v>72</v>
      </c>
      <c r="E575" t="s">
        <v>72</v>
      </c>
      <c r="F575" t="s">
        <v>8254</v>
      </c>
      <c r="G575" t="s">
        <v>72</v>
      </c>
      <c r="H575" t="s">
        <v>72</v>
      </c>
      <c r="I575" t="s">
        <v>8255</v>
      </c>
      <c r="J575" t="s">
        <v>227</v>
      </c>
      <c r="K575" t="s">
        <v>72</v>
      </c>
      <c r="L575" t="s">
        <v>72</v>
      </c>
      <c r="M575" t="s">
        <v>76</v>
      </c>
      <c r="N575" t="s">
        <v>77</v>
      </c>
      <c r="O575" t="s">
        <v>72</v>
      </c>
      <c r="P575" t="s">
        <v>72</v>
      </c>
      <c r="Q575" t="s">
        <v>72</v>
      </c>
      <c r="R575" t="s">
        <v>72</v>
      </c>
      <c r="S575" t="s">
        <v>72</v>
      </c>
      <c r="T575" t="s">
        <v>8256</v>
      </c>
      <c r="U575" t="s">
        <v>8257</v>
      </c>
      <c r="V575" t="s">
        <v>8258</v>
      </c>
      <c r="W575" t="s">
        <v>8259</v>
      </c>
      <c r="X575" t="s">
        <v>8260</v>
      </c>
      <c r="Y575" t="s">
        <v>8261</v>
      </c>
      <c r="Z575" t="s">
        <v>8262</v>
      </c>
      <c r="AA575" t="s">
        <v>72</v>
      </c>
      <c r="AB575" t="s">
        <v>8263</v>
      </c>
      <c r="AC575" t="s">
        <v>72</v>
      </c>
      <c r="AD575" t="s">
        <v>72</v>
      </c>
      <c r="AE575" t="s">
        <v>72</v>
      </c>
      <c r="AF575" t="s">
        <v>72</v>
      </c>
      <c r="AG575">
        <v>52</v>
      </c>
      <c r="AH575">
        <v>7</v>
      </c>
      <c r="AI575">
        <v>7</v>
      </c>
      <c r="AJ575">
        <v>1</v>
      </c>
      <c r="AK575">
        <v>16</v>
      </c>
      <c r="AL575" t="s">
        <v>240</v>
      </c>
      <c r="AM575" t="s">
        <v>241</v>
      </c>
      <c r="AN575" t="s">
        <v>242</v>
      </c>
      <c r="AO575" t="s">
        <v>243</v>
      </c>
      <c r="AP575" t="s">
        <v>244</v>
      </c>
      <c r="AQ575" t="s">
        <v>72</v>
      </c>
      <c r="AR575" t="s">
        <v>245</v>
      </c>
      <c r="AS575" t="s">
        <v>246</v>
      </c>
      <c r="AT575" t="s">
        <v>776</v>
      </c>
      <c r="AU575">
        <v>2020</v>
      </c>
      <c r="AV575">
        <v>28</v>
      </c>
      <c r="AW575">
        <v>3</v>
      </c>
      <c r="AX575" t="s">
        <v>72</v>
      </c>
      <c r="AY575" t="s">
        <v>72</v>
      </c>
      <c r="AZ575" t="s">
        <v>72</v>
      </c>
      <c r="BA575" t="s">
        <v>72</v>
      </c>
      <c r="BB575">
        <v>395</v>
      </c>
      <c r="BC575">
        <v>411</v>
      </c>
      <c r="BD575" t="s">
        <v>8264</v>
      </c>
      <c r="BE575" t="s">
        <v>8265</v>
      </c>
      <c r="BF575" t="str">
        <f>HYPERLINK("http://dx.doi.org/10.1017/pan.2019.46","http://dx.doi.org/10.1017/pan.2019.46")</f>
        <v>http://dx.doi.org/10.1017/pan.2019.46</v>
      </c>
      <c r="BG575" t="s">
        <v>72</v>
      </c>
      <c r="BH575" t="s">
        <v>72</v>
      </c>
      <c r="BI575">
        <v>17</v>
      </c>
      <c r="BJ575" t="s">
        <v>219</v>
      </c>
      <c r="BK575" s="1" t="s">
        <v>17619</v>
      </c>
      <c r="BL575" t="s">
        <v>8266</v>
      </c>
      <c r="BM575" t="s">
        <v>72</v>
      </c>
      <c r="BN575" t="s">
        <v>72</v>
      </c>
      <c r="BO575" t="s">
        <v>72</v>
      </c>
      <c r="BP575" t="s">
        <v>72</v>
      </c>
      <c r="BQ575" t="s">
        <v>100</v>
      </c>
      <c r="BR575" t="s">
        <v>8267</v>
      </c>
      <c r="BS575" t="str">
        <f>HYPERLINK("https%3A%2F%2Fwww.webofscience.com%2Fwos%2Fwoscc%2Ffull-record%2FWOS:000537176300006","View Full Record in Web of Science")</f>
        <v>View Full Record in Web of Science</v>
      </c>
    </row>
    <row r="576" spans="1:71" x14ac:dyDescent="0.2">
      <c r="A576" t="s">
        <v>70</v>
      </c>
      <c r="B576" t="s">
        <v>8311</v>
      </c>
      <c r="C576" t="s">
        <v>72</v>
      </c>
      <c r="D576" t="s">
        <v>72</v>
      </c>
      <c r="E576" t="s">
        <v>72</v>
      </c>
      <c r="F576" t="s">
        <v>8312</v>
      </c>
      <c r="G576" t="s">
        <v>72</v>
      </c>
      <c r="H576" t="s">
        <v>72</v>
      </c>
      <c r="I576" t="s">
        <v>8313</v>
      </c>
      <c r="J576" t="s">
        <v>1196</v>
      </c>
      <c r="K576" t="s">
        <v>72</v>
      </c>
      <c r="L576" t="s">
        <v>72</v>
      </c>
      <c r="M576" t="s">
        <v>76</v>
      </c>
      <c r="N576" t="s">
        <v>4854</v>
      </c>
      <c r="O576" t="s">
        <v>8314</v>
      </c>
      <c r="P576">
        <v>2006</v>
      </c>
      <c r="Q576" t="s">
        <v>8315</v>
      </c>
      <c r="R576" t="s">
        <v>72</v>
      </c>
      <c r="S576" t="s">
        <v>8316</v>
      </c>
      <c r="T576" t="s">
        <v>72</v>
      </c>
      <c r="U576" t="s">
        <v>8317</v>
      </c>
      <c r="V576" t="s">
        <v>8318</v>
      </c>
      <c r="W576" t="s">
        <v>8319</v>
      </c>
      <c r="X576" t="s">
        <v>8320</v>
      </c>
      <c r="Y576" t="s">
        <v>8321</v>
      </c>
      <c r="Z576" t="s">
        <v>72</v>
      </c>
      <c r="AA576" t="s">
        <v>72</v>
      </c>
      <c r="AB576" t="s">
        <v>72</v>
      </c>
      <c r="AC576" t="s">
        <v>72</v>
      </c>
      <c r="AD576" t="s">
        <v>72</v>
      </c>
      <c r="AE576" t="s">
        <v>72</v>
      </c>
      <c r="AF576" t="s">
        <v>72</v>
      </c>
      <c r="AG576">
        <v>86</v>
      </c>
      <c r="AH576">
        <v>31</v>
      </c>
      <c r="AI576">
        <v>31</v>
      </c>
      <c r="AJ576">
        <v>1</v>
      </c>
      <c r="AK576">
        <v>7</v>
      </c>
      <c r="AL576" t="s">
        <v>240</v>
      </c>
      <c r="AM576" t="s">
        <v>707</v>
      </c>
      <c r="AN576" t="s">
        <v>1205</v>
      </c>
      <c r="AO576" t="s">
        <v>1206</v>
      </c>
      <c r="AP576" t="s">
        <v>1207</v>
      </c>
      <c r="AQ576" t="s">
        <v>72</v>
      </c>
      <c r="AR576" t="s">
        <v>1208</v>
      </c>
      <c r="AS576" t="s">
        <v>1209</v>
      </c>
      <c r="AT576" t="s">
        <v>776</v>
      </c>
      <c r="AU576">
        <v>2008</v>
      </c>
      <c r="AV576">
        <v>38</v>
      </c>
      <c r="AW576" t="s">
        <v>72</v>
      </c>
      <c r="AX576">
        <v>3</v>
      </c>
      <c r="AY576" t="s">
        <v>72</v>
      </c>
      <c r="AZ576" t="s">
        <v>72</v>
      </c>
      <c r="BA576" t="s">
        <v>72</v>
      </c>
      <c r="BB576">
        <v>383</v>
      </c>
      <c r="BC576">
        <v>410</v>
      </c>
      <c r="BD576" t="s">
        <v>72</v>
      </c>
      <c r="BE576" t="s">
        <v>8322</v>
      </c>
      <c r="BF576" t="str">
        <f>HYPERLINK("http://dx.doi.org/10.1017/S0007123408000203","http://dx.doi.org/10.1017/S0007123408000203")</f>
        <v>http://dx.doi.org/10.1017/S0007123408000203</v>
      </c>
      <c r="BG576" t="s">
        <v>72</v>
      </c>
      <c r="BH576" t="s">
        <v>72</v>
      </c>
      <c r="BI576">
        <v>28</v>
      </c>
      <c r="BJ576" t="s">
        <v>219</v>
      </c>
      <c r="BK576" s="1" t="s">
        <v>17619</v>
      </c>
      <c r="BL576" t="s">
        <v>8323</v>
      </c>
      <c r="BM576" t="s">
        <v>72</v>
      </c>
      <c r="BN576" t="s">
        <v>559</v>
      </c>
      <c r="BO576" t="s">
        <v>72</v>
      </c>
      <c r="BP576" t="s">
        <v>72</v>
      </c>
      <c r="BQ576" t="s">
        <v>100</v>
      </c>
      <c r="BR576" t="s">
        <v>8324</v>
      </c>
      <c r="BS576" t="str">
        <f>HYPERLINK("https%3A%2F%2Fwww.webofscience.com%2Fwos%2Fwoscc%2Ffull-record%2FWOS:000257049900001","View Full Record in Web of Science")</f>
        <v>View Full Record in Web of Science</v>
      </c>
    </row>
    <row r="577" spans="1:71" x14ac:dyDescent="0.2">
      <c r="A577" t="s">
        <v>70</v>
      </c>
      <c r="B577" t="s">
        <v>8415</v>
      </c>
      <c r="C577" t="s">
        <v>72</v>
      </c>
      <c r="D577" t="s">
        <v>72</v>
      </c>
      <c r="E577" t="s">
        <v>72</v>
      </c>
      <c r="F577" t="s">
        <v>8416</v>
      </c>
      <c r="G577" t="s">
        <v>72</v>
      </c>
      <c r="H577" t="s">
        <v>72</v>
      </c>
      <c r="I577" t="s">
        <v>8417</v>
      </c>
      <c r="J577" t="s">
        <v>4938</v>
      </c>
      <c r="K577" t="s">
        <v>72</v>
      </c>
      <c r="L577" t="s">
        <v>72</v>
      </c>
      <c r="M577" t="s">
        <v>76</v>
      </c>
      <c r="N577" t="s">
        <v>77</v>
      </c>
      <c r="O577" t="s">
        <v>72</v>
      </c>
      <c r="P577" t="s">
        <v>72</v>
      </c>
      <c r="Q577" t="s">
        <v>72</v>
      </c>
      <c r="R577" t="s">
        <v>72</v>
      </c>
      <c r="S577" t="s">
        <v>72</v>
      </c>
      <c r="T577" t="s">
        <v>72</v>
      </c>
      <c r="U577" t="s">
        <v>72</v>
      </c>
      <c r="V577" t="s">
        <v>8418</v>
      </c>
      <c r="W577" t="s">
        <v>8419</v>
      </c>
      <c r="X577" t="s">
        <v>8420</v>
      </c>
      <c r="Y577" t="s">
        <v>8421</v>
      </c>
      <c r="Z577" t="s">
        <v>8422</v>
      </c>
      <c r="AA577" t="s">
        <v>72</v>
      </c>
      <c r="AB577" t="s">
        <v>72</v>
      </c>
      <c r="AC577" t="s">
        <v>72</v>
      </c>
      <c r="AD577" t="s">
        <v>72</v>
      </c>
      <c r="AE577" t="s">
        <v>72</v>
      </c>
      <c r="AF577" t="s">
        <v>72</v>
      </c>
      <c r="AG577">
        <v>53</v>
      </c>
      <c r="AH577">
        <v>356</v>
      </c>
      <c r="AI577">
        <v>365</v>
      </c>
      <c r="AJ577">
        <v>2</v>
      </c>
      <c r="AK577">
        <v>108</v>
      </c>
      <c r="AL577" t="s">
        <v>1260</v>
      </c>
      <c r="AM577" t="s">
        <v>964</v>
      </c>
      <c r="AN577" t="s">
        <v>965</v>
      </c>
      <c r="AO577" t="s">
        <v>4947</v>
      </c>
      <c r="AP577" t="s">
        <v>4948</v>
      </c>
      <c r="AQ577" t="s">
        <v>72</v>
      </c>
      <c r="AR577" t="s">
        <v>4949</v>
      </c>
      <c r="AS577" t="s">
        <v>4950</v>
      </c>
      <c r="AT577" t="s">
        <v>247</v>
      </c>
      <c r="AU577">
        <v>2010</v>
      </c>
      <c r="AV577">
        <v>54</v>
      </c>
      <c r="AW577">
        <v>1</v>
      </c>
      <c r="AX577" t="s">
        <v>72</v>
      </c>
      <c r="AY577" t="s">
        <v>72</v>
      </c>
      <c r="AZ577" t="s">
        <v>72</v>
      </c>
      <c r="BA577" t="s">
        <v>72</v>
      </c>
      <c r="BB577">
        <v>229</v>
      </c>
      <c r="BC577">
        <v>247</v>
      </c>
      <c r="BD577" t="s">
        <v>72</v>
      </c>
      <c r="BE577" t="s">
        <v>8423</v>
      </c>
      <c r="BF577" t="str">
        <f>HYPERLINK("http://dx.doi.org/10.1111/j.1540-5907.2009.00428.x","http://dx.doi.org/10.1111/j.1540-5907.2009.00428.x")</f>
        <v>http://dx.doi.org/10.1111/j.1540-5907.2009.00428.x</v>
      </c>
      <c r="BG577" t="s">
        <v>72</v>
      </c>
      <c r="BH577" t="s">
        <v>72</v>
      </c>
      <c r="BI577">
        <v>19</v>
      </c>
      <c r="BJ577" t="s">
        <v>219</v>
      </c>
      <c r="BK577" s="1" t="s">
        <v>17619</v>
      </c>
      <c r="BL577" t="s">
        <v>8424</v>
      </c>
      <c r="BM577" t="s">
        <v>72</v>
      </c>
      <c r="BN577" t="s">
        <v>251</v>
      </c>
      <c r="BO577" t="s">
        <v>72</v>
      </c>
      <c r="BP577" t="s">
        <v>72</v>
      </c>
      <c r="BQ577" t="s">
        <v>100</v>
      </c>
      <c r="BR577" t="s">
        <v>8425</v>
      </c>
      <c r="BS577" t="str">
        <f>HYPERLINK("https%3A%2F%2Fwww.webofscience.com%2Fwos%2Fwoscc%2Ffull-record%2FWOS:000273161800015","View Full Record in Web of Science")</f>
        <v>View Full Record in Web of Science</v>
      </c>
    </row>
    <row r="578" spans="1:71" x14ac:dyDescent="0.2">
      <c r="A578" t="s">
        <v>70</v>
      </c>
      <c r="B578" t="s">
        <v>8505</v>
      </c>
      <c r="C578" t="s">
        <v>72</v>
      </c>
      <c r="D578" t="s">
        <v>72</v>
      </c>
      <c r="E578" t="s">
        <v>72</v>
      </c>
      <c r="F578" t="s">
        <v>8506</v>
      </c>
      <c r="G578" t="s">
        <v>72</v>
      </c>
      <c r="H578" t="s">
        <v>72</v>
      </c>
      <c r="I578" t="s">
        <v>8507</v>
      </c>
      <c r="J578" t="s">
        <v>2218</v>
      </c>
      <c r="K578" t="s">
        <v>72</v>
      </c>
      <c r="L578" t="s">
        <v>72</v>
      </c>
      <c r="M578" t="s">
        <v>542</v>
      </c>
      <c r="N578" t="s">
        <v>77</v>
      </c>
      <c r="O578" t="s">
        <v>72</v>
      </c>
      <c r="P578" t="s">
        <v>72</v>
      </c>
      <c r="Q578" t="s">
        <v>72</v>
      </c>
      <c r="R578" t="s">
        <v>72</v>
      </c>
      <c r="S578" t="s">
        <v>72</v>
      </c>
      <c r="T578" t="s">
        <v>8508</v>
      </c>
      <c r="U578" t="s">
        <v>8509</v>
      </c>
      <c r="V578" t="s">
        <v>8510</v>
      </c>
      <c r="W578" t="s">
        <v>8511</v>
      </c>
      <c r="X578" t="s">
        <v>8512</v>
      </c>
      <c r="Y578" t="s">
        <v>8513</v>
      </c>
      <c r="Z578" t="s">
        <v>8514</v>
      </c>
      <c r="AA578" t="s">
        <v>8515</v>
      </c>
      <c r="AB578" t="s">
        <v>8516</v>
      </c>
      <c r="AC578" t="s">
        <v>2227</v>
      </c>
      <c r="AD578" t="s">
        <v>2227</v>
      </c>
      <c r="AE578" t="s">
        <v>3402</v>
      </c>
      <c r="AF578" t="s">
        <v>72</v>
      </c>
      <c r="AG578">
        <v>49</v>
      </c>
      <c r="AH578">
        <v>2</v>
      </c>
      <c r="AI578">
        <v>2</v>
      </c>
      <c r="AJ578">
        <v>0</v>
      </c>
      <c r="AK578">
        <v>3</v>
      </c>
      <c r="AL578" t="s">
        <v>2229</v>
      </c>
      <c r="AM578" t="s">
        <v>2230</v>
      </c>
      <c r="AN578" t="s">
        <v>2231</v>
      </c>
      <c r="AO578" t="s">
        <v>2232</v>
      </c>
      <c r="AP578" t="s">
        <v>2233</v>
      </c>
      <c r="AQ578" t="s">
        <v>72</v>
      </c>
      <c r="AR578" t="s">
        <v>2234</v>
      </c>
      <c r="AS578" t="s">
        <v>2235</v>
      </c>
      <c r="AT578" t="s">
        <v>555</v>
      </c>
      <c r="AU578">
        <v>2021</v>
      </c>
      <c r="AV578">
        <v>15</v>
      </c>
      <c r="AW578">
        <v>1</v>
      </c>
      <c r="AX578" t="s">
        <v>72</v>
      </c>
      <c r="AY578" t="s">
        <v>72</v>
      </c>
      <c r="AZ578" t="s">
        <v>72</v>
      </c>
      <c r="BA578" t="s">
        <v>72</v>
      </c>
      <c r="BB578">
        <v>39</v>
      </c>
      <c r="BC578">
        <v>80</v>
      </c>
      <c r="BD578" t="s">
        <v>72</v>
      </c>
      <c r="BE578" t="s">
        <v>8517</v>
      </c>
      <c r="BF578" t="str">
        <f>HYPERLINK("http://dx.doi.org/10.1007/s12286-021-00480-x","http://dx.doi.org/10.1007/s12286-021-00480-x")</f>
        <v>http://dx.doi.org/10.1007/s12286-021-00480-x</v>
      </c>
      <c r="BG578" t="s">
        <v>72</v>
      </c>
      <c r="BH578" t="s">
        <v>4075</v>
      </c>
      <c r="BI578">
        <v>42</v>
      </c>
      <c r="BJ578" t="s">
        <v>219</v>
      </c>
      <c r="BK578" s="1" t="s">
        <v>17619</v>
      </c>
      <c r="BL578" t="s">
        <v>8518</v>
      </c>
      <c r="BM578" t="s">
        <v>72</v>
      </c>
      <c r="BN578" t="s">
        <v>280</v>
      </c>
      <c r="BO578" t="s">
        <v>72</v>
      </c>
      <c r="BP578" t="s">
        <v>72</v>
      </c>
      <c r="BQ578" t="s">
        <v>100</v>
      </c>
      <c r="BR578" t="s">
        <v>8519</v>
      </c>
      <c r="BS578" t="str">
        <f>HYPERLINK("https%3A%2F%2Fwww.webofscience.com%2Fwos%2Fwoscc%2Ffull-record%2FWOS:000646932000001","View Full Record in Web of Science")</f>
        <v>View Full Record in Web of Science</v>
      </c>
    </row>
    <row r="579" spans="1:71" x14ac:dyDescent="0.2">
      <c r="A579" t="s">
        <v>70</v>
      </c>
      <c r="B579" t="s">
        <v>4313</v>
      </c>
      <c r="C579" t="s">
        <v>72</v>
      </c>
      <c r="D579" t="s">
        <v>72</v>
      </c>
      <c r="E579" t="s">
        <v>72</v>
      </c>
      <c r="F579" t="s">
        <v>4314</v>
      </c>
      <c r="G579" t="s">
        <v>72</v>
      </c>
      <c r="H579" t="s">
        <v>72</v>
      </c>
      <c r="I579" t="s">
        <v>8573</v>
      </c>
      <c r="J579" t="s">
        <v>8574</v>
      </c>
      <c r="K579" t="s">
        <v>72</v>
      </c>
      <c r="L579" t="s">
        <v>72</v>
      </c>
      <c r="M579" t="s">
        <v>76</v>
      </c>
      <c r="N579" t="s">
        <v>77</v>
      </c>
      <c r="O579" t="s">
        <v>72</v>
      </c>
      <c r="P579" t="s">
        <v>72</v>
      </c>
      <c r="Q579" t="s">
        <v>72</v>
      </c>
      <c r="R579" t="s">
        <v>72</v>
      </c>
      <c r="S579" t="s">
        <v>72</v>
      </c>
      <c r="T579" t="s">
        <v>8575</v>
      </c>
      <c r="U579" t="s">
        <v>8576</v>
      </c>
      <c r="V579" t="s">
        <v>8577</v>
      </c>
      <c r="W579" t="s">
        <v>8578</v>
      </c>
      <c r="X579" t="s">
        <v>8579</v>
      </c>
      <c r="Y579" t="s">
        <v>8580</v>
      </c>
      <c r="Z579" t="s">
        <v>4322</v>
      </c>
      <c r="AA579" t="s">
        <v>72</v>
      </c>
      <c r="AB579" t="s">
        <v>8581</v>
      </c>
      <c r="AC579" t="s">
        <v>72</v>
      </c>
      <c r="AD579" t="s">
        <v>72</v>
      </c>
      <c r="AE579" t="s">
        <v>72</v>
      </c>
      <c r="AF579" t="s">
        <v>72</v>
      </c>
      <c r="AG579">
        <v>55</v>
      </c>
      <c r="AH579">
        <v>5</v>
      </c>
      <c r="AI579">
        <v>5</v>
      </c>
      <c r="AJ579">
        <v>0</v>
      </c>
      <c r="AK579">
        <v>3</v>
      </c>
      <c r="AL579" t="s">
        <v>240</v>
      </c>
      <c r="AM579" t="s">
        <v>707</v>
      </c>
      <c r="AN579" t="s">
        <v>1205</v>
      </c>
      <c r="AO579" t="s">
        <v>8582</v>
      </c>
      <c r="AP579" t="s">
        <v>8583</v>
      </c>
      <c r="AQ579" t="s">
        <v>72</v>
      </c>
      <c r="AR579" t="s">
        <v>8584</v>
      </c>
      <c r="AS579" t="s">
        <v>8585</v>
      </c>
      <c r="AT579" t="s">
        <v>776</v>
      </c>
      <c r="AU579">
        <v>2019</v>
      </c>
      <c r="AV579">
        <v>49</v>
      </c>
      <c r="AW579">
        <v>2</v>
      </c>
      <c r="AX579" t="s">
        <v>72</v>
      </c>
      <c r="AY579" t="s">
        <v>72</v>
      </c>
      <c r="AZ579" t="s">
        <v>478</v>
      </c>
      <c r="BA579" t="s">
        <v>72</v>
      </c>
      <c r="BB579">
        <v>157</v>
      </c>
      <c r="BC579">
        <v>173</v>
      </c>
      <c r="BD579" t="s">
        <v>72</v>
      </c>
      <c r="BE579" t="s">
        <v>8586</v>
      </c>
      <c r="BF579" t="str">
        <f>HYPERLINK("http://dx.doi.org/10.1017/ipo.2019.6","http://dx.doi.org/10.1017/ipo.2019.6")</f>
        <v>http://dx.doi.org/10.1017/ipo.2019.6</v>
      </c>
      <c r="BG579" t="s">
        <v>72</v>
      </c>
      <c r="BH579" t="s">
        <v>72</v>
      </c>
      <c r="BI579">
        <v>17</v>
      </c>
      <c r="BJ579" t="s">
        <v>219</v>
      </c>
      <c r="BK579" s="1" t="s">
        <v>17619</v>
      </c>
      <c r="BL579" t="s">
        <v>8587</v>
      </c>
      <c r="BM579" t="s">
        <v>72</v>
      </c>
      <c r="BN579" t="s">
        <v>72</v>
      </c>
      <c r="BO579" t="s">
        <v>72</v>
      </c>
      <c r="BP579" t="s">
        <v>72</v>
      </c>
      <c r="BQ579" t="s">
        <v>100</v>
      </c>
      <c r="BR579" t="s">
        <v>8588</v>
      </c>
      <c r="BS579" t="str">
        <f>HYPERLINK("https%3A%2F%2Fwww.webofscience.com%2Fwos%2Fwoscc%2Ffull-record%2FWOS:000474596400004","View Full Record in Web of Science")</f>
        <v>View Full Record in Web of Science</v>
      </c>
    </row>
    <row r="580" spans="1:71" x14ac:dyDescent="0.2">
      <c r="A580" t="s">
        <v>70</v>
      </c>
      <c r="B580" t="s">
        <v>2049</v>
      </c>
      <c r="C580" t="s">
        <v>72</v>
      </c>
      <c r="D580" t="s">
        <v>72</v>
      </c>
      <c r="E580" t="s">
        <v>72</v>
      </c>
      <c r="F580" t="s">
        <v>2050</v>
      </c>
      <c r="G580" t="s">
        <v>72</v>
      </c>
      <c r="H580" t="s">
        <v>72</v>
      </c>
      <c r="I580" t="s">
        <v>8589</v>
      </c>
      <c r="J580" t="s">
        <v>1388</v>
      </c>
      <c r="K580" t="s">
        <v>72</v>
      </c>
      <c r="L580" t="s">
        <v>72</v>
      </c>
      <c r="M580" t="s">
        <v>76</v>
      </c>
      <c r="N580" t="s">
        <v>77</v>
      </c>
      <c r="O580" t="s">
        <v>72</v>
      </c>
      <c r="P580" t="s">
        <v>72</v>
      </c>
      <c r="Q580" t="s">
        <v>72</v>
      </c>
      <c r="R580" t="s">
        <v>72</v>
      </c>
      <c r="S580" t="s">
        <v>72</v>
      </c>
      <c r="T580" t="s">
        <v>8590</v>
      </c>
      <c r="U580" t="s">
        <v>8591</v>
      </c>
      <c r="V580" t="s">
        <v>8592</v>
      </c>
      <c r="W580" t="s">
        <v>8593</v>
      </c>
      <c r="X580" t="s">
        <v>1781</v>
      </c>
      <c r="Y580" t="s">
        <v>8594</v>
      </c>
      <c r="Z580" t="s">
        <v>2057</v>
      </c>
      <c r="AA580" t="s">
        <v>72</v>
      </c>
      <c r="AB580" t="s">
        <v>2058</v>
      </c>
      <c r="AC580" t="s">
        <v>72</v>
      </c>
      <c r="AD580" t="s">
        <v>72</v>
      </c>
      <c r="AE580" t="s">
        <v>72</v>
      </c>
      <c r="AF580" t="s">
        <v>72</v>
      </c>
      <c r="AG580">
        <v>47</v>
      </c>
      <c r="AH580">
        <v>25</v>
      </c>
      <c r="AI580">
        <v>26</v>
      </c>
      <c r="AJ580">
        <v>1</v>
      </c>
      <c r="AK580">
        <v>32</v>
      </c>
      <c r="AL580" t="s">
        <v>336</v>
      </c>
      <c r="AM580" t="s">
        <v>337</v>
      </c>
      <c r="AN580" t="s">
        <v>338</v>
      </c>
      <c r="AO580" t="s">
        <v>1398</v>
      </c>
      <c r="AP580" t="s">
        <v>1399</v>
      </c>
      <c r="AQ580" t="s">
        <v>72</v>
      </c>
      <c r="AR580" t="s">
        <v>1400</v>
      </c>
      <c r="AS580" t="s">
        <v>1401</v>
      </c>
      <c r="AT580" t="s">
        <v>247</v>
      </c>
      <c r="AU580">
        <v>2017</v>
      </c>
      <c r="AV580">
        <v>23</v>
      </c>
      <c r="AW580">
        <v>1</v>
      </c>
      <c r="AX580" t="s">
        <v>72</v>
      </c>
      <c r="AY580" t="s">
        <v>72</v>
      </c>
      <c r="AZ580" t="s">
        <v>72</v>
      </c>
      <c r="BA580" t="s">
        <v>72</v>
      </c>
      <c r="BB580">
        <v>7</v>
      </c>
      <c r="BC580">
        <v>17</v>
      </c>
      <c r="BD580" t="s">
        <v>72</v>
      </c>
      <c r="BE580" t="s">
        <v>8595</v>
      </c>
      <c r="BF580" t="str">
        <f>HYPERLINK("http://dx.doi.org/10.1177/1354068816654325","http://dx.doi.org/10.1177/1354068816654325")</f>
        <v>http://dx.doi.org/10.1177/1354068816654325</v>
      </c>
      <c r="BG580" t="s">
        <v>72</v>
      </c>
      <c r="BH580" t="s">
        <v>72</v>
      </c>
      <c r="BI580">
        <v>11</v>
      </c>
      <c r="BJ580" t="s">
        <v>219</v>
      </c>
      <c r="BK580" s="1" t="s">
        <v>17619</v>
      </c>
      <c r="BL580" t="s">
        <v>8596</v>
      </c>
      <c r="BM580" t="s">
        <v>72</v>
      </c>
      <c r="BN580" t="s">
        <v>251</v>
      </c>
      <c r="BO580" t="s">
        <v>72</v>
      </c>
      <c r="BP580" t="s">
        <v>72</v>
      </c>
      <c r="BQ580" t="s">
        <v>100</v>
      </c>
      <c r="BR580" t="s">
        <v>8597</v>
      </c>
      <c r="BS580" t="str">
        <f>HYPERLINK("https%3A%2F%2Fwww.webofscience.com%2Fwos%2Fwoscc%2Ffull-record%2FWOS:000391801800002","View Full Record in Web of Science")</f>
        <v>View Full Record in Web of Science</v>
      </c>
    </row>
    <row r="581" spans="1:71" x14ac:dyDescent="0.2">
      <c r="A581" t="s">
        <v>70</v>
      </c>
      <c r="B581" t="s">
        <v>8773</v>
      </c>
      <c r="C581" t="s">
        <v>72</v>
      </c>
      <c r="D581" t="s">
        <v>72</v>
      </c>
      <c r="E581" t="s">
        <v>72</v>
      </c>
      <c r="F581" t="s">
        <v>8774</v>
      </c>
      <c r="G581" t="s">
        <v>72</v>
      </c>
      <c r="H581" t="s">
        <v>72</v>
      </c>
      <c r="I581" t="s">
        <v>8775</v>
      </c>
      <c r="J581" t="s">
        <v>820</v>
      </c>
      <c r="K581" t="s">
        <v>72</v>
      </c>
      <c r="L581" t="s">
        <v>72</v>
      </c>
      <c r="M581" t="s">
        <v>76</v>
      </c>
      <c r="N581" t="s">
        <v>77</v>
      </c>
      <c r="O581" t="s">
        <v>72</v>
      </c>
      <c r="P581" t="s">
        <v>72</v>
      </c>
      <c r="Q581" t="s">
        <v>72</v>
      </c>
      <c r="R581" t="s">
        <v>72</v>
      </c>
      <c r="S581" t="s">
        <v>72</v>
      </c>
      <c r="T581" t="s">
        <v>8776</v>
      </c>
      <c r="U581" t="s">
        <v>8777</v>
      </c>
      <c r="V581" t="s">
        <v>8778</v>
      </c>
      <c r="W581" t="s">
        <v>8779</v>
      </c>
      <c r="X581" t="s">
        <v>8780</v>
      </c>
      <c r="Y581" t="s">
        <v>8781</v>
      </c>
      <c r="Z581" t="s">
        <v>8782</v>
      </c>
      <c r="AA581" t="s">
        <v>8783</v>
      </c>
      <c r="AB581" t="s">
        <v>8784</v>
      </c>
      <c r="AC581" t="s">
        <v>72</v>
      </c>
      <c r="AD581" t="s">
        <v>72</v>
      </c>
      <c r="AE581" t="s">
        <v>72</v>
      </c>
      <c r="AF581" t="s">
        <v>72</v>
      </c>
      <c r="AG581">
        <v>82</v>
      </c>
      <c r="AH581">
        <v>19</v>
      </c>
      <c r="AI581">
        <v>24</v>
      </c>
      <c r="AJ581">
        <v>1</v>
      </c>
      <c r="AK581">
        <v>15</v>
      </c>
      <c r="AL581" t="s">
        <v>769</v>
      </c>
      <c r="AM581" t="s">
        <v>770</v>
      </c>
      <c r="AN581" t="s">
        <v>771</v>
      </c>
      <c r="AO581" t="s">
        <v>828</v>
      </c>
      <c r="AP581" t="s">
        <v>829</v>
      </c>
      <c r="AQ581" t="s">
        <v>72</v>
      </c>
      <c r="AR581" t="s">
        <v>830</v>
      </c>
      <c r="AS581" t="s">
        <v>831</v>
      </c>
      <c r="AT581" t="s">
        <v>149</v>
      </c>
      <c r="AU581">
        <v>2017</v>
      </c>
      <c r="AV581">
        <v>79</v>
      </c>
      <c r="AW581">
        <v>2</v>
      </c>
      <c r="AX581" t="s">
        <v>72</v>
      </c>
      <c r="AY581" t="s">
        <v>72</v>
      </c>
      <c r="AZ581" t="s">
        <v>72</v>
      </c>
      <c r="BA581" t="s">
        <v>72</v>
      </c>
      <c r="BB581">
        <v>380</v>
      </c>
      <c r="BC581">
        <v>395</v>
      </c>
      <c r="BD581" t="s">
        <v>72</v>
      </c>
      <c r="BE581" t="s">
        <v>8785</v>
      </c>
      <c r="BF581" t="str">
        <f>HYPERLINK("http://dx.doi.org/10.1086/688080","http://dx.doi.org/10.1086/688080")</f>
        <v>http://dx.doi.org/10.1086/688080</v>
      </c>
      <c r="BG581" t="s">
        <v>72</v>
      </c>
      <c r="BH581" t="s">
        <v>72</v>
      </c>
      <c r="BI581">
        <v>16</v>
      </c>
      <c r="BJ581" t="s">
        <v>219</v>
      </c>
      <c r="BK581" s="1" t="s">
        <v>17619</v>
      </c>
      <c r="BL581" t="s">
        <v>8786</v>
      </c>
      <c r="BM581" t="s">
        <v>72</v>
      </c>
      <c r="BN581" t="s">
        <v>8787</v>
      </c>
      <c r="BO581" t="s">
        <v>72</v>
      </c>
      <c r="BP581" t="s">
        <v>72</v>
      </c>
      <c r="BQ581" t="s">
        <v>100</v>
      </c>
      <c r="BR581" t="s">
        <v>8788</v>
      </c>
      <c r="BS581" t="str">
        <f>HYPERLINK("https%3A%2F%2Fwww.webofscience.com%2Fwos%2Fwoscc%2Ffull-record%2FWOS:000398677500012","View Full Record in Web of Science")</f>
        <v>View Full Record in Web of Science</v>
      </c>
    </row>
    <row r="582" spans="1:71" x14ac:dyDescent="0.2">
      <c r="A582" t="s">
        <v>70</v>
      </c>
      <c r="B582" t="s">
        <v>8852</v>
      </c>
      <c r="C582" t="s">
        <v>72</v>
      </c>
      <c r="D582" t="s">
        <v>72</v>
      </c>
      <c r="E582" t="s">
        <v>72</v>
      </c>
      <c r="F582" t="s">
        <v>8853</v>
      </c>
      <c r="G582" t="s">
        <v>72</v>
      </c>
      <c r="H582" t="s">
        <v>72</v>
      </c>
      <c r="I582" t="s">
        <v>8854</v>
      </c>
      <c r="J582" t="s">
        <v>206</v>
      </c>
      <c r="K582" t="s">
        <v>72</v>
      </c>
      <c r="L582" t="s">
        <v>72</v>
      </c>
      <c r="M582" t="s">
        <v>76</v>
      </c>
      <c r="N582" t="s">
        <v>77</v>
      </c>
      <c r="O582" t="s">
        <v>72</v>
      </c>
      <c r="P582" t="s">
        <v>72</v>
      </c>
      <c r="Q582" t="s">
        <v>72</v>
      </c>
      <c r="R582" t="s">
        <v>72</v>
      </c>
      <c r="S582" t="s">
        <v>72</v>
      </c>
      <c r="T582" t="s">
        <v>8855</v>
      </c>
      <c r="U582" t="s">
        <v>72</v>
      </c>
      <c r="V582" t="s">
        <v>8856</v>
      </c>
      <c r="W582" t="s">
        <v>8857</v>
      </c>
      <c r="X582" t="s">
        <v>8858</v>
      </c>
      <c r="Y582" t="s">
        <v>8859</v>
      </c>
      <c r="Z582" t="s">
        <v>8860</v>
      </c>
      <c r="AA582" t="s">
        <v>72</v>
      </c>
      <c r="AB582" t="s">
        <v>8861</v>
      </c>
      <c r="AC582" t="s">
        <v>8862</v>
      </c>
      <c r="AD582" t="s">
        <v>8862</v>
      </c>
      <c r="AE582" t="s">
        <v>8863</v>
      </c>
      <c r="AF582" t="s">
        <v>72</v>
      </c>
      <c r="AG582">
        <v>31</v>
      </c>
      <c r="AH582">
        <v>2</v>
      </c>
      <c r="AI582">
        <v>2</v>
      </c>
      <c r="AJ582">
        <v>0</v>
      </c>
      <c r="AK582">
        <v>6</v>
      </c>
      <c r="AL582" t="s">
        <v>190</v>
      </c>
      <c r="AM582" t="s">
        <v>191</v>
      </c>
      <c r="AN582" t="s">
        <v>192</v>
      </c>
      <c r="AO582" t="s">
        <v>72</v>
      </c>
      <c r="AP582" t="s">
        <v>215</v>
      </c>
      <c r="AQ582" t="s">
        <v>72</v>
      </c>
      <c r="AR582" t="s">
        <v>216</v>
      </c>
      <c r="AS582" t="s">
        <v>217</v>
      </c>
      <c r="AT582" t="s">
        <v>8864</v>
      </c>
      <c r="AU582">
        <v>2019</v>
      </c>
      <c r="AV582">
        <v>6</v>
      </c>
      <c r="AW582">
        <v>2</v>
      </c>
      <c r="AX582" t="s">
        <v>72</v>
      </c>
      <c r="AY582" t="s">
        <v>72</v>
      </c>
      <c r="AZ582" t="s">
        <v>72</v>
      </c>
      <c r="BA582" t="s">
        <v>72</v>
      </c>
      <c r="BB582" t="s">
        <v>72</v>
      </c>
      <c r="BC582" t="s">
        <v>72</v>
      </c>
      <c r="BD582">
        <v>2053168019838352</v>
      </c>
      <c r="BE582" t="s">
        <v>8865</v>
      </c>
      <c r="BF582" t="str">
        <f>HYPERLINK("http://dx.doi.org/10.1177/2053168019838352","http://dx.doi.org/10.1177/2053168019838352")</f>
        <v>http://dx.doi.org/10.1177/2053168019838352</v>
      </c>
      <c r="BG582" t="s">
        <v>72</v>
      </c>
      <c r="BH582" t="s">
        <v>72</v>
      </c>
      <c r="BI582">
        <v>7</v>
      </c>
      <c r="BJ582" t="s">
        <v>219</v>
      </c>
      <c r="BK582" s="1" t="s">
        <v>17619</v>
      </c>
      <c r="BL582" t="s">
        <v>8866</v>
      </c>
      <c r="BM582" t="s">
        <v>72</v>
      </c>
      <c r="BN582" t="s">
        <v>8867</v>
      </c>
      <c r="BO582" t="s">
        <v>72</v>
      </c>
      <c r="BP582" t="s">
        <v>72</v>
      </c>
      <c r="BQ582" t="s">
        <v>100</v>
      </c>
      <c r="BR582" t="s">
        <v>8868</v>
      </c>
      <c r="BS582" t="str">
        <f>HYPERLINK("https%3A%2F%2Fwww.webofscience.com%2Fwos%2Fwoscc%2Ffull-record%2FWOS:000464024700001","View Full Record in Web of Science")</f>
        <v>View Full Record in Web of Science</v>
      </c>
    </row>
    <row r="583" spans="1:71" x14ac:dyDescent="0.2">
      <c r="A583" t="s">
        <v>70</v>
      </c>
      <c r="B583" t="s">
        <v>9062</v>
      </c>
      <c r="C583" t="s">
        <v>72</v>
      </c>
      <c r="D583" t="s">
        <v>72</v>
      </c>
      <c r="E583" t="s">
        <v>72</v>
      </c>
      <c r="F583" t="s">
        <v>9063</v>
      </c>
      <c r="G583" t="s">
        <v>72</v>
      </c>
      <c r="H583" t="s">
        <v>72</v>
      </c>
      <c r="I583" t="s">
        <v>9064</v>
      </c>
      <c r="J583" t="s">
        <v>2065</v>
      </c>
      <c r="K583" t="s">
        <v>72</v>
      </c>
      <c r="L583" t="s">
        <v>72</v>
      </c>
      <c r="M583" t="s">
        <v>76</v>
      </c>
      <c r="N583" t="s">
        <v>77</v>
      </c>
      <c r="O583" t="s">
        <v>72</v>
      </c>
      <c r="P583" t="s">
        <v>72</v>
      </c>
      <c r="Q583" t="s">
        <v>72</v>
      </c>
      <c r="R583" t="s">
        <v>72</v>
      </c>
      <c r="S583" t="s">
        <v>72</v>
      </c>
      <c r="T583" t="s">
        <v>9065</v>
      </c>
      <c r="U583" t="s">
        <v>9066</v>
      </c>
      <c r="V583" t="s">
        <v>9067</v>
      </c>
      <c r="W583" t="s">
        <v>9068</v>
      </c>
      <c r="X583" t="s">
        <v>9069</v>
      </c>
      <c r="Y583" t="s">
        <v>9070</v>
      </c>
      <c r="Z583" t="s">
        <v>9071</v>
      </c>
      <c r="AA583" t="s">
        <v>72</v>
      </c>
      <c r="AB583" t="s">
        <v>72</v>
      </c>
      <c r="AC583" t="s">
        <v>72</v>
      </c>
      <c r="AD583" t="s">
        <v>72</v>
      </c>
      <c r="AE583" t="s">
        <v>72</v>
      </c>
      <c r="AF583" t="s">
        <v>72</v>
      </c>
      <c r="AG583">
        <v>48</v>
      </c>
      <c r="AH583">
        <v>0</v>
      </c>
      <c r="AI583">
        <v>0</v>
      </c>
      <c r="AJ583">
        <v>7</v>
      </c>
      <c r="AK583">
        <v>16</v>
      </c>
      <c r="AL583" t="s">
        <v>2073</v>
      </c>
      <c r="AM583" t="s">
        <v>365</v>
      </c>
      <c r="AN583" t="s">
        <v>2074</v>
      </c>
      <c r="AO583" t="s">
        <v>72</v>
      </c>
      <c r="AP583" t="s">
        <v>2075</v>
      </c>
      <c r="AQ583" t="s">
        <v>72</v>
      </c>
      <c r="AR583" t="s">
        <v>2076</v>
      </c>
      <c r="AS583" t="s">
        <v>2077</v>
      </c>
      <c r="AT583" t="s">
        <v>7532</v>
      </c>
      <c r="AU583">
        <v>2022</v>
      </c>
      <c r="AV583">
        <v>4</v>
      </c>
      <c r="AW583">
        <v>1</v>
      </c>
      <c r="AX583" t="s">
        <v>72</v>
      </c>
      <c r="AY583" t="s">
        <v>72</v>
      </c>
      <c r="AZ583" t="s">
        <v>72</v>
      </c>
      <c r="BA583" t="s">
        <v>72</v>
      </c>
      <c r="BB583" t="s">
        <v>72</v>
      </c>
      <c r="BC583" t="s">
        <v>72</v>
      </c>
      <c r="BD583">
        <v>2029217</v>
      </c>
      <c r="BE583" t="s">
        <v>9072</v>
      </c>
      <c r="BF583" t="str">
        <f>HYPERLINK("http://dx.doi.org/10.1080/2474736X.2022.2029217","http://dx.doi.org/10.1080/2474736X.2022.2029217")</f>
        <v>http://dx.doi.org/10.1080/2474736X.2022.2029217</v>
      </c>
      <c r="BG583" t="s">
        <v>72</v>
      </c>
      <c r="BH583" t="s">
        <v>72</v>
      </c>
      <c r="BI583">
        <v>25</v>
      </c>
      <c r="BJ583" t="s">
        <v>219</v>
      </c>
      <c r="BK583" s="1" t="s">
        <v>17619</v>
      </c>
      <c r="BL583" t="s">
        <v>9073</v>
      </c>
      <c r="BM583" t="s">
        <v>72</v>
      </c>
      <c r="BN583" t="s">
        <v>222</v>
      </c>
      <c r="BO583" t="s">
        <v>72</v>
      </c>
      <c r="BP583" t="s">
        <v>72</v>
      </c>
      <c r="BQ583" t="s">
        <v>100</v>
      </c>
      <c r="BR583" t="s">
        <v>9074</v>
      </c>
      <c r="BS583" t="str">
        <f>HYPERLINK("https%3A%2F%2Fwww.webofscience.com%2Fwos%2Fwoscc%2Ffull-record%2FWOS:000749321700001","View Full Record in Web of Science")</f>
        <v>View Full Record in Web of Science</v>
      </c>
    </row>
    <row r="584" spans="1:71" x14ac:dyDescent="0.2">
      <c r="A584" t="s">
        <v>70</v>
      </c>
      <c r="B584" t="s">
        <v>9121</v>
      </c>
      <c r="C584" t="s">
        <v>72</v>
      </c>
      <c r="D584" t="s">
        <v>72</v>
      </c>
      <c r="E584" t="s">
        <v>72</v>
      </c>
      <c r="F584" t="s">
        <v>9122</v>
      </c>
      <c r="G584" t="s">
        <v>72</v>
      </c>
      <c r="H584" t="s">
        <v>72</v>
      </c>
      <c r="I584" t="s">
        <v>9123</v>
      </c>
      <c r="J584" t="s">
        <v>4938</v>
      </c>
      <c r="K584" t="s">
        <v>72</v>
      </c>
      <c r="L584" t="s">
        <v>72</v>
      </c>
      <c r="M584" t="s">
        <v>76</v>
      </c>
      <c r="N584" t="s">
        <v>77</v>
      </c>
      <c r="O584" t="s">
        <v>72</v>
      </c>
      <c r="P584" t="s">
        <v>72</v>
      </c>
      <c r="Q584" t="s">
        <v>72</v>
      </c>
      <c r="R584" t="s">
        <v>72</v>
      </c>
      <c r="S584" t="s">
        <v>72</v>
      </c>
      <c r="T584" t="s">
        <v>72</v>
      </c>
      <c r="U584" t="s">
        <v>9124</v>
      </c>
      <c r="V584" t="s">
        <v>9125</v>
      </c>
      <c r="W584" t="s">
        <v>9126</v>
      </c>
      <c r="X584" t="s">
        <v>9127</v>
      </c>
      <c r="Y584" t="s">
        <v>9128</v>
      </c>
      <c r="Z584" t="s">
        <v>9129</v>
      </c>
      <c r="AA584" t="s">
        <v>72</v>
      </c>
      <c r="AB584" t="s">
        <v>72</v>
      </c>
      <c r="AC584" t="s">
        <v>72</v>
      </c>
      <c r="AD584" t="s">
        <v>72</v>
      </c>
      <c r="AE584" t="s">
        <v>72</v>
      </c>
      <c r="AF584" t="s">
        <v>72</v>
      </c>
      <c r="AG584">
        <v>35</v>
      </c>
      <c r="AH584">
        <v>44</v>
      </c>
      <c r="AI584">
        <v>44</v>
      </c>
      <c r="AJ584">
        <v>4</v>
      </c>
      <c r="AK584">
        <v>28</v>
      </c>
      <c r="AL584" t="s">
        <v>1260</v>
      </c>
      <c r="AM584" t="s">
        <v>964</v>
      </c>
      <c r="AN584" t="s">
        <v>965</v>
      </c>
      <c r="AO584" t="s">
        <v>4947</v>
      </c>
      <c r="AP584" t="s">
        <v>4948</v>
      </c>
      <c r="AQ584" t="s">
        <v>72</v>
      </c>
      <c r="AR584" t="s">
        <v>4949</v>
      </c>
      <c r="AS584" t="s">
        <v>4950</v>
      </c>
      <c r="AT584" t="s">
        <v>395</v>
      </c>
      <c r="AU584">
        <v>2017</v>
      </c>
      <c r="AV584">
        <v>61</v>
      </c>
      <c r="AW584">
        <v>4</v>
      </c>
      <c r="AX584" t="s">
        <v>72</v>
      </c>
      <c r="AY584" t="s">
        <v>72</v>
      </c>
      <c r="AZ584" t="s">
        <v>72</v>
      </c>
      <c r="BA584" t="s">
        <v>72</v>
      </c>
      <c r="BB584">
        <v>971</v>
      </c>
      <c r="BC584">
        <v>988</v>
      </c>
      <c r="BD584" t="s">
        <v>72</v>
      </c>
      <c r="BE584" t="s">
        <v>9130</v>
      </c>
      <c r="BF584" t="str">
        <f>HYPERLINK("http://dx.doi.org/10.1111/ajps.12291","http://dx.doi.org/10.1111/ajps.12291")</f>
        <v>http://dx.doi.org/10.1111/ajps.12291</v>
      </c>
      <c r="BG584" t="s">
        <v>72</v>
      </c>
      <c r="BH584" t="s">
        <v>72</v>
      </c>
      <c r="BI584">
        <v>18</v>
      </c>
      <c r="BJ584" t="s">
        <v>219</v>
      </c>
      <c r="BK584" s="1" t="s">
        <v>17619</v>
      </c>
      <c r="BL584" t="s">
        <v>9131</v>
      </c>
      <c r="BM584" t="s">
        <v>72</v>
      </c>
      <c r="BN584" t="s">
        <v>251</v>
      </c>
      <c r="BO584" t="s">
        <v>72</v>
      </c>
      <c r="BP584" t="s">
        <v>72</v>
      </c>
      <c r="BQ584" t="s">
        <v>100</v>
      </c>
      <c r="BR584" t="s">
        <v>9132</v>
      </c>
      <c r="BS584" t="str">
        <f>HYPERLINK("https%3A%2F%2Fwww.webofscience.com%2Fwos%2Fwoscc%2Ffull-record%2FWOS:000413768100014","View Full Record in Web of Science")</f>
        <v>View Full Record in Web of Science</v>
      </c>
    </row>
    <row r="585" spans="1:71" x14ac:dyDescent="0.2">
      <c r="A585" t="s">
        <v>70</v>
      </c>
      <c r="B585" t="s">
        <v>9308</v>
      </c>
      <c r="C585" t="s">
        <v>72</v>
      </c>
      <c r="D585" t="s">
        <v>72</v>
      </c>
      <c r="E585" t="s">
        <v>72</v>
      </c>
      <c r="F585" t="s">
        <v>9309</v>
      </c>
      <c r="G585" t="s">
        <v>72</v>
      </c>
      <c r="H585" t="s">
        <v>72</v>
      </c>
      <c r="I585" t="s">
        <v>9310</v>
      </c>
      <c r="J585" t="s">
        <v>9311</v>
      </c>
      <c r="K585" t="s">
        <v>72</v>
      </c>
      <c r="L585" t="s">
        <v>72</v>
      </c>
      <c r="M585" t="s">
        <v>76</v>
      </c>
      <c r="N585" t="s">
        <v>77</v>
      </c>
      <c r="O585" t="s">
        <v>72</v>
      </c>
      <c r="P585" t="s">
        <v>72</v>
      </c>
      <c r="Q585" t="s">
        <v>72</v>
      </c>
      <c r="R585" t="s">
        <v>72</v>
      </c>
      <c r="S585" t="s">
        <v>72</v>
      </c>
      <c r="T585" t="s">
        <v>72</v>
      </c>
      <c r="U585" t="s">
        <v>9312</v>
      </c>
      <c r="V585" t="s">
        <v>9313</v>
      </c>
      <c r="W585" t="s">
        <v>9314</v>
      </c>
      <c r="X585" t="s">
        <v>9315</v>
      </c>
      <c r="Y585" t="s">
        <v>9316</v>
      </c>
      <c r="Z585" t="s">
        <v>9317</v>
      </c>
      <c r="AA585" t="s">
        <v>72</v>
      </c>
      <c r="AB585" t="s">
        <v>72</v>
      </c>
      <c r="AC585" t="s">
        <v>72</v>
      </c>
      <c r="AD585" t="s">
        <v>72</v>
      </c>
      <c r="AE585" t="s">
        <v>72</v>
      </c>
      <c r="AF585" t="s">
        <v>72</v>
      </c>
      <c r="AG585">
        <v>78</v>
      </c>
      <c r="AH585">
        <v>22</v>
      </c>
      <c r="AI585">
        <v>22</v>
      </c>
      <c r="AJ585">
        <v>1</v>
      </c>
      <c r="AK585">
        <v>15</v>
      </c>
      <c r="AL585" t="s">
        <v>769</v>
      </c>
      <c r="AM585" t="s">
        <v>770</v>
      </c>
      <c r="AN585" t="s">
        <v>771</v>
      </c>
      <c r="AO585" t="s">
        <v>9318</v>
      </c>
      <c r="AP585" t="s">
        <v>9319</v>
      </c>
      <c r="AQ585" t="s">
        <v>72</v>
      </c>
      <c r="AR585" t="s">
        <v>9320</v>
      </c>
      <c r="AS585" t="s">
        <v>9321</v>
      </c>
      <c r="AT585" t="s">
        <v>1325</v>
      </c>
      <c r="AU585">
        <v>2017</v>
      </c>
      <c r="AV585">
        <v>5</v>
      </c>
      <c r="AW585">
        <v>2</v>
      </c>
      <c r="AX585" t="s">
        <v>72</v>
      </c>
      <c r="AY585" t="s">
        <v>72</v>
      </c>
      <c r="AZ585" t="s">
        <v>72</v>
      </c>
      <c r="BA585" t="s">
        <v>72</v>
      </c>
      <c r="BB585">
        <v>337</v>
      </c>
      <c r="BC585">
        <v>361</v>
      </c>
      <c r="BD585" t="s">
        <v>72</v>
      </c>
      <c r="BE585" t="s">
        <v>9322</v>
      </c>
      <c r="BF585" t="str">
        <f>HYPERLINK("http://dx.doi.org/10.1086/692611","http://dx.doi.org/10.1086/692611")</f>
        <v>http://dx.doi.org/10.1086/692611</v>
      </c>
      <c r="BG585" t="s">
        <v>72</v>
      </c>
      <c r="BH585" t="s">
        <v>72</v>
      </c>
      <c r="BI585">
        <v>25</v>
      </c>
      <c r="BJ585" t="s">
        <v>3261</v>
      </c>
      <c r="BK585" s="1" t="s">
        <v>17619</v>
      </c>
      <c r="BL585" t="s">
        <v>9323</v>
      </c>
      <c r="BM585" t="s">
        <v>72</v>
      </c>
      <c r="BN585" t="s">
        <v>72</v>
      </c>
      <c r="BO585" t="s">
        <v>72</v>
      </c>
      <c r="BP585" t="s">
        <v>72</v>
      </c>
      <c r="BQ585" t="s">
        <v>100</v>
      </c>
      <c r="BR585" t="s">
        <v>9324</v>
      </c>
      <c r="BS585" t="str">
        <f>HYPERLINK("https%3A%2F%2Fwww.webofscience.com%2Fwos%2Fwoscc%2Ffull-record%2FWOS:000407902400007","View Full Record in Web of Science")</f>
        <v>View Full Record in Web of Science</v>
      </c>
    </row>
    <row r="586" spans="1:71" x14ac:dyDescent="0.2">
      <c r="A586" t="s">
        <v>70</v>
      </c>
      <c r="B586" t="s">
        <v>9359</v>
      </c>
      <c r="C586" t="s">
        <v>72</v>
      </c>
      <c r="D586" t="s">
        <v>72</v>
      </c>
      <c r="E586" t="s">
        <v>72</v>
      </c>
      <c r="F586" t="s">
        <v>9360</v>
      </c>
      <c r="G586" t="s">
        <v>72</v>
      </c>
      <c r="H586" t="s">
        <v>72</v>
      </c>
      <c r="I586" t="s">
        <v>9361</v>
      </c>
      <c r="J586" t="s">
        <v>227</v>
      </c>
      <c r="K586" t="s">
        <v>72</v>
      </c>
      <c r="L586" t="s">
        <v>72</v>
      </c>
      <c r="M586" t="s">
        <v>76</v>
      </c>
      <c r="N586" t="s">
        <v>77</v>
      </c>
      <c r="O586" t="s">
        <v>72</v>
      </c>
      <c r="P586" t="s">
        <v>72</v>
      </c>
      <c r="Q586" t="s">
        <v>72</v>
      </c>
      <c r="R586" t="s">
        <v>72</v>
      </c>
      <c r="S586" t="s">
        <v>72</v>
      </c>
      <c r="T586" t="s">
        <v>9362</v>
      </c>
      <c r="U586" t="s">
        <v>9363</v>
      </c>
      <c r="V586" t="s">
        <v>9364</v>
      </c>
      <c r="W586" t="s">
        <v>9365</v>
      </c>
      <c r="X586" t="s">
        <v>9366</v>
      </c>
      <c r="Y586" t="s">
        <v>9367</v>
      </c>
      <c r="Z586" t="s">
        <v>9368</v>
      </c>
      <c r="AA586" t="s">
        <v>9369</v>
      </c>
      <c r="AB586" t="s">
        <v>9370</v>
      </c>
      <c r="AC586" t="s">
        <v>9371</v>
      </c>
      <c r="AD586" t="s">
        <v>9371</v>
      </c>
      <c r="AE586" t="s">
        <v>9372</v>
      </c>
      <c r="AF586" t="s">
        <v>72</v>
      </c>
      <c r="AG586">
        <v>62</v>
      </c>
      <c r="AH586">
        <v>5</v>
      </c>
      <c r="AI586">
        <v>5</v>
      </c>
      <c r="AJ586">
        <v>1</v>
      </c>
      <c r="AK586">
        <v>21</v>
      </c>
      <c r="AL586" t="s">
        <v>240</v>
      </c>
      <c r="AM586" t="s">
        <v>241</v>
      </c>
      <c r="AN586" t="s">
        <v>242</v>
      </c>
      <c r="AO586" t="s">
        <v>243</v>
      </c>
      <c r="AP586" t="s">
        <v>244</v>
      </c>
      <c r="AQ586" t="s">
        <v>72</v>
      </c>
      <c r="AR586" t="s">
        <v>245</v>
      </c>
      <c r="AS586" t="s">
        <v>246</v>
      </c>
      <c r="AT586" t="s">
        <v>247</v>
      </c>
      <c r="AU586">
        <v>2020</v>
      </c>
      <c r="AV586">
        <v>28</v>
      </c>
      <c r="AW586">
        <v>1</v>
      </c>
      <c r="AX586" t="s">
        <v>72</v>
      </c>
      <c r="AY586" t="s">
        <v>72</v>
      </c>
      <c r="AZ586" t="s">
        <v>72</v>
      </c>
      <c r="BA586" t="s">
        <v>72</v>
      </c>
      <c r="BB586">
        <v>47</v>
      </c>
      <c r="BC586">
        <v>64</v>
      </c>
      <c r="BD586" t="s">
        <v>9373</v>
      </c>
      <c r="BE586" t="s">
        <v>9374</v>
      </c>
      <c r="BF586" t="str">
        <f>HYPERLINK("http://dx.doi.org/10.1017/pan.2019.18","http://dx.doi.org/10.1017/pan.2019.18")</f>
        <v>http://dx.doi.org/10.1017/pan.2019.18</v>
      </c>
      <c r="BG586" t="s">
        <v>72</v>
      </c>
      <c r="BH586" t="s">
        <v>72</v>
      </c>
      <c r="BI586">
        <v>18</v>
      </c>
      <c r="BJ586" t="s">
        <v>219</v>
      </c>
      <c r="BK586" s="1" t="s">
        <v>17619</v>
      </c>
      <c r="BL586" t="s">
        <v>1191</v>
      </c>
      <c r="BM586" t="s">
        <v>72</v>
      </c>
      <c r="BN586" t="s">
        <v>72</v>
      </c>
      <c r="BO586" t="s">
        <v>72</v>
      </c>
      <c r="BP586" t="s">
        <v>72</v>
      </c>
      <c r="BQ586" t="s">
        <v>100</v>
      </c>
      <c r="BR586" t="s">
        <v>9375</v>
      </c>
      <c r="BS586" t="str">
        <f>HYPERLINK("https%3A%2F%2Fwww.webofscience.com%2Fwos%2Fwoscc%2Ffull-record%2FWOS:000500352700003","View Full Record in Web of Science")</f>
        <v>View Full Record in Web of Science</v>
      </c>
    </row>
    <row r="587" spans="1:71" x14ac:dyDescent="0.2">
      <c r="A587" t="s">
        <v>70</v>
      </c>
      <c r="B587" t="s">
        <v>9376</v>
      </c>
      <c r="C587" t="s">
        <v>72</v>
      </c>
      <c r="D587" t="s">
        <v>72</v>
      </c>
      <c r="E587" t="s">
        <v>72</v>
      </c>
      <c r="F587" t="s">
        <v>9377</v>
      </c>
      <c r="G587" t="s">
        <v>72</v>
      </c>
      <c r="H587" t="s">
        <v>72</v>
      </c>
      <c r="I587" t="s">
        <v>9378</v>
      </c>
      <c r="J587" t="s">
        <v>9379</v>
      </c>
      <c r="K587" t="s">
        <v>72</v>
      </c>
      <c r="L587" t="s">
        <v>72</v>
      </c>
      <c r="M587" t="s">
        <v>76</v>
      </c>
      <c r="N587" t="s">
        <v>352</v>
      </c>
      <c r="O587" t="s">
        <v>72</v>
      </c>
      <c r="P587" t="s">
        <v>72</v>
      </c>
      <c r="Q587" t="s">
        <v>72</v>
      </c>
      <c r="R587" t="s">
        <v>72</v>
      </c>
      <c r="S587" t="s">
        <v>72</v>
      </c>
      <c r="T587" t="s">
        <v>9380</v>
      </c>
      <c r="U587" t="s">
        <v>9381</v>
      </c>
      <c r="V587" t="s">
        <v>9382</v>
      </c>
      <c r="W587" t="s">
        <v>9383</v>
      </c>
      <c r="X587" t="s">
        <v>9384</v>
      </c>
      <c r="Y587" t="s">
        <v>9385</v>
      </c>
      <c r="Z587" t="s">
        <v>9386</v>
      </c>
      <c r="AA587" t="s">
        <v>9387</v>
      </c>
      <c r="AB587" t="s">
        <v>9388</v>
      </c>
      <c r="AC587" t="s">
        <v>72</v>
      </c>
      <c r="AD587" t="s">
        <v>72</v>
      </c>
      <c r="AE587" t="s">
        <v>72</v>
      </c>
      <c r="AF587" t="s">
        <v>72</v>
      </c>
      <c r="AG587">
        <v>94</v>
      </c>
      <c r="AH587">
        <v>0</v>
      </c>
      <c r="AI587">
        <v>0</v>
      </c>
      <c r="AJ587">
        <v>0</v>
      </c>
      <c r="AK587">
        <v>0</v>
      </c>
      <c r="AL587" t="s">
        <v>364</v>
      </c>
      <c r="AM587" t="s">
        <v>365</v>
      </c>
      <c r="AN587" t="s">
        <v>366</v>
      </c>
      <c r="AO587" t="s">
        <v>9389</v>
      </c>
      <c r="AP587" t="s">
        <v>9390</v>
      </c>
      <c r="AQ587" t="s">
        <v>72</v>
      </c>
      <c r="AR587" t="s">
        <v>9391</v>
      </c>
      <c r="AS587" t="s">
        <v>9392</v>
      </c>
      <c r="AT587" t="s">
        <v>72</v>
      </c>
      <c r="AU587" t="s">
        <v>72</v>
      </c>
      <c r="AV587" t="s">
        <v>72</v>
      </c>
      <c r="AW587" t="s">
        <v>72</v>
      </c>
      <c r="AX587" t="s">
        <v>72</v>
      </c>
      <c r="AY587" t="s">
        <v>72</v>
      </c>
      <c r="AZ587" t="s">
        <v>72</v>
      </c>
      <c r="BA587" t="s">
        <v>72</v>
      </c>
      <c r="BB587" t="s">
        <v>72</v>
      </c>
      <c r="BC587" t="s">
        <v>72</v>
      </c>
      <c r="BD587">
        <v>2040690</v>
      </c>
      <c r="BE587" t="s">
        <v>9393</v>
      </c>
      <c r="BF587" t="str">
        <f>HYPERLINK("http://dx.doi.org/10.1080/15377857.2022.2040690","http://dx.doi.org/10.1080/15377857.2022.2040690")</f>
        <v>http://dx.doi.org/10.1080/15377857.2022.2040690</v>
      </c>
      <c r="BG587" t="s">
        <v>72</v>
      </c>
      <c r="BH587" t="s">
        <v>1212</v>
      </c>
      <c r="BI587">
        <v>25</v>
      </c>
      <c r="BJ587" t="s">
        <v>219</v>
      </c>
      <c r="BK587" s="1" t="s">
        <v>17619</v>
      </c>
      <c r="BL587" t="s">
        <v>9394</v>
      </c>
      <c r="BM587" t="s">
        <v>72</v>
      </c>
      <c r="BN587" t="s">
        <v>72</v>
      </c>
      <c r="BO587" t="s">
        <v>72</v>
      </c>
      <c r="BP587" t="s">
        <v>72</v>
      </c>
      <c r="BQ587" t="s">
        <v>100</v>
      </c>
      <c r="BR587" t="s">
        <v>9395</v>
      </c>
      <c r="BS587" t="str">
        <f>HYPERLINK("https%3A%2F%2Fwww.webofscience.com%2Fwos%2Fwoscc%2Ffull-record%2FWOS:000761714700001","View Full Record in Web of Science")</f>
        <v>View Full Record in Web of Science</v>
      </c>
    </row>
    <row r="588" spans="1:71" x14ac:dyDescent="0.2">
      <c r="A588" t="s">
        <v>70</v>
      </c>
      <c r="B588" t="s">
        <v>9544</v>
      </c>
      <c r="C588" t="s">
        <v>72</v>
      </c>
      <c r="D588" t="s">
        <v>72</v>
      </c>
      <c r="E588" t="s">
        <v>72</v>
      </c>
      <c r="F588" t="s">
        <v>9545</v>
      </c>
      <c r="G588" t="s">
        <v>72</v>
      </c>
      <c r="H588" t="s">
        <v>72</v>
      </c>
      <c r="I588" t="s">
        <v>9546</v>
      </c>
      <c r="J588" t="s">
        <v>2948</v>
      </c>
      <c r="K588" t="s">
        <v>72</v>
      </c>
      <c r="L588" t="s">
        <v>72</v>
      </c>
      <c r="M588" t="s">
        <v>76</v>
      </c>
      <c r="N588" t="s">
        <v>77</v>
      </c>
      <c r="O588" t="s">
        <v>72</v>
      </c>
      <c r="P588" t="s">
        <v>72</v>
      </c>
      <c r="Q588" t="s">
        <v>72</v>
      </c>
      <c r="R588" t="s">
        <v>72</v>
      </c>
      <c r="S588" t="s">
        <v>72</v>
      </c>
      <c r="T588" t="s">
        <v>9547</v>
      </c>
      <c r="U588" t="s">
        <v>9548</v>
      </c>
      <c r="V588" t="s">
        <v>9549</v>
      </c>
      <c r="W588" t="s">
        <v>9550</v>
      </c>
      <c r="X588" t="s">
        <v>9551</v>
      </c>
      <c r="Y588" t="s">
        <v>9552</v>
      </c>
      <c r="Z588" t="s">
        <v>9553</v>
      </c>
      <c r="AA588" t="s">
        <v>7416</v>
      </c>
      <c r="AB588" t="s">
        <v>9554</v>
      </c>
      <c r="AC588" t="s">
        <v>72</v>
      </c>
      <c r="AD588" t="s">
        <v>72</v>
      </c>
      <c r="AE588" t="s">
        <v>72</v>
      </c>
      <c r="AF588" t="s">
        <v>72</v>
      </c>
      <c r="AG588">
        <v>49</v>
      </c>
      <c r="AH588">
        <v>6</v>
      </c>
      <c r="AI588">
        <v>6</v>
      </c>
      <c r="AJ588">
        <v>0</v>
      </c>
      <c r="AK588">
        <v>10</v>
      </c>
      <c r="AL588" t="s">
        <v>364</v>
      </c>
      <c r="AM588" t="s">
        <v>365</v>
      </c>
      <c r="AN588" t="s">
        <v>366</v>
      </c>
      <c r="AO588" t="s">
        <v>2956</v>
      </c>
      <c r="AP588" t="s">
        <v>2957</v>
      </c>
      <c r="AQ588" t="s">
        <v>72</v>
      </c>
      <c r="AR588" t="s">
        <v>2958</v>
      </c>
      <c r="AS588" t="s">
        <v>2959</v>
      </c>
      <c r="AT588" t="s">
        <v>6321</v>
      </c>
      <c r="AU588">
        <v>2021</v>
      </c>
      <c r="AV588">
        <v>44</v>
      </c>
      <c r="AW588">
        <v>2</v>
      </c>
      <c r="AX588" t="s">
        <v>72</v>
      </c>
      <c r="AY588" t="s">
        <v>72</v>
      </c>
      <c r="AZ588" t="s">
        <v>72</v>
      </c>
      <c r="BA588" t="s">
        <v>72</v>
      </c>
      <c r="BB588">
        <v>354</v>
      </c>
      <c r="BC588">
        <v>377</v>
      </c>
      <c r="BD588" t="s">
        <v>72</v>
      </c>
      <c r="BE588" t="s">
        <v>9555</v>
      </c>
      <c r="BF588" t="str">
        <f>HYPERLINK("http://dx.doi.org/10.1080/01402382.2019.1672025","http://dx.doi.org/10.1080/01402382.2019.1672025")</f>
        <v>http://dx.doi.org/10.1080/01402382.2019.1672025</v>
      </c>
      <c r="BG588" t="s">
        <v>72</v>
      </c>
      <c r="BH588" t="s">
        <v>5224</v>
      </c>
      <c r="BI588">
        <v>24</v>
      </c>
      <c r="BJ588" t="s">
        <v>219</v>
      </c>
      <c r="BK588" s="1" t="s">
        <v>17619</v>
      </c>
      <c r="BL588" t="s">
        <v>9556</v>
      </c>
      <c r="BM588" t="s">
        <v>72</v>
      </c>
      <c r="BN588" t="s">
        <v>72</v>
      </c>
      <c r="BO588" t="s">
        <v>72</v>
      </c>
      <c r="BP588" t="s">
        <v>72</v>
      </c>
      <c r="BQ588" t="s">
        <v>100</v>
      </c>
      <c r="BR588" t="s">
        <v>9557</v>
      </c>
      <c r="BS588" t="str">
        <f>HYPERLINK("https%3A%2F%2Fwww.webofscience.com%2Fwos%2Fwoscc%2Ffull-record%2FWOS:000492538500001","View Full Record in Web of Science")</f>
        <v>View Full Record in Web of Science</v>
      </c>
    </row>
    <row r="589" spans="1:71" x14ac:dyDescent="0.2">
      <c r="A589" t="s">
        <v>70</v>
      </c>
      <c r="B589" t="s">
        <v>9614</v>
      </c>
      <c r="C589" t="s">
        <v>72</v>
      </c>
      <c r="D589" t="s">
        <v>72</v>
      </c>
      <c r="E589" t="s">
        <v>72</v>
      </c>
      <c r="F589" t="s">
        <v>9615</v>
      </c>
      <c r="G589" t="s">
        <v>72</v>
      </c>
      <c r="H589" t="s">
        <v>72</v>
      </c>
      <c r="I589" t="s">
        <v>9616</v>
      </c>
      <c r="J589" t="s">
        <v>6016</v>
      </c>
      <c r="K589" t="s">
        <v>72</v>
      </c>
      <c r="L589" t="s">
        <v>72</v>
      </c>
      <c r="M589" t="s">
        <v>76</v>
      </c>
      <c r="N589" t="s">
        <v>77</v>
      </c>
      <c r="O589" t="s">
        <v>72</v>
      </c>
      <c r="P589" t="s">
        <v>72</v>
      </c>
      <c r="Q589" t="s">
        <v>72</v>
      </c>
      <c r="R589" t="s">
        <v>72</v>
      </c>
      <c r="S589" t="s">
        <v>72</v>
      </c>
      <c r="T589" t="s">
        <v>9617</v>
      </c>
      <c r="U589" t="s">
        <v>9618</v>
      </c>
      <c r="V589" t="s">
        <v>9619</v>
      </c>
      <c r="W589" t="s">
        <v>9620</v>
      </c>
      <c r="X589" t="s">
        <v>9621</v>
      </c>
      <c r="Y589" t="s">
        <v>9622</v>
      </c>
      <c r="Z589" t="s">
        <v>9623</v>
      </c>
      <c r="AA589" t="s">
        <v>72</v>
      </c>
      <c r="AB589" t="s">
        <v>72</v>
      </c>
      <c r="AC589" t="s">
        <v>72</v>
      </c>
      <c r="AD589" t="s">
        <v>72</v>
      </c>
      <c r="AE589" t="s">
        <v>72</v>
      </c>
      <c r="AF589" t="s">
        <v>72</v>
      </c>
      <c r="AG589">
        <v>50</v>
      </c>
      <c r="AH589">
        <v>24</v>
      </c>
      <c r="AI589">
        <v>24</v>
      </c>
      <c r="AJ589">
        <v>1</v>
      </c>
      <c r="AK589">
        <v>10</v>
      </c>
      <c r="AL589" t="s">
        <v>190</v>
      </c>
      <c r="AM589" t="s">
        <v>191</v>
      </c>
      <c r="AN589" t="s">
        <v>192</v>
      </c>
      <c r="AO589" t="s">
        <v>6026</v>
      </c>
      <c r="AP589" t="s">
        <v>6027</v>
      </c>
      <c r="AQ589" t="s">
        <v>72</v>
      </c>
      <c r="AR589" t="s">
        <v>6028</v>
      </c>
      <c r="AS589" t="s">
        <v>6029</v>
      </c>
      <c r="AT589" t="s">
        <v>639</v>
      </c>
      <c r="AU589">
        <v>2020</v>
      </c>
      <c r="AV589">
        <v>53</v>
      </c>
      <c r="AW589">
        <v>9</v>
      </c>
      <c r="AX589" t="s">
        <v>72</v>
      </c>
      <c r="AY589" t="s">
        <v>72</v>
      </c>
      <c r="AZ589" t="s">
        <v>478</v>
      </c>
      <c r="BA589" t="s">
        <v>72</v>
      </c>
      <c r="BB589">
        <v>1493</v>
      </c>
      <c r="BC589">
        <v>1524</v>
      </c>
      <c r="BD589" t="s">
        <v>72</v>
      </c>
      <c r="BE589" t="s">
        <v>9624</v>
      </c>
      <c r="BF589" t="str">
        <f>HYPERLINK("http://dx.doi.org/10.1177/0010414018758765","http://dx.doi.org/10.1177/0010414018758765")</f>
        <v>http://dx.doi.org/10.1177/0010414018758765</v>
      </c>
      <c r="BG589" t="s">
        <v>72</v>
      </c>
      <c r="BH589" t="s">
        <v>72</v>
      </c>
      <c r="BI589">
        <v>32</v>
      </c>
      <c r="BJ589" t="s">
        <v>219</v>
      </c>
      <c r="BK589" s="1" t="s">
        <v>17619</v>
      </c>
      <c r="BL589" t="s">
        <v>9625</v>
      </c>
      <c r="BM589" t="s">
        <v>72</v>
      </c>
      <c r="BN589" t="s">
        <v>72</v>
      </c>
      <c r="BO589" t="s">
        <v>72</v>
      </c>
      <c r="BP589" t="s">
        <v>72</v>
      </c>
      <c r="BQ589" t="s">
        <v>100</v>
      </c>
      <c r="BR589" t="s">
        <v>9626</v>
      </c>
      <c r="BS589" t="str">
        <f>HYPERLINK("https%3A%2F%2Fwww.webofscience.com%2Fwos%2Fwoscc%2Ffull-record%2FWOS:000546622800005","View Full Record in Web of Science")</f>
        <v>View Full Record in Web of Science</v>
      </c>
    </row>
    <row r="590" spans="1:71" x14ac:dyDescent="0.2">
      <c r="A590" t="s">
        <v>70</v>
      </c>
      <c r="B590" t="s">
        <v>9662</v>
      </c>
      <c r="C590" t="s">
        <v>72</v>
      </c>
      <c r="D590" t="s">
        <v>72</v>
      </c>
      <c r="E590" t="s">
        <v>72</v>
      </c>
      <c r="F590" t="s">
        <v>9663</v>
      </c>
      <c r="G590" t="s">
        <v>72</v>
      </c>
      <c r="H590" t="s">
        <v>72</v>
      </c>
      <c r="I590" t="s">
        <v>9664</v>
      </c>
      <c r="J590" t="s">
        <v>4938</v>
      </c>
      <c r="K590" t="s">
        <v>72</v>
      </c>
      <c r="L590" t="s">
        <v>72</v>
      </c>
      <c r="M590" t="s">
        <v>76</v>
      </c>
      <c r="N590" t="s">
        <v>77</v>
      </c>
      <c r="O590" t="s">
        <v>72</v>
      </c>
      <c r="P590" t="s">
        <v>72</v>
      </c>
      <c r="Q590" t="s">
        <v>72</v>
      </c>
      <c r="R590" t="s">
        <v>72</v>
      </c>
      <c r="S590" t="s">
        <v>72</v>
      </c>
      <c r="T590" t="s">
        <v>72</v>
      </c>
      <c r="U590" t="s">
        <v>9665</v>
      </c>
      <c r="V590" t="s">
        <v>9666</v>
      </c>
      <c r="W590" t="s">
        <v>9667</v>
      </c>
      <c r="X590" t="s">
        <v>9668</v>
      </c>
      <c r="Y590" t="s">
        <v>9669</v>
      </c>
      <c r="Z590" t="s">
        <v>9670</v>
      </c>
      <c r="AA590" t="s">
        <v>72</v>
      </c>
      <c r="AB590" t="s">
        <v>72</v>
      </c>
      <c r="AC590" t="s">
        <v>9671</v>
      </c>
      <c r="AD590" t="s">
        <v>9671</v>
      </c>
      <c r="AE590" t="s">
        <v>9672</v>
      </c>
      <c r="AF590" t="s">
        <v>72</v>
      </c>
      <c r="AG590">
        <v>67</v>
      </c>
      <c r="AH590">
        <v>75</v>
      </c>
      <c r="AI590">
        <v>76</v>
      </c>
      <c r="AJ590">
        <v>2</v>
      </c>
      <c r="AK590">
        <v>46</v>
      </c>
      <c r="AL590" t="s">
        <v>1260</v>
      </c>
      <c r="AM590" t="s">
        <v>964</v>
      </c>
      <c r="AN590" t="s">
        <v>965</v>
      </c>
      <c r="AO590" t="s">
        <v>4947</v>
      </c>
      <c r="AP590" t="s">
        <v>4948</v>
      </c>
      <c r="AQ590" t="s">
        <v>72</v>
      </c>
      <c r="AR590" t="s">
        <v>4949</v>
      </c>
      <c r="AS590" t="s">
        <v>4950</v>
      </c>
      <c r="AT590" t="s">
        <v>247</v>
      </c>
      <c r="AU590">
        <v>2018</v>
      </c>
      <c r="AV590">
        <v>62</v>
      </c>
      <c r="AW590">
        <v>1</v>
      </c>
      <c r="AX590" t="s">
        <v>72</v>
      </c>
      <c r="AY590" t="s">
        <v>72</v>
      </c>
      <c r="AZ590" t="s">
        <v>72</v>
      </c>
      <c r="BA590" t="s">
        <v>72</v>
      </c>
      <c r="BB590">
        <v>55</v>
      </c>
      <c r="BC590">
        <v>71</v>
      </c>
      <c r="BD590" t="s">
        <v>72</v>
      </c>
      <c r="BE590" t="s">
        <v>9673</v>
      </c>
      <c r="BF590" t="str">
        <f>HYPERLINK("http://dx.doi.org/10.1111/ajps.12329","http://dx.doi.org/10.1111/ajps.12329")</f>
        <v>http://dx.doi.org/10.1111/ajps.12329</v>
      </c>
      <c r="BG590" t="s">
        <v>72</v>
      </c>
      <c r="BH590" t="s">
        <v>72</v>
      </c>
      <c r="BI590">
        <v>17</v>
      </c>
      <c r="BJ590" t="s">
        <v>219</v>
      </c>
      <c r="BK590" s="1" t="s">
        <v>17619</v>
      </c>
      <c r="BL590" t="s">
        <v>9674</v>
      </c>
      <c r="BM590" t="s">
        <v>72</v>
      </c>
      <c r="BN590" t="s">
        <v>72</v>
      </c>
      <c r="BO590" t="s">
        <v>72</v>
      </c>
      <c r="BP590" t="s">
        <v>72</v>
      </c>
      <c r="BQ590" t="s">
        <v>100</v>
      </c>
      <c r="BR590" t="s">
        <v>9675</v>
      </c>
      <c r="BS590" t="str">
        <f>HYPERLINK("https%3A%2F%2Fwww.webofscience.com%2Fwos%2Fwoscc%2Ffull-record%2FWOS:000423664400004","View Full Record in Web of Science")</f>
        <v>View Full Record in Web of Science</v>
      </c>
    </row>
    <row r="591" spans="1:71" x14ac:dyDescent="0.2">
      <c r="A591" t="s">
        <v>70</v>
      </c>
      <c r="B591" t="s">
        <v>9676</v>
      </c>
      <c r="C591" t="s">
        <v>72</v>
      </c>
      <c r="D591" t="s">
        <v>72</v>
      </c>
      <c r="E591" t="s">
        <v>72</v>
      </c>
      <c r="F591" t="s">
        <v>9677</v>
      </c>
      <c r="G591" t="s">
        <v>72</v>
      </c>
      <c r="H591" t="s">
        <v>72</v>
      </c>
      <c r="I591" t="s">
        <v>9678</v>
      </c>
      <c r="J591" t="s">
        <v>206</v>
      </c>
      <c r="K591" t="s">
        <v>72</v>
      </c>
      <c r="L591" t="s">
        <v>72</v>
      </c>
      <c r="M591" t="s">
        <v>76</v>
      </c>
      <c r="N591" t="s">
        <v>77</v>
      </c>
      <c r="O591" t="s">
        <v>72</v>
      </c>
      <c r="P591" t="s">
        <v>72</v>
      </c>
      <c r="Q591" t="s">
        <v>72</v>
      </c>
      <c r="R591" t="s">
        <v>72</v>
      </c>
      <c r="S591" t="s">
        <v>72</v>
      </c>
      <c r="T591" t="s">
        <v>9679</v>
      </c>
      <c r="U591" t="s">
        <v>9680</v>
      </c>
      <c r="V591" t="s">
        <v>9681</v>
      </c>
      <c r="W591" t="s">
        <v>9682</v>
      </c>
      <c r="X591" t="s">
        <v>9683</v>
      </c>
      <c r="Y591" t="s">
        <v>9684</v>
      </c>
      <c r="Z591" t="s">
        <v>9685</v>
      </c>
      <c r="AA591" t="s">
        <v>9686</v>
      </c>
      <c r="AB591" t="s">
        <v>9687</v>
      </c>
      <c r="AC591" t="s">
        <v>72</v>
      </c>
      <c r="AD591" t="s">
        <v>72</v>
      </c>
      <c r="AE591" t="s">
        <v>72</v>
      </c>
      <c r="AF591" t="s">
        <v>72</v>
      </c>
      <c r="AG591">
        <v>41</v>
      </c>
      <c r="AH591">
        <v>19</v>
      </c>
      <c r="AI591">
        <v>19</v>
      </c>
      <c r="AJ591">
        <v>1</v>
      </c>
      <c r="AK591">
        <v>13</v>
      </c>
      <c r="AL591" t="s">
        <v>190</v>
      </c>
      <c r="AM591" t="s">
        <v>191</v>
      </c>
      <c r="AN591" t="s">
        <v>192</v>
      </c>
      <c r="AO591" t="s">
        <v>72</v>
      </c>
      <c r="AP591" t="s">
        <v>215</v>
      </c>
      <c r="AQ591" t="s">
        <v>72</v>
      </c>
      <c r="AR591" t="s">
        <v>216</v>
      </c>
      <c r="AS591" t="s">
        <v>217</v>
      </c>
      <c r="AT591" t="s">
        <v>5203</v>
      </c>
      <c r="AU591">
        <v>2017</v>
      </c>
      <c r="AV591">
        <v>4</v>
      </c>
      <c r="AW591">
        <v>4</v>
      </c>
      <c r="AX591" t="s">
        <v>72</v>
      </c>
      <c r="AY591" t="s">
        <v>72</v>
      </c>
      <c r="AZ591" t="s">
        <v>72</v>
      </c>
      <c r="BA591" t="s">
        <v>72</v>
      </c>
      <c r="BB591" t="s">
        <v>72</v>
      </c>
      <c r="BC591" t="s">
        <v>72</v>
      </c>
      <c r="BD591">
        <v>2053168017737900</v>
      </c>
      <c r="BE591" t="s">
        <v>9688</v>
      </c>
      <c r="BF591" t="str">
        <f>HYPERLINK("http://dx.doi.org/10.1177/2053168017737900","http://dx.doi.org/10.1177/2053168017737900")</f>
        <v>http://dx.doi.org/10.1177/2053168017737900</v>
      </c>
      <c r="BG591" t="s">
        <v>72</v>
      </c>
      <c r="BH591" t="s">
        <v>72</v>
      </c>
      <c r="BI591">
        <v>7</v>
      </c>
      <c r="BJ591" t="s">
        <v>219</v>
      </c>
      <c r="BK591" s="1" t="s">
        <v>17619</v>
      </c>
      <c r="BL591" t="s">
        <v>9689</v>
      </c>
      <c r="BM591" t="s">
        <v>72</v>
      </c>
      <c r="BN591" t="s">
        <v>222</v>
      </c>
      <c r="BO591" t="s">
        <v>72</v>
      </c>
      <c r="BP591" t="s">
        <v>72</v>
      </c>
      <c r="BQ591" t="s">
        <v>100</v>
      </c>
      <c r="BR591" t="s">
        <v>9690</v>
      </c>
      <c r="BS591" t="str">
        <f>HYPERLINK("https%3A%2F%2Fwww.webofscience.com%2Fwos%2Fwoscc%2Ffull-record%2FWOS:000424978300001","View Full Record in Web of Science")</f>
        <v>View Full Record in Web of Science</v>
      </c>
    </row>
    <row r="592" spans="1:71" x14ac:dyDescent="0.2">
      <c r="A592" t="s">
        <v>70</v>
      </c>
      <c r="B592" t="s">
        <v>9731</v>
      </c>
      <c r="C592" t="s">
        <v>72</v>
      </c>
      <c r="D592" t="s">
        <v>72</v>
      </c>
      <c r="E592" t="s">
        <v>72</v>
      </c>
      <c r="F592" t="s">
        <v>9732</v>
      </c>
      <c r="G592" t="s">
        <v>72</v>
      </c>
      <c r="H592" t="s">
        <v>72</v>
      </c>
      <c r="I592" t="s">
        <v>9733</v>
      </c>
      <c r="J592" t="s">
        <v>9734</v>
      </c>
      <c r="K592" t="s">
        <v>72</v>
      </c>
      <c r="L592" t="s">
        <v>72</v>
      </c>
      <c r="M592" t="s">
        <v>76</v>
      </c>
      <c r="N592" t="s">
        <v>77</v>
      </c>
      <c r="O592" t="s">
        <v>72</v>
      </c>
      <c r="P592" t="s">
        <v>72</v>
      </c>
      <c r="Q592" t="s">
        <v>72</v>
      </c>
      <c r="R592" t="s">
        <v>72</v>
      </c>
      <c r="S592" t="s">
        <v>72</v>
      </c>
      <c r="T592" t="s">
        <v>9735</v>
      </c>
      <c r="U592" t="s">
        <v>72</v>
      </c>
      <c r="V592" t="s">
        <v>9736</v>
      </c>
      <c r="W592" t="s">
        <v>9737</v>
      </c>
      <c r="X592" t="s">
        <v>9738</v>
      </c>
      <c r="Y592" t="s">
        <v>9739</v>
      </c>
      <c r="Z592" t="s">
        <v>9740</v>
      </c>
      <c r="AA592" t="s">
        <v>72</v>
      </c>
      <c r="AB592" t="s">
        <v>9741</v>
      </c>
      <c r="AC592" t="s">
        <v>72</v>
      </c>
      <c r="AD592" t="s">
        <v>72</v>
      </c>
      <c r="AE592" t="s">
        <v>72</v>
      </c>
      <c r="AF592" t="s">
        <v>72</v>
      </c>
      <c r="AG592">
        <v>48</v>
      </c>
      <c r="AH592">
        <v>1</v>
      </c>
      <c r="AI592">
        <v>1</v>
      </c>
      <c r="AJ592">
        <v>2</v>
      </c>
      <c r="AK592">
        <v>8</v>
      </c>
      <c r="AL592" t="s">
        <v>190</v>
      </c>
      <c r="AM592" t="s">
        <v>191</v>
      </c>
      <c r="AN592" t="s">
        <v>192</v>
      </c>
      <c r="AO592" t="s">
        <v>9742</v>
      </c>
      <c r="AP592" t="s">
        <v>9743</v>
      </c>
      <c r="AQ592" t="s">
        <v>72</v>
      </c>
      <c r="AR592" t="s">
        <v>9744</v>
      </c>
      <c r="AS592" t="s">
        <v>9745</v>
      </c>
      <c r="AT592" t="s">
        <v>555</v>
      </c>
      <c r="AU592">
        <v>2022</v>
      </c>
      <c r="AV592">
        <v>75</v>
      </c>
      <c r="AW592">
        <v>1</v>
      </c>
      <c r="AX592" t="s">
        <v>72</v>
      </c>
      <c r="AY592" t="s">
        <v>72</v>
      </c>
      <c r="AZ592" t="s">
        <v>72</v>
      </c>
      <c r="BA592" t="s">
        <v>72</v>
      </c>
      <c r="BB592">
        <v>244</v>
      </c>
      <c r="BC592">
        <v>258</v>
      </c>
      <c r="BD592">
        <v>1065912921991673</v>
      </c>
      <c r="BE592" t="s">
        <v>9746</v>
      </c>
      <c r="BF592" t="str">
        <f>HYPERLINK("http://dx.doi.org/10.1177/1065912921991673","http://dx.doi.org/10.1177/1065912921991673")</f>
        <v>http://dx.doi.org/10.1177/1065912921991673</v>
      </c>
      <c r="BG592" t="s">
        <v>72</v>
      </c>
      <c r="BH592" t="s">
        <v>344</v>
      </c>
      <c r="BI592">
        <v>15</v>
      </c>
      <c r="BJ592" t="s">
        <v>219</v>
      </c>
      <c r="BK592" s="1" t="s">
        <v>17619</v>
      </c>
      <c r="BL592" t="s">
        <v>9747</v>
      </c>
      <c r="BM592" t="s">
        <v>72</v>
      </c>
      <c r="BN592" t="s">
        <v>72</v>
      </c>
      <c r="BO592" t="s">
        <v>72</v>
      </c>
      <c r="BP592" t="s">
        <v>72</v>
      </c>
      <c r="BQ592" t="s">
        <v>100</v>
      </c>
      <c r="BR592" t="s">
        <v>9748</v>
      </c>
      <c r="BS592" t="str">
        <f>HYPERLINK("https%3A%2F%2Fwww.webofscience.com%2Fwos%2Fwoscc%2Ffull-record%2FWOS:000637922000001","View Full Record in Web of Science")</f>
        <v>View Full Record in Web of Science</v>
      </c>
    </row>
    <row r="593" spans="1:71" x14ac:dyDescent="0.2">
      <c r="A593" t="s">
        <v>70</v>
      </c>
      <c r="B593" t="s">
        <v>9810</v>
      </c>
      <c r="C593" t="s">
        <v>72</v>
      </c>
      <c r="D593" t="s">
        <v>72</v>
      </c>
      <c r="E593" t="s">
        <v>72</v>
      </c>
      <c r="F593" t="s">
        <v>9811</v>
      </c>
      <c r="G593" t="s">
        <v>72</v>
      </c>
      <c r="H593" t="s">
        <v>72</v>
      </c>
      <c r="I593" t="s">
        <v>9812</v>
      </c>
      <c r="J593" t="s">
        <v>9813</v>
      </c>
      <c r="K593" t="s">
        <v>72</v>
      </c>
      <c r="L593" t="s">
        <v>72</v>
      </c>
      <c r="M593" t="s">
        <v>76</v>
      </c>
      <c r="N593" t="s">
        <v>352</v>
      </c>
      <c r="O593" t="s">
        <v>72</v>
      </c>
      <c r="P593" t="s">
        <v>72</v>
      </c>
      <c r="Q593" t="s">
        <v>72</v>
      </c>
      <c r="R593" t="s">
        <v>72</v>
      </c>
      <c r="S593" t="s">
        <v>72</v>
      </c>
      <c r="T593" t="s">
        <v>9814</v>
      </c>
      <c r="U593" t="s">
        <v>9815</v>
      </c>
      <c r="V593" t="s">
        <v>9816</v>
      </c>
      <c r="W593" t="s">
        <v>9817</v>
      </c>
      <c r="X593" t="s">
        <v>9818</v>
      </c>
      <c r="Y593" t="s">
        <v>9819</v>
      </c>
      <c r="Z593" t="s">
        <v>9820</v>
      </c>
      <c r="AA593" t="s">
        <v>72</v>
      </c>
      <c r="AB593" t="s">
        <v>72</v>
      </c>
      <c r="AC593" t="s">
        <v>72</v>
      </c>
      <c r="AD593" t="s">
        <v>72</v>
      </c>
      <c r="AE593" t="s">
        <v>72</v>
      </c>
      <c r="AF593" t="s">
        <v>72</v>
      </c>
      <c r="AG593">
        <v>40</v>
      </c>
      <c r="AH593">
        <v>0</v>
      </c>
      <c r="AI593">
        <v>0</v>
      </c>
      <c r="AJ593">
        <v>0</v>
      </c>
      <c r="AK593">
        <v>0</v>
      </c>
      <c r="AL593" t="s">
        <v>364</v>
      </c>
      <c r="AM593" t="s">
        <v>365</v>
      </c>
      <c r="AN593" t="s">
        <v>366</v>
      </c>
      <c r="AO593" t="s">
        <v>9821</v>
      </c>
      <c r="AP593" t="s">
        <v>9822</v>
      </c>
      <c r="AQ593" t="s">
        <v>72</v>
      </c>
      <c r="AR593" t="s">
        <v>9823</v>
      </c>
      <c r="AS593" t="s">
        <v>9824</v>
      </c>
      <c r="AT593" t="s">
        <v>72</v>
      </c>
      <c r="AU593" t="s">
        <v>72</v>
      </c>
      <c r="AV593" t="s">
        <v>72</v>
      </c>
      <c r="AW593" t="s">
        <v>72</v>
      </c>
      <c r="AX593" t="s">
        <v>72</v>
      </c>
      <c r="AY593" t="s">
        <v>72</v>
      </c>
      <c r="AZ593" t="s">
        <v>72</v>
      </c>
      <c r="BA593" t="s">
        <v>72</v>
      </c>
      <c r="BB593" t="s">
        <v>72</v>
      </c>
      <c r="BC593" t="s">
        <v>72</v>
      </c>
      <c r="BD593" t="s">
        <v>72</v>
      </c>
      <c r="BE593" t="s">
        <v>9825</v>
      </c>
      <c r="BF593" t="str">
        <f>HYPERLINK("http://dx.doi.org/10.1080/21565503.2022.2086473","http://dx.doi.org/10.1080/21565503.2022.2086473")</f>
        <v>http://dx.doi.org/10.1080/21565503.2022.2086473</v>
      </c>
      <c r="BG593" t="s">
        <v>72</v>
      </c>
      <c r="BH593" t="s">
        <v>372</v>
      </c>
      <c r="BI593">
        <v>20</v>
      </c>
      <c r="BJ593" t="s">
        <v>219</v>
      </c>
      <c r="BK593" s="1" t="s">
        <v>17619</v>
      </c>
      <c r="BL593" t="s">
        <v>9826</v>
      </c>
      <c r="BM593" t="s">
        <v>72</v>
      </c>
      <c r="BN593" t="s">
        <v>72</v>
      </c>
      <c r="BO593" t="s">
        <v>72</v>
      </c>
      <c r="BP593" t="s">
        <v>72</v>
      </c>
      <c r="BQ593" t="s">
        <v>100</v>
      </c>
      <c r="BR593" t="s">
        <v>9827</v>
      </c>
      <c r="BS593" t="str">
        <f>HYPERLINK("https%3A%2F%2Fwww.webofscience.com%2Fwos%2Fwoscc%2Ffull-record%2FWOS:000828257100001","View Full Record in Web of Science")</f>
        <v>View Full Record in Web of Science</v>
      </c>
    </row>
    <row r="594" spans="1:71" x14ac:dyDescent="0.2">
      <c r="A594" t="s">
        <v>70</v>
      </c>
      <c r="B594" t="s">
        <v>9852</v>
      </c>
      <c r="C594" t="s">
        <v>72</v>
      </c>
      <c r="D594" t="s">
        <v>72</v>
      </c>
      <c r="E594" t="s">
        <v>72</v>
      </c>
      <c r="F594" t="s">
        <v>9853</v>
      </c>
      <c r="G594" t="s">
        <v>72</v>
      </c>
      <c r="H594" t="s">
        <v>72</v>
      </c>
      <c r="I594" t="s">
        <v>9854</v>
      </c>
      <c r="J594" t="s">
        <v>9855</v>
      </c>
      <c r="K594" t="s">
        <v>72</v>
      </c>
      <c r="L594" t="s">
        <v>72</v>
      </c>
      <c r="M594" t="s">
        <v>76</v>
      </c>
      <c r="N594" t="s">
        <v>352</v>
      </c>
      <c r="O594" t="s">
        <v>72</v>
      </c>
      <c r="P594" t="s">
        <v>72</v>
      </c>
      <c r="Q594" t="s">
        <v>72</v>
      </c>
      <c r="R594" t="s">
        <v>72</v>
      </c>
      <c r="S594" t="s">
        <v>72</v>
      </c>
      <c r="T594" t="s">
        <v>9856</v>
      </c>
      <c r="U594" t="s">
        <v>9857</v>
      </c>
      <c r="V594" t="s">
        <v>9858</v>
      </c>
      <c r="W594" t="s">
        <v>9859</v>
      </c>
      <c r="X594" t="s">
        <v>9860</v>
      </c>
      <c r="Y594" t="s">
        <v>9861</v>
      </c>
      <c r="Z594" t="s">
        <v>9862</v>
      </c>
      <c r="AA594" t="s">
        <v>72</v>
      </c>
      <c r="AB594" t="s">
        <v>72</v>
      </c>
      <c r="AC594" t="s">
        <v>9863</v>
      </c>
      <c r="AD594" t="s">
        <v>9864</v>
      </c>
      <c r="AE594" t="s">
        <v>9865</v>
      </c>
      <c r="AF594" t="s">
        <v>72</v>
      </c>
      <c r="AG594">
        <v>33</v>
      </c>
      <c r="AH594">
        <v>0</v>
      </c>
      <c r="AI594">
        <v>0</v>
      </c>
      <c r="AJ594">
        <v>0</v>
      </c>
      <c r="AK594">
        <v>0</v>
      </c>
      <c r="AL594" t="s">
        <v>1005</v>
      </c>
      <c r="AM594" t="s">
        <v>1006</v>
      </c>
      <c r="AN594" t="s">
        <v>1007</v>
      </c>
      <c r="AO594" t="s">
        <v>9866</v>
      </c>
      <c r="AP594" t="s">
        <v>9867</v>
      </c>
      <c r="AQ594" t="s">
        <v>72</v>
      </c>
      <c r="AR594" t="s">
        <v>9868</v>
      </c>
      <c r="AS594" t="s">
        <v>9869</v>
      </c>
      <c r="AT594" t="s">
        <v>72</v>
      </c>
      <c r="AU594" t="s">
        <v>72</v>
      </c>
      <c r="AV594" t="s">
        <v>72</v>
      </c>
      <c r="AW594" t="s">
        <v>72</v>
      </c>
      <c r="AX594" t="s">
        <v>72</v>
      </c>
      <c r="AY594" t="s">
        <v>72</v>
      </c>
      <c r="AZ594" t="s">
        <v>72</v>
      </c>
      <c r="BA594" t="s">
        <v>72</v>
      </c>
      <c r="BB594" t="s">
        <v>72</v>
      </c>
      <c r="BC594" t="s">
        <v>72</v>
      </c>
      <c r="BD594" t="s">
        <v>72</v>
      </c>
      <c r="BE594" t="s">
        <v>9870</v>
      </c>
      <c r="BF594" t="str">
        <f>HYPERLINK("http://dx.doi.org/10.1057/s41304-022-00376-8","http://dx.doi.org/10.1057/s41304-022-00376-8")</f>
        <v>http://dx.doi.org/10.1057/s41304-022-00376-8</v>
      </c>
      <c r="BG594" t="s">
        <v>72</v>
      </c>
      <c r="BH594" t="s">
        <v>1770</v>
      </c>
      <c r="BI594">
        <v>31</v>
      </c>
      <c r="BJ594" t="s">
        <v>219</v>
      </c>
      <c r="BK594" s="1" t="s">
        <v>17619</v>
      </c>
      <c r="BL594" t="s">
        <v>9871</v>
      </c>
      <c r="BM594" t="s">
        <v>72</v>
      </c>
      <c r="BN594" t="s">
        <v>280</v>
      </c>
      <c r="BO594" t="s">
        <v>72</v>
      </c>
      <c r="BP594" t="s">
        <v>72</v>
      </c>
      <c r="BQ594" t="s">
        <v>100</v>
      </c>
      <c r="BR594" t="s">
        <v>9872</v>
      </c>
      <c r="BS594" t="str">
        <f>HYPERLINK("https%3A%2F%2Fwww.webofscience.com%2Fwos%2Fwoscc%2Ffull-record%2FWOS:000781701700002","View Full Record in Web of Science")</f>
        <v>View Full Record in Web of Science</v>
      </c>
    </row>
    <row r="595" spans="1:71" x14ac:dyDescent="0.2">
      <c r="A595" t="s">
        <v>70</v>
      </c>
      <c r="B595" t="s">
        <v>9945</v>
      </c>
      <c r="C595" t="s">
        <v>72</v>
      </c>
      <c r="D595" t="s">
        <v>72</v>
      </c>
      <c r="E595" t="s">
        <v>72</v>
      </c>
      <c r="F595" t="s">
        <v>9946</v>
      </c>
      <c r="G595" t="s">
        <v>72</v>
      </c>
      <c r="H595" t="s">
        <v>72</v>
      </c>
      <c r="I595" t="s">
        <v>9947</v>
      </c>
      <c r="J595" t="s">
        <v>5403</v>
      </c>
      <c r="K595" t="s">
        <v>72</v>
      </c>
      <c r="L595" t="s">
        <v>72</v>
      </c>
      <c r="M595" t="s">
        <v>76</v>
      </c>
      <c r="N595" t="s">
        <v>77</v>
      </c>
      <c r="O595" t="s">
        <v>72</v>
      </c>
      <c r="P595" t="s">
        <v>72</v>
      </c>
      <c r="Q595" t="s">
        <v>72</v>
      </c>
      <c r="R595" t="s">
        <v>72</v>
      </c>
      <c r="S595" t="s">
        <v>72</v>
      </c>
      <c r="T595" t="s">
        <v>9948</v>
      </c>
      <c r="U595" t="s">
        <v>9949</v>
      </c>
      <c r="V595" t="s">
        <v>9950</v>
      </c>
      <c r="W595" t="s">
        <v>9951</v>
      </c>
      <c r="X595" t="s">
        <v>9952</v>
      </c>
      <c r="Y595" t="s">
        <v>9953</v>
      </c>
      <c r="Z595" t="s">
        <v>9954</v>
      </c>
      <c r="AA595" t="s">
        <v>9955</v>
      </c>
      <c r="AB595" t="s">
        <v>9956</v>
      </c>
      <c r="AC595" t="s">
        <v>72</v>
      </c>
      <c r="AD595" t="s">
        <v>72</v>
      </c>
      <c r="AE595" t="s">
        <v>72</v>
      </c>
      <c r="AF595" t="s">
        <v>72</v>
      </c>
      <c r="AG595">
        <v>81</v>
      </c>
      <c r="AH595">
        <v>27</v>
      </c>
      <c r="AI595">
        <v>27</v>
      </c>
      <c r="AJ595">
        <v>2</v>
      </c>
      <c r="AK595">
        <v>16</v>
      </c>
      <c r="AL595" t="s">
        <v>1260</v>
      </c>
      <c r="AM595" t="s">
        <v>964</v>
      </c>
      <c r="AN595" t="s">
        <v>965</v>
      </c>
      <c r="AO595" t="s">
        <v>5410</v>
      </c>
      <c r="AP595" t="s">
        <v>5411</v>
      </c>
      <c r="AQ595" t="s">
        <v>72</v>
      </c>
      <c r="AR595" t="s">
        <v>5412</v>
      </c>
      <c r="AS595" t="s">
        <v>5413</v>
      </c>
      <c r="AT595" t="s">
        <v>951</v>
      </c>
      <c r="AU595">
        <v>2019</v>
      </c>
      <c r="AV595">
        <v>44</v>
      </c>
      <c r="AW595">
        <v>4</v>
      </c>
      <c r="AX595" t="s">
        <v>72</v>
      </c>
      <c r="AY595" t="s">
        <v>72</v>
      </c>
      <c r="AZ595" t="s">
        <v>72</v>
      </c>
      <c r="BA595" t="s">
        <v>72</v>
      </c>
      <c r="BB595">
        <v>681</v>
      </c>
      <c r="BC595">
        <v>711</v>
      </c>
      <c r="BD595" t="s">
        <v>72</v>
      </c>
      <c r="BE595" t="s">
        <v>9957</v>
      </c>
      <c r="BF595" t="str">
        <f>HYPERLINK("http://dx.doi.org/10.1111/lsq.12238","http://dx.doi.org/10.1111/lsq.12238")</f>
        <v>http://dx.doi.org/10.1111/lsq.12238</v>
      </c>
      <c r="BG595" t="s">
        <v>72</v>
      </c>
      <c r="BH595" t="s">
        <v>72</v>
      </c>
      <c r="BI595">
        <v>31</v>
      </c>
      <c r="BJ595" t="s">
        <v>219</v>
      </c>
      <c r="BK595" s="1" t="s">
        <v>17619</v>
      </c>
      <c r="BL595" t="s">
        <v>9958</v>
      </c>
      <c r="BM595" t="s">
        <v>72</v>
      </c>
      <c r="BN595" t="s">
        <v>72</v>
      </c>
      <c r="BO595" t="s">
        <v>72</v>
      </c>
      <c r="BP595" t="s">
        <v>72</v>
      </c>
      <c r="BQ595" t="s">
        <v>100</v>
      </c>
      <c r="BR595" t="s">
        <v>9959</v>
      </c>
      <c r="BS595" t="str">
        <f>HYPERLINK("https%3A%2F%2Fwww.webofscience.com%2Fwos%2Fwoscc%2Ffull-record%2FWOS:000494507700006","View Full Record in Web of Science")</f>
        <v>View Full Record in Web of Science</v>
      </c>
    </row>
    <row r="596" spans="1:71" x14ac:dyDescent="0.2">
      <c r="A596" t="s">
        <v>70</v>
      </c>
      <c r="B596" t="s">
        <v>9960</v>
      </c>
      <c r="C596" t="s">
        <v>72</v>
      </c>
      <c r="D596" t="s">
        <v>72</v>
      </c>
      <c r="E596" t="s">
        <v>72</v>
      </c>
      <c r="F596" t="s">
        <v>9961</v>
      </c>
      <c r="G596" t="s">
        <v>72</v>
      </c>
      <c r="H596" t="s">
        <v>72</v>
      </c>
      <c r="I596" t="s">
        <v>9962</v>
      </c>
      <c r="J596" t="s">
        <v>9963</v>
      </c>
      <c r="K596" t="s">
        <v>72</v>
      </c>
      <c r="L596" t="s">
        <v>72</v>
      </c>
      <c r="M596" t="s">
        <v>76</v>
      </c>
      <c r="N596" t="s">
        <v>1503</v>
      </c>
      <c r="O596" t="s">
        <v>72</v>
      </c>
      <c r="P596" t="s">
        <v>72</v>
      </c>
      <c r="Q596" t="s">
        <v>72</v>
      </c>
      <c r="R596" t="s">
        <v>72</v>
      </c>
      <c r="S596" t="s">
        <v>72</v>
      </c>
      <c r="T596" t="s">
        <v>9964</v>
      </c>
      <c r="U596" t="s">
        <v>72</v>
      </c>
      <c r="V596" t="s">
        <v>9965</v>
      </c>
      <c r="W596" t="s">
        <v>9966</v>
      </c>
      <c r="X596" t="s">
        <v>8605</v>
      </c>
      <c r="Y596" t="s">
        <v>9967</v>
      </c>
      <c r="Z596" t="s">
        <v>9968</v>
      </c>
      <c r="AA596" t="s">
        <v>72</v>
      </c>
      <c r="AB596" t="s">
        <v>72</v>
      </c>
      <c r="AC596" t="s">
        <v>9969</v>
      </c>
      <c r="AD596" t="s">
        <v>9970</v>
      </c>
      <c r="AE596" t="s">
        <v>9971</v>
      </c>
      <c r="AF596" t="s">
        <v>72</v>
      </c>
      <c r="AG596">
        <v>34</v>
      </c>
      <c r="AH596">
        <v>2</v>
      </c>
      <c r="AI596">
        <v>2</v>
      </c>
      <c r="AJ596">
        <v>3</v>
      </c>
      <c r="AK596">
        <v>8</v>
      </c>
      <c r="AL596" t="s">
        <v>9972</v>
      </c>
      <c r="AM596" t="s">
        <v>9973</v>
      </c>
      <c r="AN596" t="s">
        <v>9974</v>
      </c>
      <c r="AO596" t="s">
        <v>9975</v>
      </c>
      <c r="AP596" t="s">
        <v>72</v>
      </c>
      <c r="AQ596" t="s">
        <v>72</v>
      </c>
      <c r="AR596" t="s">
        <v>9976</v>
      </c>
      <c r="AS596" t="s">
        <v>9977</v>
      </c>
      <c r="AT596" t="s">
        <v>72</v>
      </c>
      <c r="AU596">
        <v>2021</v>
      </c>
      <c r="AV596">
        <v>9</v>
      </c>
      <c r="AW596">
        <v>1</v>
      </c>
      <c r="AX596" t="s">
        <v>72</v>
      </c>
      <c r="AY596" t="s">
        <v>72</v>
      </c>
      <c r="AZ596" t="s">
        <v>72</v>
      </c>
      <c r="BA596" t="s">
        <v>72</v>
      </c>
      <c r="BB596">
        <v>226</v>
      </c>
      <c r="BC596">
        <v>236</v>
      </c>
      <c r="BD596" t="s">
        <v>72</v>
      </c>
      <c r="BE596" t="s">
        <v>9978</v>
      </c>
      <c r="BF596" t="str">
        <f>HYPERLINK("http://dx.doi.org/10.17645/pag.v9i1.4011","http://dx.doi.org/10.17645/pag.v9i1.4011")</f>
        <v>http://dx.doi.org/10.17645/pag.v9i1.4011</v>
      </c>
      <c r="BG596" t="s">
        <v>72</v>
      </c>
      <c r="BH596" t="s">
        <v>72</v>
      </c>
      <c r="BI596">
        <v>11</v>
      </c>
      <c r="BJ596" t="s">
        <v>219</v>
      </c>
      <c r="BK596" s="1" t="s">
        <v>17619</v>
      </c>
      <c r="BL596" t="s">
        <v>9979</v>
      </c>
      <c r="BM596" t="s">
        <v>72</v>
      </c>
      <c r="BN596" t="s">
        <v>1975</v>
      </c>
      <c r="BO596" t="s">
        <v>72</v>
      </c>
      <c r="BP596" t="s">
        <v>72</v>
      </c>
      <c r="BQ596" t="s">
        <v>100</v>
      </c>
      <c r="BR596" t="s">
        <v>9980</v>
      </c>
      <c r="BS596" t="str">
        <f>HYPERLINK("https%3A%2F%2Fwww.webofscience.com%2Fwos%2Fwoscc%2Ffull-record%2FWOS:000635670200002","View Full Record in Web of Science")</f>
        <v>View Full Record in Web of Science</v>
      </c>
    </row>
    <row r="597" spans="1:71" x14ac:dyDescent="0.2">
      <c r="A597" t="s">
        <v>70</v>
      </c>
      <c r="B597" t="s">
        <v>10003</v>
      </c>
      <c r="C597" t="s">
        <v>72</v>
      </c>
      <c r="D597" t="s">
        <v>72</v>
      </c>
      <c r="E597" t="s">
        <v>72</v>
      </c>
      <c r="F597" t="s">
        <v>10004</v>
      </c>
      <c r="G597" t="s">
        <v>72</v>
      </c>
      <c r="H597" t="s">
        <v>72</v>
      </c>
      <c r="I597" t="s">
        <v>10005</v>
      </c>
      <c r="J597" t="s">
        <v>1388</v>
      </c>
      <c r="K597" t="s">
        <v>72</v>
      </c>
      <c r="L597" t="s">
        <v>72</v>
      </c>
      <c r="M597" t="s">
        <v>76</v>
      </c>
      <c r="N597" t="s">
        <v>77</v>
      </c>
      <c r="O597" t="s">
        <v>72</v>
      </c>
      <c r="P597" t="s">
        <v>72</v>
      </c>
      <c r="Q597" t="s">
        <v>72</v>
      </c>
      <c r="R597" t="s">
        <v>72</v>
      </c>
      <c r="S597" t="s">
        <v>72</v>
      </c>
      <c r="T597" t="s">
        <v>10006</v>
      </c>
      <c r="U597" t="s">
        <v>10007</v>
      </c>
      <c r="V597" t="s">
        <v>10008</v>
      </c>
      <c r="W597" t="s">
        <v>10009</v>
      </c>
      <c r="X597" t="s">
        <v>10010</v>
      </c>
      <c r="Y597" t="s">
        <v>10011</v>
      </c>
      <c r="Z597" t="s">
        <v>10012</v>
      </c>
      <c r="AA597" t="s">
        <v>72</v>
      </c>
      <c r="AB597" t="s">
        <v>10013</v>
      </c>
      <c r="AC597" t="s">
        <v>72</v>
      </c>
      <c r="AD597" t="s">
        <v>72</v>
      </c>
      <c r="AE597" t="s">
        <v>72</v>
      </c>
      <c r="AF597" t="s">
        <v>72</v>
      </c>
      <c r="AG597">
        <v>61</v>
      </c>
      <c r="AH597">
        <v>21</v>
      </c>
      <c r="AI597">
        <v>22</v>
      </c>
      <c r="AJ597">
        <v>2</v>
      </c>
      <c r="AK597">
        <v>14</v>
      </c>
      <c r="AL597" t="s">
        <v>336</v>
      </c>
      <c r="AM597" t="s">
        <v>337</v>
      </c>
      <c r="AN597" t="s">
        <v>338</v>
      </c>
      <c r="AO597" t="s">
        <v>1398</v>
      </c>
      <c r="AP597" t="s">
        <v>1399</v>
      </c>
      <c r="AQ597" t="s">
        <v>72</v>
      </c>
      <c r="AR597" t="s">
        <v>1400</v>
      </c>
      <c r="AS597" t="s">
        <v>1401</v>
      </c>
      <c r="AT597" t="s">
        <v>95</v>
      </c>
      <c r="AU597">
        <v>2014</v>
      </c>
      <c r="AV597">
        <v>20</v>
      </c>
      <c r="AW597">
        <v>5</v>
      </c>
      <c r="AX597" t="s">
        <v>72</v>
      </c>
      <c r="AY597" t="s">
        <v>72</v>
      </c>
      <c r="AZ597" t="s">
        <v>72</v>
      </c>
      <c r="BA597" t="s">
        <v>72</v>
      </c>
      <c r="BB597">
        <v>791</v>
      </c>
      <c r="BC597">
        <v>801</v>
      </c>
      <c r="BD597" t="s">
        <v>72</v>
      </c>
      <c r="BE597" t="s">
        <v>10014</v>
      </c>
      <c r="BF597" t="str">
        <f>HYPERLINK("http://dx.doi.org/10.1177/1354068812453373","http://dx.doi.org/10.1177/1354068812453373")</f>
        <v>http://dx.doi.org/10.1177/1354068812453373</v>
      </c>
      <c r="BG597" t="s">
        <v>72</v>
      </c>
      <c r="BH597" t="s">
        <v>72</v>
      </c>
      <c r="BI597">
        <v>11</v>
      </c>
      <c r="BJ597" t="s">
        <v>219</v>
      </c>
      <c r="BK597" s="1" t="s">
        <v>17619</v>
      </c>
      <c r="BL597" t="s">
        <v>10015</v>
      </c>
      <c r="BM597" t="s">
        <v>72</v>
      </c>
      <c r="BN597" t="s">
        <v>72</v>
      </c>
      <c r="BO597" t="s">
        <v>72</v>
      </c>
      <c r="BP597" t="s">
        <v>72</v>
      </c>
      <c r="BQ597" t="s">
        <v>100</v>
      </c>
      <c r="BR597" t="s">
        <v>10016</v>
      </c>
      <c r="BS597" t="str">
        <f>HYPERLINK("https%3A%2F%2Fwww.webofscience.com%2Fwos%2Fwoscc%2Ffull-record%2FWOS:000340826400011","View Full Record in Web of Science")</f>
        <v>View Full Record in Web of Science</v>
      </c>
    </row>
    <row r="598" spans="1:71" x14ac:dyDescent="0.2">
      <c r="A598" t="s">
        <v>70</v>
      </c>
      <c r="B598" t="s">
        <v>10053</v>
      </c>
      <c r="C598" t="s">
        <v>72</v>
      </c>
      <c r="D598" t="s">
        <v>72</v>
      </c>
      <c r="E598" t="s">
        <v>72</v>
      </c>
      <c r="F598" t="s">
        <v>10054</v>
      </c>
      <c r="G598" t="s">
        <v>72</v>
      </c>
      <c r="H598" t="s">
        <v>72</v>
      </c>
      <c r="I598" t="s">
        <v>10055</v>
      </c>
      <c r="J598" t="s">
        <v>1388</v>
      </c>
      <c r="K598" t="s">
        <v>72</v>
      </c>
      <c r="L598" t="s">
        <v>72</v>
      </c>
      <c r="M598" t="s">
        <v>76</v>
      </c>
      <c r="N598" t="s">
        <v>77</v>
      </c>
      <c r="O598" t="s">
        <v>72</v>
      </c>
      <c r="P598" t="s">
        <v>72</v>
      </c>
      <c r="Q598" t="s">
        <v>72</v>
      </c>
      <c r="R598" t="s">
        <v>72</v>
      </c>
      <c r="S598" t="s">
        <v>72</v>
      </c>
      <c r="T598" t="s">
        <v>10056</v>
      </c>
      <c r="U598" t="s">
        <v>10057</v>
      </c>
      <c r="V598" t="s">
        <v>10058</v>
      </c>
      <c r="W598" t="s">
        <v>10059</v>
      </c>
      <c r="X598" t="s">
        <v>10060</v>
      </c>
      <c r="Y598" t="s">
        <v>10061</v>
      </c>
      <c r="Z598" t="s">
        <v>10062</v>
      </c>
      <c r="AA598" t="s">
        <v>72</v>
      </c>
      <c r="AB598" t="s">
        <v>72</v>
      </c>
      <c r="AC598" t="s">
        <v>10063</v>
      </c>
      <c r="AD598" t="s">
        <v>10064</v>
      </c>
      <c r="AE598" t="s">
        <v>72</v>
      </c>
      <c r="AF598" t="s">
        <v>72</v>
      </c>
      <c r="AG598">
        <v>32</v>
      </c>
      <c r="AH598">
        <v>3</v>
      </c>
      <c r="AI598">
        <v>3</v>
      </c>
      <c r="AJ598">
        <v>0</v>
      </c>
      <c r="AK598">
        <v>10</v>
      </c>
      <c r="AL598" t="s">
        <v>336</v>
      </c>
      <c r="AM598" t="s">
        <v>337</v>
      </c>
      <c r="AN598" t="s">
        <v>338</v>
      </c>
      <c r="AO598" t="s">
        <v>1398</v>
      </c>
      <c r="AP598" t="s">
        <v>1399</v>
      </c>
      <c r="AQ598" t="s">
        <v>72</v>
      </c>
      <c r="AR598" t="s">
        <v>1400</v>
      </c>
      <c r="AS598" t="s">
        <v>1401</v>
      </c>
      <c r="AT598" t="s">
        <v>951</v>
      </c>
      <c r="AU598">
        <v>2014</v>
      </c>
      <c r="AV598">
        <v>20</v>
      </c>
      <c r="AW598">
        <v>6</v>
      </c>
      <c r="AX598" t="s">
        <v>72</v>
      </c>
      <c r="AY598" t="s">
        <v>72</v>
      </c>
      <c r="AZ598" t="s">
        <v>72</v>
      </c>
      <c r="BA598" t="s">
        <v>72</v>
      </c>
      <c r="BB598">
        <v>964</v>
      </c>
      <c r="BC598">
        <v>982</v>
      </c>
      <c r="BD598" t="s">
        <v>72</v>
      </c>
      <c r="BE598" t="s">
        <v>10065</v>
      </c>
      <c r="BF598" t="str">
        <f>HYPERLINK("http://dx.doi.org/10.1177/1354068812462926","http://dx.doi.org/10.1177/1354068812462926")</f>
        <v>http://dx.doi.org/10.1177/1354068812462926</v>
      </c>
      <c r="BG598" t="s">
        <v>72</v>
      </c>
      <c r="BH598" t="s">
        <v>72</v>
      </c>
      <c r="BI598">
        <v>19</v>
      </c>
      <c r="BJ598" t="s">
        <v>219</v>
      </c>
      <c r="BK598" s="1" t="s">
        <v>17619</v>
      </c>
      <c r="BL598" t="s">
        <v>10066</v>
      </c>
      <c r="BM598" t="s">
        <v>72</v>
      </c>
      <c r="BN598" t="s">
        <v>72</v>
      </c>
      <c r="BO598" t="s">
        <v>72</v>
      </c>
      <c r="BP598" t="s">
        <v>72</v>
      </c>
      <c r="BQ598" t="s">
        <v>100</v>
      </c>
      <c r="BR598" t="s">
        <v>10067</v>
      </c>
      <c r="BS598" t="str">
        <f>HYPERLINK("https%3A%2F%2Fwww.webofscience.com%2Fwos%2Fwoscc%2Ffull-record%2FWOS:000344658900012","View Full Record in Web of Science")</f>
        <v>View Full Record in Web of Science</v>
      </c>
    </row>
    <row r="599" spans="1:71" x14ac:dyDescent="0.2">
      <c r="A599" t="s">
        <v>70</v>
      </c>
      <c r="B599" t="s">
        <v>10068</v>
      </c>
      <c r="C599" t="s">
        <v>72</v>
      </c>
      <c r="D599" t="s">
        <v>72</v>
      </c>
      <c r="E599" t="s">
        <v>72</v>
      </c>
      <c r="F599" t="s">
        <v>10069</v>
      </c>
      <c r="G599" t="s">
        <v>72</v>
      </c>
      <c r="H599" t="s">
        <v>72</v>
      </c>
      <c r="I599" t="s">
        <v>10070</v>
      </c>
      <c r="J599" t="s">
        <v>1196</v>
      </c>
      <c r="K599" t="s">
        <v>72</v>
      </c>
      <c r="L599" t="s">
        <v>72</v>
      </c>
      <c r="M599" t="s">
        <v>76</v>
      </c>
      <c r="N599" t="s">
        <v>77</v>
      </c>
      <c r="O599" t="s">
        <v>72</v>
      </c>
      <c r="P599" t="s">
        <v>72</v>
      </c>
      <c r="Q599" t="s">
        <v>72</v>
      </c>
      <c r="R599" t="s">
        <v>72</v>
      </c>
      <c r="S599" t="s">
        <v>72</v>
      </c>
      <c r="T599" t="s">
        <v>10071</v>
      </c>
      <c r="U599" t="s">
        <v>10072</v>
      </c>
      <c r="V599" t="s">
        <v>10073</v>
      </c>
      <c r="W599" t="s">
        <v>10074</v>
      </c>
      <c r="X599" t="s">
        <v>3078</v>
      </c>
      <c r="Y599" t="s">
        <v>10075</v>
      </c>
      <c r="Z599" t="s">
        <v>10076</v>
      </c>
      <c r="AA599" t="s">
        <v>10077</v>
      </c>
      <c r="AB599" t="s">
        <v>10078</v>
      </c>
      <c r="AC599" t="s">
        <v>10079</v>
      </c>
      <c r="AD599" t="s">
        <v>10080</v>
      </c>
      <c r="AE599" t="s">
        <v>10081</v>
      </c>
      <c r="AF599" t="s">
        <v>72</v>
      </c>
      <c r="AG599">
        <v>64</v>
      </c>
      <c r="AH599">
        <v>34</v>
      </c>
      <c r="AI599">
        <v>34</v>
      </c>
      <c r="AJ599">
        <v>11</v>
      </c>
      <c r="AK599">
        <v>83</v>
      </c>
      <c r="AL599" t="s">
        <v>240</v>
      </c>
      <c r="AM599" t="s">
        <v>707</v>
      </c>
      <c r="AN599" t="s">
        <v>1205</v>
      </c>
      <c r="AO599" t="s">
        <v>1206</v>
      </c>
      <c r="AP599" t="s">
        <v>1207</v>
      </c>
      <c r="AQ599" t="s">
        <v>72</v>
      </c>
      <c r="AR599" t="s">
        <v>1208</v>
      </c>
      <c r="AS599" t="s">
        <v>1209</v>
      </c>
      <c r="AT599" t="s">
        <v>776</v>
      </c>
      <c r="AU599">
        <v>2020</v>
      </c>
      <c r="AV599">
        <v>50</v>
      </c>
      <c r="AW599">
        <v>3</v>
      </c>
      <c r="AX599" t="s">
        <v>72</v>
      </c>
      <c r="AY599" t="s">
        <v>72</v>
      </c>
      <c r="AZ599" t="s">
        <v>72</v>
      </c>
      <c r="BA599" t="s">
        <v>72</v>
      </c>
      <c r="BB599">
        <v>911</v>
      </c>
      <c r="BC599">
        <v>931</v>
      </c>
      <c r="BD599" t="s">
        <v>10082</v>
      </c>
      <c r="BE599" t="s">
        <v>10083</v>
      </c>
      <c r="BF599" t="str">
        <f>HYPERLINK("http://dx.doi.org/10.1017/S0007123417000795","http://dx.doi.org/10.1017/S0007123417000795")</f>
        <v>http://dx.doi.org/10.1017/S0007123417000795</v>
      </c>
      <c r="BG599" t="s">
        <v>72</v>
      </c>
      <c r="BH599" t="s">
        <v>72</v>
      </c>
      <c r="BI599">
        <v>21</v>
      </c>
      <c r="BJ599" t="s">
        <v>219</v>
      </c>
      <c r="BK599" s="1" t="s">
        <v>17619</v>
      </c>
      <c r="BL599" t="s">
        <v>10084</v>
      </c>
      <c r="BM599" t="s">
        <v>72</v>
      </c>
      <c r="BN599" t="s">
        <v>251</v>
      </c>
      <c r="BO599" t="s">
        <v>72</v>
      </c>
      <c r="BP599" t="s">
        <v>72</v>
      </c>
      <c r="BQ599" t="s">
        <v>100</v>
      </c>
      <c r="BR599" t="s">
        <v>10085</v>
      </c>
      <c r="BS599" t="str">
        <f>HYPERLINK("https%3A%2F%2Fwww.webofscience.com%2Fwos%2Fwoscc%2Ffull-record%2FWOS:000543208500006","View Full Record in Web of Science")</f>
        <v>View Full Record in Web of Science</v>
      </c>
    </row>
    <row r="600" spans="1:71" x14ac:dyDescent="0.2">
      <c r="A600" t="s">
        <v>70</v>
      </c>
      <c r="B600" t="s">
        <v>10442</v>
      </c>
      <c r="C600" t="s">
        <v>72</v>
      </c>
      <c r="D600" t="s">
        <v>72</v>
      </c>
      <c r="E600" t="s">
        <v>72</v>
      </c>
      <c r="F600" t="s">
        <v>10443</v>
      </c>
      <c r="G600" t="s">
        <v>72</v>
      </c>
      <c r="H600" t="s">
        <v>72</v>
      </c>
      <c r="I600" t="s">
        <v>10444</v>
      </c>
      <c r="J600" t="s">
        <v>2065</v>
      </c>
      <c r="K600" t="s">
        <v>72</v>
      </c>
      <c r="L600" t="s">
        <v>72</v>
      </c>
      <c r="M600" t="s">
        <v>76</v>
      </c>
      <c r="N600" t="s">
        <v>77</v>
      </c>
      <c r="O600" t="s">
        <v>72</v>
      </c>
      <c r="P600" t="s">
        <v>72</v>
      </c>
      <c r="Q600" t="s">
        <v>72</v>
      </c>
      <c r="R600" t="s">
        <v>72</v>
      </c>
      <c r="S600" t="s">
        <v>72</v>
      </c>
      <c r="T600" t="s">
        <v>10445</v>
      </c>
      <c r="U600" t="s">
        <v>10446</v>
      </c>
      <c r="V600" t="s">
        <v>10447</v>
      </c>
      <c r="W600" t="s">
        <v>10448</v>
      </c>
      <c r="X600" t="s">
        <v>10449</v>
      </c>
      <c r="Y600" t="s">
        <v>10450</v>
      </c>
      <c r="Z600" t="s">
        <v>10451</v>
      </c>
      <c r="AA600" t="s">
        <v>10452</v>
      </c>
      <c r="AB600" t="s">
        <v>10453</v>
      </c>
      <c r="AC600" t="s">
        <v>72</v>
      </c>
      <c r="AD600" t="s">
        <v>72</v>
      </c>
      <c r="AE600" t="s">
        <v>72</v>
      </c>
      <c r="AF600" t="s">
        <v>72</v>
      </c>
      <c r="AG600">
        <v>72</v>
      </c>
      <c r="AH600">
        <v>2</v>
      </c>
      <c r="AI600">
        <v>2</v>
      </c>
      <c r="AJ600">
        <v>1</v>
      </c>
      <c r="AK600">
        <v>5</v>
      </c>
      <c r="AL600" t="s">
        <v>2073</v>
      </c>
      <c r="AM600" t="s">
        <v>365</v>
      </c>
      <c r="AN600" t="s">
        <v>2074</v>
      </c>
      <c r="AO600" t="s">
        <v>72</v>
      </c>
      <c r="AP600" t="s">
        <v>2075</v>
      </c>
      <c r="AQ600" t="s">
        <v>72</v>
      </c>
      <c r="AR600" t="s">
        <v>2076</v>
      </c>
      <c r="AS600" t="s">
        <v>2077</v>
      </c>
      <c r="AT600" t="s">
        <v>5248</v>
      </c>
      <c r="AU600">
        <v>2020</v>
      </c>
      <c r="AV600">
        <v>2</v>
      </c>
      <c r="AW600">
        <v>1</v>
      </c>
      <c r="AX600" t="s">
        <v>72</v>
      </c>
      <c r="AY600" t="s">
        <v>72</v>
      </c>
      <c r="AZ600" t="s">
        <v>72</v>
      </c>
      <c r="BA600" t="s">
        <v>72</v>
      </c>
      <c r="BB600" t="s">
        <v>72</v>
      </c>
      <c r="BC600" t="s">
        <v>72</v>
      </c>
      <c r="BD600">
        <v>1788955</v>
      </c>
      <c r="BE600" t="s">
        <v>10454</v>
      </c>
      <c r="BF600" t="str">
        <f>HYPERLINK("http://dx.doi.org/10.1080/2474736X.2020.1788955","http://dx.doi.org/10.1080/2474736X.2020.1788955")</f>
        <v>http://dx.doi.org/10.1080/2474736X.2020.1788955</v>
      </c>
      <c r="BG600" t="s">
        <v>72</v>
      </c>
      <c r="BH600" t="s">
        <v>72</v>
      </c>
      <c r="BI600">
        <v>27</v>
      </c>
      <c r="BJ600" t="s">
        <v>219</v>
      </c>
      <c r="BK600" s="1" t="s">
        <v>17619</v>
      </c>
      <c r="BL600" t="s">
        <v>10455</v>
      </c>
      <c r="BM600" t="s">
        <v>72</v>
      </c>
      <c r="BN600" t="s">
        <v>222</v>
      </c>
      <c r="BO600" t="s">
        <v>72</v>
      </c>
      <c r="BP600" t="s">
        <v>72</v>
      </c>
      <c r="BQ600" t="s">
        <v>100</v>
      </c>
      <c r="BR600" t="s">
        <v>10456</v>
      </c>
      <c r="BS600" t="str">
        <f>HYPERLINK("https%3A%2F%2Fwww.webofscience.com%2Fwos%2Fwoscc%2Ffull-record%2FWOS:000648667800010","View Full Record in Web of Science")</f>
        <v>View Full Record in Web of Science</v>
      </c>
    </row>
    <row r="601" spans="1:71" x14ac:dyDescent="0.2">
      <c r="A601" t="s">
        <v>70</v>
      </c>
      <c r="B601" t="s">
        <v>10903</v>
      </c>
      <c r="C601" t="s">
        <v>72</v>
      </c>
      <c r="D601" t="s">
        <v>72</v>
      </c>
      <c r="E601" t="s">
        <v>72</v>
      </c>
      <c r="F601" t="s">
        <v>10904</v>
      </c>
      <c r="G601" t="s">
        <v>72</v>
      </c>
      <c r="H601" t="s">
        <v>72</v>
      </c>
      <c r="I601" t="s">
        <v>10905</v>
      </c>
      <c r="J601" t="s">
        <v>10906</v>
      </c>
      <c r="K601" t="s">
        <v>72</v>
      </c>
      <c r="L601" t="s">
        <v>72</v>
      </c>
      <c r="M601" t="s">
        <v>76</v>
      </c>
      <c r="N601" t="s">
        <v>77</v>
      </c>
      <c r="O601" t="s">
        <v>72</v>
      </c>
      <c r="P601" t="s">
        <v>72</v>
      </c>
      <c r="Q601" t="s">
        <v>72</v>
      </c>
      <c r="R601" t="s">
        <v>72</v>
      </c>
      <c r="S601" t="s">
        <v>72</v>
      </c>
      <c r="T601" t="s">
        <v>10907</v>
      </c>
      <c r="U601" t="s">
        <v>10908</v>
      </c>
      <c r="V601" t="s">
        <v>10909</v>
      </c>
      <c r="W601" t="s">
        <v>10910</v>
      </c>
      <c r="X601" t="s">
        <v>9683</v>
      </c>
      <c r="Y601" t="s">
        <v>10911</v>
      </c>
      <c r="Z601" t="s">
        <v>9685</v>
      </c>
      <c r="AA601" t="s">
        <v>72</v>
      </c>
      <c r="AB601" t="s">
        <v>72</v>
      </c>
      <c r="AC601" t="s">
        <v>10912</v>
      </c>
      <c r="AD601" t="s">
        <v>10913</v>
      </c>
      <c r="AE601" t="s">
        <v>10914</v>
      </c>
      <c r="AF601" t="s">
        <v>72</v>
      </c>
      <c r="AG601">
        <v>63</v>
      </c>
      <c r="AH601">
        <v>9</v>
      </c>
      <c r="AI601">
        <v>9</v>
      </c>
      <c r="AJ601">
        <v>0</v>
      </c>
      <c r="AK601">
        <v>5</v>
      </c>
      <c r="AL601" t="s">
        <v>7004</v>
      </c>
      <c r="AM601" t="s">
        <v>707</v>
      </c>
      <c r="AN601" t="s">
        <v>5184</v>
      </c>
      <c r="AO601" t="s">
        <v>10915</v>
      </c>
      <c r="AP601" t="s">
        <v>10916</v>
      </c>
      <c r="AQ601" t="s">
        <v>72</v>
      </c>
      <c r="AR601" t="s">
        <v>10917</v>
      </c>
      <c r="AS601" t="s">
        <v>10918</v>
      </c>
      <c r="AT601" t="s">
        <v>95</v>
      </c>
      <c r="AU601">
        <v>2018</v>
      </c>
      <c r="AV601">
        <v>40</v>
      </c>
      <c r="AW601">
        <v>3</v>
      </c>
      <c r="AX601" t="s">
        <v>72</v>
      </c>
      <c r="AY601" t="s">
        <v>72</v>
      </c>
      <c r="AZ601" t="s">
        <v>72</v>
      </c>
      <c r="BA601" t="s">
        <v>72</v>
      </c>
      <c r="BB601">
        <v>681</v>
      </c>
      <c r="BC601">
        <v>709</v>
      </c>
      <c r="BD601" t="s">
        <v>72</v>
      </c>
      <c r="BE601" t="s">
        <v>10919</v>
      </c>
      <c r="BF601" t="str">
        <f>HYPERLINK("http://dx.doi.org/10.1007/s11109-017-9418-4","http://dx.doi.org/10.1007/s11109-017-9418-4")</f>
        <v>http://dx.doi.org/10.1007/s11109-017-9418-4</v>
      </c>
      <c r="BG601" t="s">
        <v>72</v>
      </c>
      <c r="BH601" t="s">
        <v>72</v>
      </c>
      <c r="BI601">
        <v>29</v>
      </c>
      <c r="BJ601" t="s">
        <v>219</v>
      </c>
      <c r="BK601" s="1" t="s">
        <v>17619</v>
      </c>
      <c r="BL601" t="s">
        <v>10920</v>
      </c>
      <c r="BM601" t="s">
        <v>72</v>
      </c>
      <c r="BN601" t="s">
        <v>72</v>
      </c>
      <c r="BO601" t="s">
        <v>72</v>
      </c>
      <c r="BP601" t="s">
        <v>72</v>
      </c>
      <c r="BQ601" t="s">
        <v>100</v>
      </c>
      <c r="BR601" t="s">
        <v>10921</v>
      </c>
      <c r="BS601" t="str">
        <f>HYPERLINK("https%3A%2F%2Fwww.webofscience.com%2Fwos%2Fwoscc%2Ffull-record%2FWOS:000442002500006","View Full Record in Web of Science")</f>
        <v>View Full Record in Web of Science</v>
      </c>
    </row>
    <row r="602" spans="1:71" x14ac:dyDescent="0.2">
      <c r="A602" t="s">
        <v>70</v>
      </c>
      <c r="B602" t="s">
        <v>11367</v>
      </c>
      <c r="C602" t="s">
        <v>72</v>
      </c>
      <c r="D602" t="s">
        <v>72</v>
      </c>
      <c r="E602" t="s">
        <v>72</v>
      </c>
      <c r="F602" t="s">
        <v>11368</v>
      </c>
      <c r="G602" t="s">
        <v>72</v>
      </c>
      <c r="H602" t="s">
        <v>72</v>
      </c>
      <c r="I602" t="s">
        <v>11369</v>
      </c>
      <c r="J602" t="s">
        <v>8574</v>
      </c>
      <c r="K602" t="s">
        <v>72</v>
      </c>
      <c r="L602" t="s">
        <v>72</v>
      </c>
      <c r="M602" t="s">
        <v>76</v>
      </c>
      <c r="N602" t="s">
        <v>77</v>
      </c>
      <c r="O602" t="s">
        <v>72</v>
      </c>
      <c r="P602" t="s">
        <v>72</v>
      </c>
      <c r="Q602" t="s">
        <v>72</v>
      </c>
      <c r="R602" t="s">
        <v>72</v>
      </c>
      <c r="S602" t="s">
        <v>72</v>
      </c>
      <c r="T602" t="s">
        <v>11370</v>
      </c>
      <c r="U602" t="s">
        <v>11371</v>
      </c>
      <c r="V602" t="s">
        <v>11372</v>
      </c>
      <c r="W602" t="s">
        <v>11373</v>
      </c>
      <c r="X602" t="s">
        <v>999</v>
      </c>
      <c r="Y602" t="s">
        <v>11374</v>
      </c>
      <c r="Z602" t="s">
        <v>11375</v>
      </c>
      <c r="AA602" t="s">
        <v>72</v>
      </c>
      <c r="AB602" t="s">
        <v>11376</v>
      </c>
      <c r="AC602" t="s">
        <v>72</v>
      </c>
      <c r="AD602" t="s">
        <v>72</v>
      </c>
      <c r="AE602" t="s">
        <v>72</v>
      </c>
      <c r="AF602" t="s">
        <v>72</v>
      </c>
      <c r="AG602">
        <v>54</v>
      </c>
      <c r="AH602">
        <v>20</v>
      </c>
      <c r="AI602">
        <v>20</v>
      </c>
      <c r="AJ602">
        <v>1</v>
      </c>
      <c r="AK602">
        <v>7</v>
      </c>
      <c r="AL602" t="s">
        <v>240</v>
      </c>
      <c r="AM602" t="s">
        <v>707</v>
      </c>
      <c r="AN602" t="s">
        <v>1205</v>
      </c>
      <c r="AO602" t="s">
        <v>8582</v>
      </c>
      <c r="AP602" t="s">
        <v>8583</v>
      </c>
      <c r="AQ602" t="s">
        <v>72</v>
      </c>
      <c r="AR602" t="s">
        <v>8584</v>
      </c>
      <c r="AS602" t="s">
        <v>8585</v>
      </c>
      <c r="AT602" t="s">
        <v>555</v>
      </c>
      <c r="AU602">
        <v>2018</v>
      </c>
      <c r="AV602">
        <v>48</v>
      </c>
      <c r="AW602">
        <v>1</v>
      </c>
      <c r="AX602" t="s">
        <v>72</v>
      </c>
      <c r="AY602" t="s">
        <v>72</v>
      </c>
      <c r="AZ602" t="s">
        <v>72</v>
      </c>
      <c r="BA602" t="s">
        <v>72</v>
      </c>
      <c r="BB602">
        <v>109</v>
      </c>
      <c r="BC602">
        <v>132</v>
      </c>
      <c r="BD602" t="s">
        <v>72</v>
      </c>
      <c r="BE602" t="s">
        <v>11377</v>
      </c>
      <c r="BF602" t="str">
        <f>HYPERLINK("http://dx.doi.org/10.1017/ipo.2017.23","http://dx.doi.org/10.1017/ipo.2017.23")</f>
        <v>http://dx.doi.org/10.1017/ipo.2017.23</v>
      </c>
      <c r="BG602" t="s">
        <v>72</v>
      </c>
      <c r="BH602" t="s">
        <v>72</v>
      </c>
      <c r="BI602">
        <v>24</v>
      </c>
      <c r="BJ602" t="s">
        <v>219</v>
      </c>
      <c r="BK602" s="1" t="s">
        <v>17619</v>
      </c>
      <c r="BL602" t="s">
        <v>11378</v>
      </c>
      <c r="BM602" t="s">
        <v>72</v>
      </c>
      <c r="BN602" t="s">
        <v>72</v>
      </c>
      <c r="BO602" t="s">
        <v>72</v>
      </c>
      <c r="BP602" t="s">
        <v>72</v>
      </c>
      <c r="BQ602" t="s">
        <v>100</v>
      </c>
      <c r="BR602" t="s">
        <v>11379</v>
      </c>
      <c r="BS602" t="str">
        <f>HYPERLINK("https%3A%2F%2Fwww.webofscience.com%2Fwos%2Fwoscc%2Ffull-record%2FWOS:000436349700006","View Full Record in Web of Science")</f>
        <v>View Full Record in Web of Science</v>
      </c>
    </row>
    <row r="603" spans="1:71" x14ac:dyDescent="0.2">
      <c r="A603" t="s">
        <v>70</v>
      </c>
      <c r="B603" t="s">
        <v>11380</v>
      </c>
      <c r="C603" t="s">
        <v>72</v>
      </c>
      <c r="D603" t="s">
        <v>72</v>
      </c>
      <c r="E603" t="s">
        <v>72</v>
      </c>
      <c r="F603" t="s">
        <v>11381</v>
      </c>
      <c r="G603" t="s">
        <v>72</v>
      </c>
      <c r="H603" t="s">
        <v>72</v>
      </c>
      <c r="I603" t="s">
        <v>11382</v>
      </c>
      <c r="J603" t="s">
        <v>1388</v>
      </c>
      <c r="K603" t="s">
        <v>72</v>
      </c>
      <c r="L603" t="s">
        <v>72</v>
      </c>
      <c r="M603" t="s">
        <v>76</v>
      </c>
      <c r="N603" t="s">
        <v>352</v>
      </c>
      <c r="O603" t="s">
        <v>72</v>
      </c>
      <c r="P603" t="s">
        <v>72</v>
      </c>
      <c r="Q603" t="s">
        <v>72</v>
      </c>
      <c r="R603" t="s">
        <v>72</v>
      </c>
      <c r="S603" t="s">
        <v>72</v>
      </c>
      <c r="T603" t="s">
        <v>11383</v>
      </c>
      <c r="U603" t="s">
        <v>11384</v>
      </c>
      <c r="V603" t="s">
        <v>11385</v>
      </c>
      <c r="W603" t="s">
        <v>11386</v>
      </c>
      <c r="X603" t="s">
        <v>11387</v>
      </c>
      <c r="Y603" t="s">
        <v>11388</v>
      </c>
      <c r="Z603" t="s">
        <v>11389</v>
      </c>
      <c r="AA603" t="s">
        <v>72</v>
      </c>
      <c r="AB603" t="s">
        <v>11390</v>
      </c>
      <c r="AC603" t="s">
        <v>72</v>
      </c>
      <c r="AD603" t="s">
        <v>72</v>
      </c>
      <c r="AE603" t="s">
        <v>72</v>
      </c>
      <c r="AF603" t="s">
        <v>72</v>
      </c>
      <c r="AG603">
        <v>58</v>
      </c>
      <c r="AH603">
        <v>0</v>
      </c>
      <c r="AI603">
        <v>0</v>
      </c>
      <c r="AJ603">
        <v>1</v>
      </c>
      <c r="AK603">
        <v>1</v>
      </c>
      <c r="AL603" t="s">
        <v>336</v>
      </c>
      <c r="AM603" t="s">
        <v>337</v>
      </c>
      <c r="AN603" t="s">
        <v>338</v>
      </c>
      <c r="AO603" t="s">
        <v>1398</v>
      </c>
      <c r="AP603" t="s">
        <v>1399</v>
      </c>
      <c r="AQ603" t="s">
        <v>72</v>
      </c>
      <c r="AR603" t="s">
        <v>1400</v>
      </c>
      <c r="AS603" t="s">
        <v>1401</v>
      </c>
      <c r="AT603" t="s">
        <v>72</v>
      </c>
      <c r="AU603" t="s">
        <v>72</v>
      </c>
      <c r="AV603" t="s">
        <v>72</v>
      </c>
      <c r="AW603" t="s">
        <v>72</v>
      </c>
      <c r="AX603" t="s">
        <v>72</v>
      </c>
      <c r="AY603" t="s">
        <v>72</v>
      </c>
      <c r="AZ603" t="s">
        <v>72</v>
      </c>
      <c r="BA603" t="s">
        <v>72</v>
      </c>
      <c r="BB603" t="s">
        <v>72</v>
      </c>
      <c r="BC603" t="s">
        <v>72</v>
      </c>
      <c r="BD603" t="s">
        <v>72</v>
      </c>
      <c r="BE603" t="s">
        <v>11391</v>
      </c>
      <c r="BF603" t="str">
        <f>HYPERLINK("http://dx.doi.org/10.1177/13540688221122313","http://dx.doi.org/10.1177/13540688221122313")</f>
        <v>http://dx.doi.org/10.1177/13540688221122313</v>
      </c>
      <c r="BG603" t="s">
        <v>72</v>
      </c>
      <c r="BH603" t="s">
        <v>11392</v>
      </c>
      <c r="BI603">
        <v>13</v>
      </c>
      <c r="BJ603" t="s">
        <v>219</v>
      </c>
      <c r="BK603" s="1" t="s">
        <v>17619</v>
      </c>
      <c r="BL603" t="s">
        <v>11393</v>
      </c>
      <c r="BM603" t="s">
        <v>72</v>
      </c>
      <c r="BN603" t="s">
        <v>280</v>
      </c>
      <c r="BO603" t="s">
        <v>72</v>
      </c>
      <c r="BP603" t="s">
        <v>72</v>
      </c>
      <c r="BQ603" t="s">
        <v>100</v>
      </c>
      <c r="BR603" t="s">
        <v>11394</v>
      </c>
      <c r="BS603" t="str">
        <f>HYPERLINK("https%3A%2F%2Fwww.webofscience.com%2Fwos%2Fwoscc%2Ffull-record%2FWOS:000857774600001","View Full Record in Web of Science")</f>
        <v>View Full Record in Web of Science</v>
      </c>
    </row>
    <row r="604" spans="1:71" x14ac:dyDescent="0.2">
      <c r="A604" t="s">
        <v>70</v>
      </c>
      <c r="B604" t="s">
        <v>11681</v>
      </c>
      <c r="C604" t="s">
        <v>72</v>
      </c>
      <c r="D604" t="s">
        <v>72</v>
      </c>
      <c r="E604" t="s">
        <v>72</v>
      </c>
      <c r="F604" t="s">
        <v>11682</v>
      </c>
      <c r="G604" t="s">
        <v>72</v>
      </c>
      <c r="H604" t="s">
        <v>72</v>
      </c>
      <c r="I604" t="s">
        <v>11683</v>
      </c>
      <c r="J604" t="s">
        <v>11684</v>
      </c>
      <c r="K604" t="s">
        <v>72</v>
      </c>
      <c r="L604" t="s">
        <v>72</v>
      </c>
      <c r="M604" t="s">
        <v>76</v>
      </c>
      <c r="N604" t="s">
        <v>77</v>
      </c>
      <c r="O604" t="s">
        <v>72</v>
      </c>
      <c r="P604" t="s">
        <v>72</v>
      </c>
      <c r="Q604" t="s">
        <v>72</v>
      </c>
      <c r="R604" t="s">
        <v>72</v>
      </c>
      <c r="S604" t="s">
        <v>72</v>
      </c>
      <c r="T604" t="s">
        <v>72</v>
      </c>
      <c r="U604" t="s">
        <v>11685</v>
      </c>
      <c r="V604" t="s">
        <v>11686</v>
      </c>
      <c r="W604" t="s">
        <v>11687</v>
      </c>
      <c r="X604" t="s">
        <v>825</v>
      </c>
      <c r="Y604" t="s">
        <v>11688</v>
      </c>
      <c r="Z604" t="s">
        <v>72</v>
      </c>
      <c r="AA604" t="s">
        <v>72</v>
      </c>
      <c r="AB604" t="s">
        <v>72</v>
      </c>
      <c r="AC604" t="s">
        <v>72</v>
      </c>
      <c r="AD604" t="s">
        <v>72</v>
      </c>
      <c r="AE604" t="s">
        <v>72</v>
      </c>
      <c r="AF604" t="s">
        <v>72</v>
      </c>
      <c r="AG604">
        <v>165</v>
      </c>
      <c r="AH604">
        <v>7</v>
      </c>
      <c r="AI604">
        <v>7</v>
      </c>
      <c r="AJ604">
        <v>0</v>
      </c>
      <c r="AK604">
        <v>3</v>
      </c>
      <c r="AL604" t="s">
        <v>11689</v>
      </c>
      <c r="AM604" t="s">
        <v>770</v>
      </c>
      <c r="AN604" t="s">
        <v>11690</v>
      </c>
      <c r="AO604" t="s">
        <v>11691</v>
      </c>
      <c r="AP604" t="s">
        <v>72</v>
      </c>
      <c r="AQ604" t="s">
        <v>72</v>
      </c>
      <c r="AR604" t="s">
        <v>11692</v>
      </c>
      <c r="AS604" t="s">
        <v>11693</v>
      </c>
      <c r="AT604" t="s">
        <v>247</v>
      </c>
      <c r="AU604">
        <v>2021</v>
      </c>
      <c r="AV604">
        <v>88</v>
      </c>
      <c r="AW604">
        <v>1</v>
      </c>
      <c r="AX604" t="s">
        <v>72</v>
      </c>
      <c r="AY604" t="s">
        <v>72</v>
      </c>
      <c r="AZ604" t="s">
        <v>72</v>
      </c>
      <c r="BA604" t="s">
        <v>72</v>
      </c>
      <c r="BB604">
        <v>1</v>
      </c>
      <c r="BC604">
        <v>79</v>
      </c>
      <c r="BD604" t="s">
        <v>72</v>
      </c>
      <c r="BE604" t="s">
        <v>72</v>
      </c>
      <c r="BF604" t="s">
        <v>72</v>
      </c>
      <c r="BG604" t="s">
        <v>72</v>
      </c>
      <c r="BH604" t="s">
        <v>72</v>
      </c>
      <c r="BI604">
        <v>79</v>
      </c>
      <c r="BJ604" t="s">
        <v>3261</v>
      </c>
      <c r="BK604" s="1" t="s">
        <v>17619</v>
      </c>
      <c r="BL604" t="s">
        <v>11694</v>
      </c>
      <c r="BM604" t="s">
        <v>72</v>
      </c>
      <c r="BN604" t="s">
        <v>72</v>
      </c>
      <c r="BO604" t="s">
        <v>72</v>
      </c>
      <c r="BP604" t="s">
        <v>72</v>
      </c>
      <c r="BQ604" t="s">
        <v>100</v>
      </c>
      <c r="BR604" t="s">
        <v>11695</v>
      </c>
      <c r="BS604" t="str">
        <f>HYPERLINK("https%3A%2F%2Fwww.webofscience.com%2Fwos%2Fwoscc%2Ffull-record%2FWOS:000607450500001","View Full Record in Web of Science")</f>
        <v>View Full Record in Web of Science</v>
      </c>
    </row>
    <row r="605" spans="1:71" x14ac:dyDescent="0.2">
      <c r="A605" t="s">
        <v>70</v>
      </c>
      <c r="B605" t="s">
        <v>11803</v>
      </c>
      <c r="C605" t="s">
        <v>72</v>
      </c>
      <c r="D605" t="s">
        <v>72</v>
      </c>
      <c r="E605" t="s">
        <v>72</v>
      </c>
      <c r="F605" t="s">
        <v>11804</v>
      </c>
      <c r="G605" t="s">
        <v>72</v>
      </c>
      <c r="H605" t="s">
        <v>72</v>
      </c>
      <c r="I605" t="s">
        <v>11805</v>
      </c>
      <c r="J605" t="s">
        <v>11806</v>
      </c>
      <c r="K605" t="s">
        <v>72</v>
      </c>
      <c r="L605" t="s">
        <v>72</v>
      </c>
      <c r="M605" t="s">
        <v>76</v>
      </c>
      <c r="N605" t="s">
        <v>77</v>
      </c>
      <c r="O605" t="s">
        <v>72</v>
      </c>
      <c r="P605" t="s">
        <v>72</v>
      </c>
      <c r="Q605" t="s">
        <v>72</v>
      </c>
      <c r="R605" t="s">
        <v>72</v>
      </c>
      <c r="S605" t="s">
        <v>72</v>
      </c>
      <c r="T605" t="s">
        <v>72</v>
      </c>
      <c r="U605" t="s">
        <v>11807</v>
      </c>
      <c r="V605" t="s">
        <v>11808</v>
      </c>
      <c r="W605" t="s">
        <v>11809</v>
      </c>
      <c r="X605" t="s">
        <v>11810</v>
      </c>
      <c r="Y605" t="s">
        <v>11811</v>
      </c>
      <c r="Z605" t="s">
        <v>11812</v>
      </c>
      <c r="AA605" t="s">
        <v>11813</v>
      </c>
      <c r="AB605" t="s">
        <v>11814</v>
      </c>
      <c r="AC605" t="s">
        <v>72</v>
      </c>
      <c r="AD605" t="s">
        <v>72</v>
      </c>
      <c r="AE605" t="s">
        <v>72</v>
      </c>
      <c r="AF605" t="s">
        <v>72</v>
      </c>
      <c r="AG605">
        <v>46</v>
      </c>
      <c r="AH605">
        <v>0</v>
      </c>
      <c r="AI605">
        <v>0</v>
      </c>
      <c r="AJ605">
        <v>4</v>
      </c>
      <c r="AK605">
        <v>12</v>
      </c>
      <c r="AL605" t="s">
        <v>879</v>
      </c>
      <c r="AM605" t="s">
        <v>451</v>
      </c>
      <c r="AN605" t="s">
        <v>880</v>
      </c>
      <c r="AO605" t="s">
        <v>11815</v>
      </c>
      <c r="AP605" t="s">
        <v>11816</v>
      </c>
      <c r="AQ605" t="s">
        <v>72</v>
      </c>
      <c r="AR605" t="s">
        <v>11817</v>
      </c>
      <c r="AS605" t="s">
        <v>11818</v>
      </c>
      <c r="AT605" t="s">
        <v>11819</v>
      </c>
      <c r="AU605">
        <v>2022</v>
      </c>
      <c r="AV605">
        <v>25</v>
      </c>
      <c r="AW605">
        <v>1</v>
      </c>
      <c r="AX605" t="s">
        <v>72</v>
      </c>
      <c r="AY605" t="s">
        <v>72</v>
      </c>
      <c r="AZ605" t="s">
        <v>72</v>
      </c>
      <c r="BA605" t="s">
        <v>72</v>
      </c>
      <c r="BB605">
        <v>110</v>
      </c>
      <c r="BC605">
        <v>128</v>
      </c>
      <c r="BD605" t="s">
        <v>72</v>
      </c>
      <c r="BE605" t="s">
        <v>11820</v>
      </c>
      <c r="BF605" t="str">
        <f>HYPERLINK("http://dx.doi.org/10.1093/jiel/jgac006","http://dx.doi.org/10.1093/jiel/jgac006")</f>
        <v>http://dx.doi.org/10.1093/jiel/jgac006</v>
      </c>
      <c r="BG605" t="s">
        <v>72</v>
      </c>
      <c r="BH605" t="s">
        <v>1212</v>
      </c>
      <c r="BI605">
        <v>19</v>
      </c>
      <c r="BJ605" t="s">
        <v>3261</v>
      </c>
      <c r="BK605" s="1" t="s">
        <v>17619</v>
      </c>
      <c r="BL605" t="s">
        <v>11821</v>
      </c>
      <c r="BM605" t="s">
        <v>72</v>
      </c>
      <c r="BN605" t="s">
        <v>72</v>
      </c>
      <c r="BO605" t="s">
        <v>72</v>
      </c>
      <c r="BP605" t="s">
        <v>72</v>
      </c>
      <c r="BQ605" t="s">
        <v>100</v>
      </c>
      <c r="BR605" t="s">
        <v>11822</v>
      </c>
      <c r="BS605" t="str">
        <f>HYPERLINK("https%3A%2F%2Fwww.webofscience.com%2Fwos%2Fwoscc%2Ffull-record%2FWOS:000758889000001","View Full Record in Web of Science")</f>
        <v>View Full Record in Web of Science</v>
      </c>
    </row>
    <row r="606" spans="1:71" x14ac:dyDescent="0.2">
      <c r="A606" t="s">
        <v>70</v>
      </c>
      <c r="B606" t="s">
        <v>11859</v>
      </c>
      <c r="C606" t="s">
        <v>72</v>
      </c>
      <c r="D606" t="s">
        <v>72</v>
      </c>
      <c r="E606" t="s">
        <v>72</v>
      </c>
      <c r="F606" t="s">
        <v>11860</v>
      </c>
      <c r="G606" t="s">
        <v>72</v>
      </c>
      <c r="H606" t="s">
        <v>72</v>
      </c>
      <c r="I606" t="s">
        <v>11861</v>
      </c>
      <c r="J606" t="s">
        <v>11862</v>
      </c>
      <c r="K606" t="s">
        <v>72</v>
      </c>
      <c r="L606" t="s">
        <v>72</v>
      </c>
      <c r="M606" t="s">
        <v>76</v>
      </c>
      <c r="N606" t="s">
        <v>77</v>
      </c>
      <c r="O606" t="s">
        <v>72</v>
      </c>
      <c r="P606" t="s">
        <v>72</v>
      </c>
      <c r="Q606" t="s">
        <v>72</v>
      </c>
      <c r="R606" t="s">
        <v>72</v>
      </c>
      <c r="S606" t="s">
        <v>72</v>
      </c>
      <c r="T606" t="s">
        <v>72</v>
      </c>
      <c r="U606" t="s">
        <v>11863</v>
      </c>
      <c r="V606" t="s">
        <v>11864</v>
      </c>
      <c r="W606" t="s">
        <v>11865</v>
      </c>
      <c r="X606" t="s">
        <v>11866</v>
      </c>
      <c r="Y606" t="s">
        <v>11867</v>
      </c>
      <c r="Z606" t="s">
        <v>72</v>
      </c>
      <c r="AA606" t="s">
        <v>11868</v>
      </c>
      <c r="AB606" t="s">
        <v>11869</v>
      </c>
      <c r="AC606" t="s">
        <v>72</v>
      </c>
      <c r="AD606" t="s">
        <v>72</v>
      </c>
      <c r="AE606" t="s">
        <v>72</v>
      </c>
      <c r="AF606" t="s">
        <v>72</v>
      </c>
      <c r="AG606">
        <v>68</v>
      </c>
      <c r="AH606">
        <v>7</v>
      </c>
      <c r="AI606">
        <v>7</v>
      </c>
      <c r="AJ606">
        <v>1</v>
      </c>
      <c r="AK606">
        <v>10</v>
      </c>
      <c r="AL606" t="s">
        <v>364</v>
      </c>
      <c r="AM606" t="s">
        <v>365</v>
      </c>
      <c r="AN606" t="s">
        <v>366</v>
      </c>
      <c r="AO606" t="s">
        <v>11870</v>
      </c>
      <c r="AP606" t="s">
        <v>11871</v>
      </c>
      <c r="AQ606" t="s">
        <v>72</v>
      </c>
      <c r="AR606" t="s">
        <v>11872</v>
      </c>
      <c r="AS606" t="s">
        <v>11873</v>
      </c>
      <c r="AT606" t="s">
        <v>5039</v>
      </c>
      <c r="AU606">
        <v>2021</v>
      </c>
      <c r="AV606">
        <v>30</v>
      </c>
      <c r="AW606">
        <v>2</v>
      </c>
      <c r="AX606" t="s">
        <v>72</v>
      </c>
      <c r="AY606" t="s">
        <v>72</v>
      </c>
      <c r="AZ606" t="s">
        <v>72</v>
      </c>
      <c r="BA606" t="s">
        <v>72</v>
      </c>
      <c r="BB606">
        <v>227</v>
      </c>
      <c r="BC606">
        <v>248</v>
      </c>
      <c r="BD606" t="s">
        <v>72</v>
      </c>
      <c r="BE606" t="s">
        <v>11874</v>
      </c>
      <c r="BF606" t="str">
        <f>HYPERLINK("http://dx.doi.org/10.1080/09644008.2019.1658077","http://dx.doi.org/10.1080/09644008.2019.1658077")</f>
        <v>http://dx.doi.org/10.1080/09644008.2019.1658077</v>
      </c>
      <c r="BG606" t="s">
        <v>72</v>
      </c>
      <c r="BH606" t="s">
        <v>3102</v>
      </c>
      <c r="BI606">
        <v>22</v>
      </c>
      <c r="BJ606" t="s">
        <v>219</v>
      </c>
      <c r="BK606" s="1" t="s">
        <v>17619</v>
      </c>
      <c r="BL606" t="s">
        <v>11875</v>
      </c>
      <c r="BM606" t="s">
        <v>72</v>
      </c>
      <c r="BN606" t="s">
        <v>559</v>
      </c>
      <c r="BO606" t="s">
        <v>72</v>
      </c>
      <c r="BP606" t="s">
        <v>72</v>
      </c>
      <c r="BQ606" t="s">
        <v>100</v>
      </c>
      <c r="BR606" t="s">
        <v>11876</v>
      </c>
      <c r="BS606" t="str">
        <f>HYPERLINK("https%3A%2F%2Fwww.webofscience.com%2Fwos%2Fwoscc%2Ffull-record%2FWOS:000482678100001","View Full Record in Web of Science")</f>
        <v>View Full Record in Web of Science</v>
      </c>
    </row>
    <row r="607" spans="1:71" x14ac:dyDescent="0.2">
      <c r="A607" t="s">
        <v>70</v>
      </c>
      <c r="B607" t="s">
        <v>12158</v>
      </c>
      <c r="C607" t="s">
        <v>72</v>
      </c>
      <c r="D607" t="s">
        <v>72</v>
      </c>
      <c r="E607" t="s">
        <v>72</v>
      </c>
      <c r="F607" t="s">
        <v>12159</v>
      </c>
      <c r="G607" t="s">
        <v>72</v>
      </c>
      <c r="H607" t="s">
        <v>72</v>
      </c>
      <c r="I607" t="s">
        <v>12160</v>
      </c>
      <c r="J607" t="s">
        <v>12161</v>
      </c>
      <c r="K607" t="s">
        <v>72</v>
      </c>
      <c r="L607" t="s">
        <v>72</v>
      </c>
      <c r="M607" t="s">
        <v>76</v>
      </c>
      <c r="N607" t="s">
        <v>77</v>
      </c>
      <c r="O607" t="s">
        <v>72</v>
      </c>
      <c r="P607" t="s">
        <v>72</v>
      </c>
      <c r="Q607" t="s">
        <v>72</v>
      </c>
      <c r="R607" t="s">
        <v>72</v>
      </c>
      <c r="S607" t="s">
        <v>72</v>
      </c>
      <c r="T607" t="s">
        <v>12162</v>
      </c>
      <c r="U607" t="s">
        <v>12163</v>
      </c>
      <c r="V607" t="s">
        <v>12164</v>
      </c>
      <c r="W607" t="s">
        <v>12165</v>
      </c>
      <c r="X607" t="s">
        <v>12166</v>
      </c>
      <c r="Y607" t="s">
        <v>12167</v>
      </c>
      <c r="Z607" t="s">
        <v>12168</v>
      </c>
      <c r="AA607" t="s">
        <v>72</v>
      </c>
      <c r="AB607" t="s">
        <v>72</v>
      </c>
      <c r="AC607" t="s">
        <v>12169</v>
      </c>
      <c r="AD607" t="s">
        <v>12169</v>
      </c>
      <c r="AE607" t="s">
        <v>12170</v>
      </c>
      <c r="AF607" t="s">
        <v>72</v>
      </c>
      <c r="AG607">
        <v>62</v>
      </c>
      <c r="AH607">
        <v>6</v>
      </c>
      <c r="AI607">
        <v>6</v>
      </c>
      <c r="AJ607">
        <v>3</v>
      </c>
      <c r="AK607">
        <v>16</v>
      </c>
      <c r="AL607" t="s">
        <v>240</v>
      </c>
      <c r="AM607" t="s">
        <v>241</v>
      </c>
      <c r="AN607" t="s">
        <v>242</v>
      </c>
      <c r="AO607" t="s">
        <v>12171</v>
      </c>
      <c r="AP607" t="s">
        <v>12172</v>
      </c>
      <c r="AQ607" t="s">
        <v>72</v>
      </c>
      <c r="AR607" t="s">
        <v>12173</v>
      </c>
      <c r="AS607" t="s">
        <v>12174</v>
      </c>
      <c r="AT607" t="s">
        <v>776</v>
      </c>
      <c r="AU607">
        <v>2020</v>
      </c>
      <c r="AV607">
        <v>55</v>
      </c>
      <c r="AW607">
        <v>3</v>
      </c>
      <c r="AX607" t="s">
        <v>72</v>
      </c>
      <c r="AY607" t="s">
        <v>72</v>
      </c>
      <c r="AZ607" t="s">
        <v>72</v>
      </c>
      <c r="BA607" t="s">
        <v>72</v>
      </c>
      <c r="BB607">
        <v>511</v>
      </c>
      <c r="BC607">
        <v>532</v>
      </c>
      <c r="BD607" t="s">
        <v>12175</v>
      </c>
      <c r="BE607" t="s">
        <v>12176</v>
      </c>
      <c r="BF607" t="str">
        <f>HYPERLINK("http://dx.doi.org/10.1017/gov.2018.40","http://dx.doi.org/10.1017/gov.2018.40")</f>
        <v>http://dx.doi.org/10.1017/gov.2018.40</v>
      </c>
      <c r="BG607" t="s">
        <v>72</v>
      </c>
      <c r="BH607" t="s">
        <v>72</v>
      </c>
      <c r="BI607">
        <v>22</v>
      </c>
      <c r="BJ607" t="s">
        <v>219</v>
      </c>
      <c r="BK607" s="1" t="s">
        <v>17619</v>
      </c>
      <c r="BL607" t="s">
        <v>12177</v>
      </c>
      <c r="BM607" t="s">
        <v>72</v>
      </c>
      <c r="BN607" t="s">
        <v>3015</v>
      </c>
      <c r="BO607" t="s">
        <v>72</v>
      </c>
      <c r="BP607" t="s">
        <v>72</v>
      </c>
      <c r="BQ607" t="s">
        <v>100</v>
      </c>
      <c r="BR607" t="s">
        <v>12178</v>
      </c>
      <c r="BS607" t="str">
        <f>HYPERLINK("https%3A%2F%2Fwww.webofscience.com%2Fwos%2Fwoscc%2Ffull-record%2FWOS:000540753600009","View Full Record in Web of Science")</f>
        <v>View Full Record in Web of Science</v>
      </c>
    </row>
    <row r="608" spans="1:71" x14ac:dyDescent="0.2">
      <c r="A608" t="s">
        <v>70</v>
      </c>
      <c r="B608" t="s">
        <v>12280</v>
      </c>
      <c r="C608" t="s">
        <v>72</v>
      </c>
      <c r="D608" t="s">
        <v>72</v>
      </c>
      <c r="E608" t="s">
        <v>72</v>
      </c>
      <c r="F608" t="s">
        <v>12281</v>
      </c>
      <c r="G608" t="s">
        <v>72</v>
      </c>
      <c r="H608" t="s">
        <v>72</v>
      </c>
      <c r="I608" t="s">
        <v>12282</v>
      </c>
      <c r="J608" t="s">
        <v>1251</v>
      </c>
      <c r="K608" t="s">
        <v>72</v>
      </c>
      <c r="L608" t="s">
        <v>72</v>
      </c>
      <c r="M608" t="s">
        <v>76</v>
      </c>
      <c r="N608" t="s">
        <v>77</v>
      </c>
      <c r="O608" t="s">
        <v>72</v>
      </c>
      <c r="P608" t="s">
        <v>72</v>
      </c>
      <c r="Q608" t="s">
        <v>72</v>
      </c>
      <c r="R608" t="s">
        <v>72</v>
      </c>
      <c r="S608" t="s">
        <v>72</v>
      </c>
      <c r="T608" t="s">
        <v>12283</v>
      </c>
      <c r="U608" t="s">
        <v>12284</v>
      </c>
      <c r="V608" t="s">
        <v>12285</v>
      </c>
      <c r="W608" t="s">
        <v>12286</v>
      </c>
      <c r="X608" t="s">
        <v>12287</v>
      </c>
      <c r="Y608" t="s">
        <v>12288</v>
      </c>
      <c r="Z608" t="s">
        <v>12289</v>
      </c>
      <c r="AA608" t="s">
        <v>72</v>
      </c>
      <c r="AB608" t="s">
        <v>12290</v>
      </c>
      <c r="AC608" t="s">
        <v>72</v>
      </c>
      <c r="AD608" t="s">
        <v>72</v>
      </c>
      <c r="AE608" t="s">
        <v>72</v>
      </c>
      <c r="AF608" t="s">
        <v>72</v>
      </c>
      <c r="AG608">
        <v>57</v>
      </c>
      <c r="AH608">
        <v>3</v>
      </c>
      <c r="AI608">
        <v>3</v>
      </c>
      <c r="AJ608">
        <v>1</v>
      </c>
      <c r="AK608">
        <v>7</v>
      </c>
      <c r="AL608" t="s">
        <v>1260</v>
      </c>
      <c r="AM608" t="s">
        <v>964</v>
      </c>
      <c r="AN608" t="s">
        <v>965</v>
      </c>
      <c r="AO608" t="s">
        <v>1261</v>
      </c>
      <c r="AP608" t="s">
        <v>1262</v>
      </c>
      <c r="AQ608" t="s">
        <v>72</v>
      </c>
      <c r="AR608" t="s">
        <v>1263</v>
      </c>
      <c r="AS608" t="s">
        <v>1264</v>
      </c>
      <c r="AT608" t="s">
        <v>555</v>
      </c>
      <c r="AU608">
        <v>2020</v>
      </c>
      <c r="AV608">
        <v>26</v>
      </c>
      <c r="AW608">
        <v>1</v>
      </c>
      <c r="AX608" t="s">
        <v>72</v>
      </c>
      <c r="AY608" t="s">
        <v>72</v>
      </c>
      <c r="AZ608" t="s">
        <v>72</v>
      </c>
      <c r="BA608" t="s">
        <v>72</v>
      </c>
      <c r="BB608">
        <v>31</v>
      </c>
      <c r="BC608">
        <v>50</v>
      </c>
      <c r="BD608" t="s">
        <v>72</v>
      </c>
      <c r="BE608" t="s">
        <v>12291</v>
      </c>
      <c r="BF608" t="str">
        <f>HYPERLINK("http://dx.doi.org/10.1111/spsr.12392","http://dx.doi.org/10.1111/spsr.12392")</f>
        <v>http://dx.doi.org/10.1111/spsr.12392</v>
      </c>
      <c r="BG608" t="s">
        <v>72</v>
      </c>
      <c r="BH608" t="s">
        <v>6274</v>
      </c>
      <c r="BI608">
        <v>20</v>
      </c>
      <c r="BJ608" t="s">
        <v>219</v>
      </c>
      <c r="BK608" s="1" t="s">
        <v>17619</v>
      </c>
      <c r="BL608" t="s">
        <v>12292</v>
      </c>
      <c r="BM608" t="s">
        <v>72</v>
      </c>
      <c r="BN608" t="s">
        <v>280</v>
      </c>
      <c r="BO608" t="s">
        <v>72</v>
      </c>
      <c r="BP608" t="s">
        <v>72</v>
      </c>
      <c r="BQ608" t="s">
        <v>100</v>
      </c>
      <c r="BR608" t="s">
        <v>12293</v>
      </c>
      <c r="BS608" t="str">
        <f>HYPERLINK("https%3A%2F%2Fwww.webofscience.com%2Fwos%2Fwoscc%2Ffull-record%2FWOS:000513561200001","View Full Record in Web of Science")</f>
        <v>View Full Record in Web of Science</v>
      </c>
    </row>
    <row r="609" spans="1:71" x14ac:dyDescent="0.2">
      <c r="A609" t="s">
        <v>70</v>
      </c>
      <c r="B609" t="s">
        <v>12416</v>
      </c>
      <c r="C609" t="s">
        <v>72</v>
      </c>
      <c r="D609" t="s">
        <v>72</v>
      </c>
      <c r="E609" t="s">
        <v>72</v>
      </c>
      <c r="F609" t="s">
        <v>12417</v>
      </c>
      <c r="G609" t="s">
        <v>72</v>
      </c>
      <c r="H609" t="s">
        <v>72</v>
      </c>
      <c r="I609" t="s">
        <v>12418</v>
      </c>
      <c r="J609" t="s">
        <v>9734</v>
      </c>
      <c r="K609" t="s">
        <v>72</v>
      </c>
      <c r="L609" t="s">
        <v>72</v>
      </c>
      <c r="M609" t="s">
        <v>76</v>
      </c>
      <c r="N609" t="s">
        <v>77</v>
      </c>
      <c r="O609" t="s">
        <v>72</v>
      </c>
      <c r="P609" t="s">
        <v>72</v>
      </c>
      <c r="Q609" t="s">
        <v>72</v>
      </c>
      <c r="R609" t="s">
        <v>72</v>
      </c>
      <c r="S609" t="s">
        <v>72</v>
      </c>
      <c r="T609" t="s">
        <v>12419</v>
      </c>
      <c r="U609" t="s">
        <v>12420</v>
      </c>
      <c r="V609" t="s">
        <v>12421</v>
      </c>
      <c r="W609" t="s">
        <v>12422</v>
      </c>
      <c r="X609" t="s">
        <v>12423</v>
      </c>
      <c r="Y609" t="s">
        <v>12424</v>
      </c>
      <c r="Z609" t="s">
        <v>12425</v>
      </c>
      <c r="AA609" t="s">
        <v>12426</v>
      </c>
      <c r="AB609" t="s">
        <v>72</v>
      </c>
      <c r="AC609" t="s">
        <v>72</v>
      </c>
      <c r="AD609" t="s">
        <v>72</v>
      </c>
      <c r="AE609" t="s">
        <v>72</v>
      </c>
      <c r="AF609" t="s">
        <v>72</v>
      </c>
      <c r="AG609">
        <v>66</v>
      </c>
      <c r="AH609">
        <v>3</v>
      </c>
      <c r="AI609">
        <v>3</v>
      </c>
      <c r="AJ609">
        <v>0</v>
      </c>
      <c r="AK609">
        <v>2</v>
      </c>
      <c r="AL609" t="s">
        <v>190</v>
      </c>
      <c r="AM609" t="s">
        <v>191</v>
      </c>
      <c r="AN609" t="s">
        <v>192</v>
      </c>
      <c r="AO609" t="s">
        <v>9742</v>
      </c>
      <c r="AP609" t="s">
        <v>9743</v>
      </c>
      <c r="AQ609" t="s">
        <v>72</v>
      </c>
      <c r="AR609" t="s">
        <v>9744</v>
      </c>
      <c r="AS609" t="s">
        <v>9745</v>
      </c>
      <c r="AT609" t="s">
        <v>929</v>
      </c>
      <c r="AU609">
        <v>2020</v>
      </c>
      <c r="AV609">
        <v>73</v>
      </c>
      <c r="AW609">
        <v>4</v>
      </c>
      <c r="AX609" t="s">
        <v>72</v>
      </c>
      <c r="AY609" t="s">
        <v>72</v>
      </c>
      <c r="AZ609" t="s">
        <v>72</v>
      </c>
      <c r="BA609" t="s">
        <v>72</v>
      </c>
      <c r="BB609">
        <v>805</v>
      </c>
      <c r="BC609">
        <v>818</v>
      </c>
      <c r="BD609">
        <v>1065912919857826</v>
      </c>
      <c r="BE609" t="s">
        <v>12427</v>
      </c>
      <c r="BF609" t="str">
        <f>HYPERLINK("http://dx.doi.org/10.1177/1065912919857826","http://dx.doi.org/10.1177/1065912919857826")</f>
        <v>http://dx.doi.org/10.1177/1065912919857826</v>
      </c>
      <c r="BG609" t="s">
        <v>72</v>
      </c>
      <c r="BH609" t="s">
        <v>10647</v>
      </c>
      <c r="BI609">
        <v>14</v>
      </c>
      <c r="BJ609" t="s">
        <v>219</v>
      </c>
      <c r="BK609" s="1" t="s">
        <v>17619</v>
      </c>
      <c r="BL609" t="s">
        <v>12428</v>
      </c>
      <c r="BM609" t="s">
        <v>72</v>
      </c>
      <c r="BN609" t="s">
        <v>72</v>
      </c>
      <c r="BO609" t="s">
        <v>72</v>
      </c>
      <c r="BP609" t="s">
        <v>72</v>
      </c>
      <c r="BQ609" t="s">
        <v>100</v>
      </c>
      <c r="BR609" t="s">
        <v>12429</v>
      </c>
      <c r="BS609" t="str">
        <f>HYPERLINK("https%3A%2F%2Fwww.webofscience.com%2Fwos%2Fwoscc%2Ffull-record%2FWOS:000478188400001","View Full Record in Web of Science")</f>
        <v>View Full Record in Web of Science</v>
      </c>
    </row>
    <row r="610" spans="1:71" x14ac:dyDescent="0.2">
      <c r="A610" t="s">
        <v>70</v>
      </c>
      <c r="B610" t="s">
        <v>12691</v>
      </c>
      <c r="C610" t="s">
        <v>72</v>
      </c>
      <c r="D610" t="s">
        <v>72</v>
      </c>
      <c r="E610" t="s">
        <v>72</v>
      </c>
      <c r="F610" t="s">
        <v>12692</v>
      </c>
      <c r="G610" t="s">
        <v>72</v>
      </c>
      <c r="H610" t="s">
        <v>72</v>
      </c>
      <c r="I610" t="s">
        <v>12693</v>
      </c>
      <c r="J610" t="s">
        <v>7390</v>
      </c>
      <c r="K610" t="s">
        <v>72</v>
      </c>
      <c r="L610" t="s">
        <v>72</v>
      </c>
      <c r="M610" t="s">
        <v>76</v>
      </c>
      <c r="N610" t="s">
        <v>77</v>
      </c>
      <c r="O610" t="s">
        <v>72</v>
      </c>
      <c r="P610" t="s">
        <v>72</v>
      </c>
      <c r="Q610" t="s">
        <v>72</v>
      </c>
      <c r="R610" t="s">
        <v>72</v>
      </c>
      <c r="S610" t="s">
        <v>72</v>
      </c>
      <c r="T610" t="s">
        <v>12694</v>
      </c>
      <c r="U610" t="s">
        <v>12695</v>
      </c>
      <c r="V610" t="s">
        <v>12696</v>
      </c>
      <c r="W610" t="s">
        <v>12697</v>
      </c>
      <c r="X610" t="s">
        <v>12698</v>
      </c>
      <c r="Y610" t="s">
        <v>12699</v>
      </c>
      <c r="Z610" t="s">
        <v>12700</v>
      </c>
      <c r="AA610" t="s">
        <v>12701</v>
      </c>
      <c r="AB610" t="s">
        <v>12702</v>
      </c>
      <c r="AC610" t="s">
        <v>72</v>
      </c>
      <c r="AD610" t="s">
        <v>72</v>
      </c>
      <c r="AE610" t="s">
        <v>72</v>
      </c>
      <c r="AF610" t="s">
        <v>72</v>
      </c>
      <c r="AG610">
        <v>22</v>
      </c>
      <c r="AH610">
        <v>7</v>
      </c>
      <c r="AI610">
        <v>7</v>
      </c>
      <c r="AJ610">
        <v>0</v>
      </c>
      <c r="AK610">
        <v>0</v>
      </c>
      <c r="AL610" t="s">
        <v>1005</v>
      </c>
      <c r="AM610" t="s">
        <v>1006</v>
      </c>
      <c r="AN610" t="s">
        <v>1007</v>
      </c>
      <c r="AO610" t="s">
        <v>12703</v>
      </c>
      <c r="AP610" t="s">
        <v>7400</v>
      </c>
      <c r="AQ610" t="s">
        <v>72</v>
      </c>
      <c r="AR610" t="s">
        <v>7401</v>
      </c>
      <c r="AS610" t="s">
        <v>7402</v>
      </c>
      <c r="AT610" t="s">
        <v>95</v>
      </c>
      <c r="AU610">
        <v>2020</v>
      </c>
      <c r="AV610">
        <v>9</v>
      </c>
      <c r="AW610">
        <v>3</v>
      </c>
      <c r="AX610" t="s">
        <v>72</v>
      </c>
      <c r="AY610" t="s">
        <v>72</v>
      </c>
      <c r="AZ610" t="s">
        <v>478</v>
      </c>
      <c r="BA610" t="s">
        <v>72</v>
      </c>
      <c r="BB610">
        <v>396</v>
      </c>
      <c r="BC610">
        <v>409</v>
      </c>
      <c r="BD610" t="s">
        <v>72</v>
      </c>
      <c r="BE610" t="s">
        <v>12704</v>
      </c>
      <c r="BF610" t="str">
        <f>HYPERLINK("http://dx.doi.org/10.1057/s41309-020-00091-z","http://dx.doi.org/10.1057/s41309-020-00091-z")</f>
        <v>http://dx.doi.org/10.1057/s41309-020-00091-z</v>
      </c>
      <c r="BG610" t="s">
        <v>72</v>
      </c>
      <c r="BH610" t="s">
        <v>2942</v>
      </c>
      <c r="BI610">
        <v>14</v>
      </c>
      <c r="BJ610" t="s">
        <v>219</v>
      </c>
      <c r="BK610" s="1" t="s">
        <v>17619</v>
      </c>
      <c r="BL610" t="s">
        <v>12705</v>
      </c>
      <c r="BM610" t="s">
        <v>72</v>
      </c>
      <c r="BN610" t="s">
        <v>72</v>
      </c>
      <c r="BO610" t="s">
        <v>72</v>
      </c>
      <c r="BP610" t="s">
        <v>72</v>
      </c>
      <c r="BQ610" t="s">
        <v>100</v>
      </c>
      <c r="BR610" t="s">
        <v>12706</v>
      </c>
      <c r="BS610" t="str">
        <f>HYPERLINK("https%3A%2F%2Fwww.webofscience.com%2Fwos%2Fwoscc%2Ffull-record%2FWOS:000539895600001","View Full Record in Web of Science")</f>
        <v>View Full Record in Web of Science</v>
      </c>
    </row>
    <row r="611" spans="1:71" x14ac:dyDescent="0.2">
      <c r="A611" t="s">
        <v>70</v>
      </c>
      <c r="B611" t="s">
        <v>12918</v>
      </c>
      <c r="C611" t="s">
        <v>72</v>
      </c>
      <c r="D611" t="s">
        <v>72</v>
      </c>
      <c r="E611" t="s">
        <v>72</v>
      </c>
      <c r="F611" t="s">
        <v>12919</v>
      </c>
      <c r="G611" t="s">
        <v>72</v>
      </c>
      <c r="H611" t="s">
        <v>72</v>
      </c>
      <c r="I611" t="s">
        <v>12920</v>
      </c>
      <c r="J611" t="s">
        <v>11862</v>
      </c>
      <c r="K611" t="s">
        <v>72</v>
      </c>
      <c r="L611" t="s">
        <v>72</v>
      </c>
      <c r="M611" t="s">
        <v>76</v>
      </c>
      <c r="N611" t="s">
        <v>77</v>
      </c>
      <c r="O611" t="s">
        <v>72</v>
      </c>
      <c r="P611" t="s">
        <v>72</v>
      </c>
      <c r="Q611" t="s">
        <v>72</v>
      </c>
      <c r="R611" t="s">
        <v>72</v>
      </c>
      <c r="S611" t="s">
        <v>72</v>
      </c>
      <c r="T611" t="s">
        <v>72</v>
      </c>
      <c r="U611" t="s">
        <v>12921</v>
      </c>
      <c r="V611" t="s">
        <v>12922</v>
      </c>
      <c r="W611" t="s">
        <v>12923</v>
      </c>
      <c r="X611" t="s">
        <v>12287</v>
      </c>
      <c r="Y611" t="s">
        <v>12924</v>
      </c>
      <c r="Z611" t="s">
        <v>72</v>
      </c>
      <c r="AA611" t="s">
        <v>72</v>
      </c>
      <c r="AB611" t="s">
        <v>12925</v>
      </c>
      <c r="AC611" t="s">
        <v>72</v>
      </c>
      <c r="AD611" t="s">
        <v>72</v>
      </c>
      <c r="AE611" t="s">
        <v>72</v>
      </c>
      <c r="AF611" t="s">
        <v>72</v>
      </c>
      <c r="AG611">
        <v>43</v>
      </c>
      <c r="AH611">
        <v>3</v>
      </c>
      <c r="AI611">
        <v>3</v>
      </c>
      <c r="AJ611">
        <v>0</v>
      </c>
      <c r="AK611">
        <v>2</v>
      </c>
      <c r="AL611" t="s">
        <v>364</v>
      </c>
      <c r="AM611" t="s">
        <v>365</v>
      </c>
      <c r="AN611" t="s">
        <v>366</v>
      </c>
      <c r="AO611" t="s">
        <v>11870</v>
      </c>
      <c r="AP611" t="s">
        <v>11871</v>
      </c>
      <c r="AQ611" t="s">
        <v>72</v>
      </c>
      <c r="AR611" t="s">
        <v>11872</v>
      </c>
      <c r="AS611" t="s">
        <v>11873</v>
      </c>
      <c r="AT611" t="s">
        <v>12926</v>
      </c>
      <c r="AU611">
        <v>2020</v>
      </c>
      <c r="AV611">
        <v>29</v>
      </c>
      <c r="AW611">
        <v>2</v>
      </c>
      <c r="AX611" t="s">
        <v>72</v>
      </c>
      <c r="AY611" t="s">
        <v>72</v>
      </c>
      <c r="AZ611" t="s">
        <v>72</v>
      </c>
      <c r="BA611" t="s">
        <v>72</v>
      </c>
      <c r="BB611">
        <v>201</v>
      </c>
      <c r="BC611">
        <v>222</v>
      </c>
      <c r="BD611" t="s">
        <v>72</v>
      </c>
      <c r="BE611" t="s">
        <v>12927</v>
      </c>
      <c r="BF611" t="str">
        <f>HYPERLINK("http://dx.doi.org/10.1080/09644008.2019.1566458","http://dx.doi.org/10.1080/09644008.2019.1566458")</f>
        <v>http://dx.doi.org/10.1080/09644008.2019.1566458</v>
      </c>
      <c r="BG611" t="s">
        <v>72</v>
      </c>
      <c r="BH611" t="s">
        <v>72</v>
      </c>
      <c r="BI611">
        <v>22</v>
      </c>
      <c r="BJ611" t="s">
        <v>219</v>
      </c>
      <c r="BK611" s="1" t="s">
        <v>17619</v>
      </c>
      <c r="BL611" t="s">
        <v>12928</v>
      </c>
      <c r="BM611" t="s">
        <v>72</v>
      </c>
      <c r="BN611" t="s">
        <v>559</v>
      </c>
      <c r="BO611" t="s">
        <v>72</v>
      </c>
      <c r="BP611" t="s">
        <v>72</v>
      </c>
      <c r="BQ611" t="s">
        <v>100</v>
      </c>
      <c r="BR611" t="s">
        <v>12929</v>
      </c>
      <c r="BS611" t="str">
        <f>HYPERLINK("https%3A%2F%2Fwww.webofscience.com%2Fwos%2Fwoscc%2Ffull-record%2FWOS:000587492700004","View Full Record in Web of Science")</f>
        <v>View Full Record in Web of Science</v>
      </c>
    </row>
    <row r="612" spans="1:71" x14ac:dyDescent="0.2">
      <c r="A612" t="s">
        <v>70</v>
      </c>
      <c r="B612" t="s">
        <v>13102</v>
      </c>
      <c r="C612" t="s">
        <v>72</v>
      </c>
      <c r="D612" t="s">
        <v>72</v>
      </c>
      <c r="E612" t="s">
        <v>72</v>
      </c>
      <c r="F612" t="s">
        <v>13103</v>
      </c>
      <c r="G612" t="s">
        <v>72</v>
      </c>
      <c r="H612" t="s">
        <v>72</v>
      </c>
      <c r="I612" t="s">
        <v>13104</v>
      </c>
      <c r="J612" t="s">
        <v>227</v>
      </c>
      <c r="K612" t="s">
        <v>72</v>
      </c>
      <c r="L612" t="s">
        <v>72</v>
      </c>
      <c r="M612" t="s">
        <v>76</v>
      </c>
      <c r="N612" t="s">
        <v>77</v>
      </c>
      <c r="O612" t="s">
        <v>72</v>
      </c>
      <c r="P612" t="s">
        <v>72</v>
      </c>
      <c r="Q612" t="s">
        <v>72</v>
      </c>
      <c r="R612" t="s">
        <v>72</v>
      </c>
      <c r="S612" t="s">
        <v>72</v>
      </c>
      <c r="T612" t="s">
        <v>13105</v>
      </c>
      <c r="U612" t="s">
        <v>72</v>
      </c>
      <c r="V612" t="s">
        <v>13106</v>
      </c>
      <c r="W612" t="s">
        <v>13107</v>
      </c>
      <c r="X612" t="s">
        <v>13108</v>
      </c>
      <c r="Y612" t="s">
        <v>13109</v>
      </c>
      <c r="Z612" t="s">
        <v>13110</v>
      </c>
      <c r="AA612" t="s">
        <v>13111</v>
      </c>
      <c r="AB612" t="s">
        <v>13112</v>
      </c>
      <c r="AC612" t="s">
        <v>13113</v>
      </c>
      <c r="AD612" t="s">
        <v>13114</v>
      </c>
      <c r="AE612" t="s">
        <v>13115</v>
      </c>
      <c r="AF612" t="s">
        <v>72</v>
      </c>
      <c r="AG612">
        <v>5</v>
      </c>
      <c r="AH612">
        <v>7</v>
      </c>
      <c r="AI612">
        <v>7</v>
      </c>
      <c r="AJ612">
        <v>1</v>
      </c>
      <c r="AK612">
        <v>23</v>
      </c>
      <c r="AL612" t="s">
        <v>240</v>
      </c>
      <c r="AM612" t="s">
        <v>241</v>
      </c>
      <c r="AN612" t="s">
        <v>242</v>
      </c>
      <c r="AO612" t="s">
        <v>243</v>
      </c>
      <c r="AP612" t="s">
        <v>244</v>
      </c>
      <c r="AQ612" t="s">
        <v>72</v>
      </c>
      <c r="AR612" t="s">
        <v>245</v>
      </c>
      <c r="AS612" t="s">
        <v>246</v>
      </c>
      <c r="AT612" t="s">
        <v>395</v>
      </c>
      <c r="AU612">
        <v>2018</v>
      </c>
      <c r="AV612">
        <v>26</v>
      </c>
      <c r="AW612">
        <v>4</v>
      </c>
      <c r="AX612" t="s">
        <v>72</v>
      </c>
      <c r="AY612" t="s">
        <v>72</v>
      </c>
      <c r="AZ612" t="s">
        <v>72</v>
      </c>
      <c r="BA612" t="s">
        <v>72</v>
      </c>
      <c r="BB612">
        <v>457</v>
      </c>
      <c r="BC612">
        <v>473</v>
      </c>
      <c r="BD612" t="s">
        <v>72</v>
      </c>
      <c r="BE612" t="s">
        <v>13116</v>
      </c>
      <c r="BF612" t="str">
        <f>HYPERLINK("http://dx.doi.org/10.1017/pan.2018.30","http://dx.doi.org/10.1017/pan.2018.30")</f>
        <v>http://dx.doi.org/10.1017/pan.2018.30</v>
      </c>
      <c r="BG612" t="s">
        <v>72</v>
      </c>
      <c r="BH612" t="s">
        <v>72</v>
      </c>
      <c r="BI612">
        <v>17</v>
      </c>
      <c r="BJ612" t="s">
        <v>219</v>
      </c>
      <c r="BK612" s="1" t="s">
        <v>17619</v>
      </c>
      <c r="BL612" t="s">
        <v>1052</v>
      </c>
      <c r="BM612" t="s">
        <v>72</v>
      </c>
      <c r="BN612" t="s">
        <v>1497</v>
      </c>
      <c r="BO612" t="s">
        <v>72</v>
      </c>
      <c r="BP612" t="s">
        <v>72</v>
      </c>
      <c r="BQ612" t="s">
        <v>100</v>
      </c>
      <c r="BR612" t="s">
        <v>13117</v>
      </c>
      <c r="BS612" t="str">
        <f>HYPERLINK("https%3A%2F%2Fwww.webofscience.com%2Fwos%2Fwoscc%2Ffull-record%2FWOS:000446677500006","View Full Record in Web of Science")</f>
        <v>View Full Record in Web of Science</v>
      </c>
    </row>
    <row r="613" spans="1:71" x14ac:dyDescent="0.2">
      <c r="A613" t="s">
        <v>70</v>
      </c>
      <c r="B613" t="s">
        <v>11380</v>
      </c>
      <c r="C613" t="s">
        <v>72</v>
      </c>
      <c r="D613" t="s">
        <v>72</v>
      </c>
      <c r="E613" t="s">
        <v>72</v>
      </c>
      <c r="F613" t="s">
        <v>11381</v>
      </c>
      <c r="G613" t="s">
        <v>72</v>
      </c>
      <c r="H613" t="s">
        <v>72</v>
      </c>
      <c r="I613" t="s">
        <v>13168</v>
      </c>
      <c r="J613" t="s">
        <v>13169</v>
      </c>
      <c r="K613" t="s">
        <v>72</v>
      </c>
      <c r="L613" t="s">
        <v>72</v>
      </c>
      <c r="M613" t="s">
        <v>76</v>
      </c>
      <c r="N613" t="s">
        <v>352</v>
      </c>
      <c r="O613" t="s">
        <v>72</v>
      </c>
      <c r="P613" t="s">
        <v>72</v>
      </c>
      <c r="Q613" t="s">
        <v>72</v>
      </c>
      <c r="R613" t="s">
        <v>72</v>
      </c>
      <c r="S613" t="s">
        <v>72</v>
      </c>
      <c r="T613" t="s">
        <v>72</v>
      </c>
      <c r="U613" t="s">
        <v>13170</v>
      </c>
      <c r="V613" t="s">
        <v>13171</v>
      </c>
      <c r="W613" t="s">
        <v>13172</v>
      </c>
      <c r="X613" t="s">
        <v>11387</v>
      </c>
      <c r="Y613" t="s">
        <v>13173</v>
      </c>
      <c r="Z613" t="s">
        <v>11389</v>
      </c>
      <c r="AA613" t="s">
        <v>72</v>
      </c>
      <c r="AB613" t="s">
        <v>11390</v>
      </c>
      <c r="AC613" t="s">
        <v>72</v>
      </c>
      <c r="AD613" t="s">
        <v>72</v>
      </c>
      <c r="AE613" t="s">
        <v>72</v>
      </c>
      <c r="AF613" t="s">
        <v>72</v>
      </c>
      <c r="AG613">
        <v>51</v>
      </c>
      <c r="AH613">
        <v>2</v>
      </c>
      <c r="AI613">
        <v>2</v>
      </c>
      <c r="AJ613">
        <v>0</v>
      </c>
      <c r="AK613">
        <v>0</v>
      </c>
      <c r="AL613" t="s">
        <v>364</v>
      </c>
      <c r="AM613" t="s">
        <v>365</v>
      </c>
      <c r="AN613" t="s">
        <v>366</v>
      </c>
      <c r="AO613" t="s">
        <v>13174</v>
      </c>
      <c r="AP613" t="s">
        <v>13175</v>
      </c>
      <c r="AQ613" t="s">
        <v>72</v>
      </c>
      <c r="AR613" t="s">
        <v>13176</v>
      </c>
      <c r="AS613" t="s">
        <v>13177</v>
      </c>
      <c r="AT613" t="s">
        <v>72</v>
      </c>
      <c r="AU613" t="s">
        <v>72</v>
      </c>
      <c r="AV613" t="s">
        <v>72</v>
      </c>
      <c r="AW613" t="s">
        <v>72</v>
      </c>
      <c r="AX613" t="s">
        <v>72</v>
      </c>
      <c r="AY613" t="s">
        <v>72</v>
      </c>
      <c r="AZ613" t="s">
        <v>72</v>
      </c>
      <c r="BA613" t="s">
        <v>72</v>
      </c>
      <c r="BB613" t="s">
        <v>72</v>
      </c>
      <c r="BC613" t="s">
        <v>72</v>
      </c>
      <c r="BD613" t="s">
        <v>72</v>
      </c>
      <c r="BE613" t="s">
        <v>13178</v>
      </c>
      <c r="BF613" t="str">
        <f>HYPERLINK("http://dx.doi.org/10.1080/17457289.2020.1780432","http://dx.doi.org/10.1080/17457289.2020.1780432")</f>
        <v>http://dx.doi.org/10.1080/17457289.2020.1780432</v>
      </c>
      <c r="BG613" t="s">
        <v>72</v>
      </c>
      <c r="BH613" t="s">
        <v>2942</v>
      </c>
      <c r="BI613">
        <v>19</v>
      </c>
      <c r="BJ613" t="s">
        <v>219</v>
      </c>
      <c r="BK613" s="1" t="s">
        <v>17619</v>
      </c>
      <c r="BL613" t="s">
        <v>13179</v>
      </c>
      <c r="BM613" t="s">
        <v>72</v>
      </c>
      <c r="BN613" t="s">
        <v>72</v>
      </c>
      <c r="BO613" t="s">
        <v>72</v>
      </c>
      <c r="BP613" t="s">
        <v>72</v>
      </c>
      <c r="BQ613" t="s">
        <v>100</v>
      </c>
      <c r="BR613" t="s">
        <v>13180</v>
      </c>
      <c r="BS613" t="str">
        <f>HYPERLINK("https%3A%2F%2Fwww.webofscience.com%2Fwos%2Fwoscc%2Ffull-record%2FWOS:000547109200001","View Full Record in Web of Science")</f>
        <v>View Full Record in Web of Science</v>
      </c>
    </row>
    <row r="614" spans="1:71" x14ac:dyDescent="0.2">
      <c r="A614" t="s">
        <v>70</v>
      </c>
      <c r="B614" t="s">
        <v>13576</v>
      </c>
      <c r="C614" t="s">
        <v>72</v>
      </c>
      <c r="D614" t="s">
        <v>72</v>
      </c>
      <c r="E614" t="s">
        <v>72</v>
      </c>
      <c r="F614" t="s">
        <v>13577</v>
      </c>
      <c r="G614" t="s">
        <v>72</v>
      </c>
      <c r="H614" t="s">
        <v>72</v>
      </c>
      <c r="I614" t="s">
        <v>13578</v>
      </c>
      <c r="J614" t="s">
        <v>227</v>
      </c>
      <c r="K614" t="s">
        <v>72</v>
      </c>
      <c r="L614" t="s">
        <v>72</v>
      </c>
      <c r="M614" t="s">
        <v>76</v>
      </c>
      <c r="N614" t="s">
        <v>77</v>
      </c>
      <c r="O614" t="s">
        <v>72</v>
      </c>
      <c r="P614" t="s">
        <v>72</v>
      </c>
      <c r="Q614" t="s">
        <v>72</v>
      </c>
      <c r="R614" t="s">
        <v>72</v>
      </c>
      <c r="S614" t="s">
        <v>72</v>
      </c>
      <c r="T614" t="s">
        <v>72</v>
      </c>
      <c r="U614" t="s">
        <v>13579</v>
      </c>
      <c r="V614" t="s">
        <v>13580</v>
      </c>
      <c r="W614" t="s">
        <v>13581</v>
      </c>
      <c r="X614" t="s">
        <v>13582</v>
      </c>
      <c r="Y614" t="s">
        <v>13583</v>
      </c>
      <c r="Z614" t="s">
        <v>13584</v>
      </c>
      <c r="AA614" t="s">
        <v>72</v>
      </c>
      <c r="AB614" t="s">
        <v>13585</v>
      </c>
      <c r="AC614" t="s">
        <v>72</v>
      </c>
      <c r="AD614" t="s">
        <v>72</v>
      </c>
      <c r="AE614" t="s">
        <v>72</v>
      </c>
      <c r="AF614" t="s">
        <v>72</v>
      </c>
      <c r="AG614">
        <v>55</v>
      </c>
      <c r="AH614">
        <v>174</v>
      </c>
      <c r="AI614">
        <v>178</v>
      </c>
      <c r="AJ614">
        <v>2</v>
      </c>
      <c r="AK614">
        <v>24</v>
      </c>
      <c r="AL614" t="s">
        <v>240</v>
      </c>
      <c r="AM614" t="s">
        <v>241</v>
      </c>
      <c r="AN614" t="s">
        <v>242</v>
      </c>
      <c r="AO614" t="s">
        <v>243</v>
      </c>
      <c r="AP614" t="s">
        <v>244</v>
      </c>
      <c r="AQ614" t="s">
        <v>72</v>
      </c>
      <c r="AR614" t="s">
        <v>245</v>
      </c>
      <c r="AS614" t="s">
        <v>246</v>
      </c>
      <c r="AT614" t="s">
        <v>1325</v>
      </c>
      <c r="AU614">
        <v>2008</v>
      </c>
      <c r="AV614">
        <v>16</v>
      </c>
      <c r="AW614">
        <v>4</v>
      </c>
      <c r="AX614" t="s">
        <v>72</v>
      </c>
      <c r="AY614" t="s">
        <v>72</v>
      </c>
      <c r="AZ614" t="s">
        <v>72</v>
      </c>
      <c r="BA614" t="s">
        <v>72</v>
      </c>
      <c r="BB614">
        <v>372</v>
      </c>
      <c r="BC614">
        <v>403</v>
      </c>
      <c r="BD614" t="s">
        <v>72</v>
      </c>
      <c r="BE614" t="s">
        <v>13586</v>
      </c>
      <c r="BF614" t="str">
        <f>HYPERLINK("http://dx.doi.org/10.1093/pan/mpn018","http://dx.doi.org/10.1093/pan/mpn018")</f>
        <v>http://dx.doi.org/10.1093/pan/mpn018</v>
      </c>
      <c r="BG614" t="s">
        <v>72</v>
      </c>
      <c r="BH614" t="s">
        <v>72</v>
      </c>
      <c r="BI614">
        <v>32</v>
      </c>
      <c r="BJ614" t="s">
        <v>219</v>
      </c>
      <c r="BK614" s="1" t="s">
        <v>17619</v>
      </c>
      <c r="BL614" t="s">
        <v>13587</v>
      </c>
      <c r="BM614" t="s">
        <v>72</v>
      </c>
      <c r="BN614" t="s">
        <v>1497</v>
      </c>
      <c r="BO614" t="s">
        <v>72</v>
      </c>
      <c r="BP614" t="s">
        <v>72</v>
      </c>
      <c r="BQ614" t="s">
        <v>100</v>
      </c>
      <c r="BR614" t="s">
        <v>13588</v>
      </c>
      <c r="BS614" t="str">
        <f>HYPERLINK("https%3A%2F%2Fwww.webofscience.com%2Fwos%2Fwoscc%2Ffull-record%2FWOS:000263835100003","View Full Record in Web of Science")</f>
        <v>View Full Record in Web of Science</v>
      </c>
    </row>
    <row r="615" spans="1:71" x14ac:dyDescent="0.2">
      <c r="A615" t="s">
        <v>70</v>
      </c>
      <c r="B615" t="s">
        <v>2049</v>
      </c>
      <c r="C615" t="s">
        <v>72</v>
      </c>
      <c r="D615" t="s">
        <v>72</v>
      </c>
      <c r="E615" t="s">
        <v>72</v>
      </c>
      <c r="F615" t="s">
        <v>2050</v>
      </c>
      <c r="G615" t="s">
        <v>72</v>
      </c>
      <c r="H615" t="s">
        <v>72</v>
      </c>
      <c r="I615" t="s">
        <v>13719</v>
      </c>
      <c r="J615" t="s">
        <v>1388</v>
      </c>
      <c r="K615" t="s">
        <v>72</v>
      </c>
      <c r="L615" t="s">
        <v>72</v>
      </c>
      <c r="M615" t="s">
        <v>76</v>
      </c>
      <c r="N615" t="s">
        <v>77</v>
      </c>
      <c r="O615" t="s">
        <v>72</v>
      </c>
      <c r="P615" t="s">
        <v>72</v>
      </c>
      <c r="Q615" t="s">
        <v>72</v>
      </c>
      <c r="R615" t="s">
        <v>72</v>
      </c>
      <c r="S615" t="s">
        <v>72</v>
      </c>
      <c r="T615" t="s">
        <v>13720</v>
      </c>
      <c r="U615" t="s">
        <v>13721</v>
      </c>
      <c r="V615" t="s">
        <v>13722</v>
      </c>
      <c r="W615" t="s">
        <v>13723</v>
      </c>
      <c r="X615" t="s">
        <v>1781</v>
      </c>
      <c r="Y615" t="s">
        <v>13724</v>
      </c>
      <c r="Z615" t="s">
        <v>2057</v>
      </c>
      <c r="AA615" t="s">
        <v>72</v>
      </c>
      <c r="AB615" t="s">
        <v>2058</v>
      </c>
      <c r="AC615" t="s">
        <v>13725</v>
      </c>
      <c r="AD615" t="s">
        <v>13726</v>
      </c>
      <c r="AE615" t="s">
        <v>13727</v>
      </c>
      <c r="AF615" t="s">
        <v>72</v>
      </c>
      <c r="AG615">
        <v>64</v>
      </c>
      <c r="AH615">
        <v>45</v>
      </c>
      <c r="AI615">
        <v>46</v>
      </c>
      <c r="AJ615">
        <v>0</v>
      </c>
      <c r="AK615">
        <v>5</v>
      </c>
      <c r="AL615" t="s">
        <v>336</v>
      </c>
      <c r="AM615" t="s">
        <v>337</v>
      </c>
      <c r="AN615" t="s">
        <v>338</v>
      </c>
      <c r="AO615" t="s">
        <v>1398</v>
      </c>
      <c r="AP615" t="s">
        <v>1399</v>
      </c>
      <c r="AQ615" t="s">
        <v>72</v>
      </c>
      <c r="AR615" t="s">
        <v>1400</v>
      </c>
      <c r="AS615" t="s">
        <v>1401</v>
      </c>
      <c r="AT615" t="s">
        <v>555</v>
      </c>
      <c r="AU615">
        <v>2015</v>
      </c>
      <c r="AV615">
        <v>21</v>
      </c>
      <c r="AW615">
        <v>2</v>
      </c>
      <c r="AX615" t="s">
        <v>72</v>
      </c>
      <c r="AY615" t="s">
        <v>72</v>
      </c>
      <c r="AZ615" t="s">
        <v>72</v>
      </c>
      <c r="BA615" t="s">
        <v>72</v>
      </c>
      <c r="BB615">
        <v>246</v>
      </c>
      <c r="BC615">
        <v>258</v>
      </c>
      <c r="BD615" t="s">
        <v>72</v>
      </c>
      <c r="BE615" t="s">
        <v>13728</v>
      </c>
      <c r="BF615" t="str">
        <f>HYPERLINK("http://dx.doi.org/10.1177/1354068812472581","http://dx.doi.org/10.1177/1354068812472581")</f>
        <v>http://dx.doi.org/10.1177/1354068812472581</v>
      </c>
      <c r="BG615" t="s">
        <v>72</v>
      </c>
      <c r="BH615" t="s">
        <v>72</v>
      </c>
      <c r="BI615">
        <v>13</v>
      </c>
      <c r="BJ615" t="s">
        <v>219</v>
      </c>
      <c r="BK615" s="1" t="s">
        <v>17619</v>
      </c>
      <c r="BL615" t="s">
        <v>13729</v>
      </c>
      <c r="BM615" t="s">
        <v>72</v>
      </c>
      <c r="BN615" t="s">
        <v>72</v>
      </c>
      <c r="BO615" t="s">
        <v>72</v>
      </c>
      <c r="BP615" t="s">
        <v>72</v>
      </c>
      <c r="BQ615" t="s">
        <v>100</v>
      </c>
      <c r="BR615" t="s">
        <v>13730</v>
      </c>
      <c r="BS615" t="str">
        <f>HYPERLINK("https%3A%2F%2Fwww.webofscience.com%2Fwos%2Fwoscc%2Ffull-record%2FWOS:000350494400007","View Full Record in Web of Science")</f>
        <v>View Full Record in Web of Science</v>
      </c>
    </row>
    <row r="616" spans="1:71" x14ac:dyDescent="0.2">
      <c r="A616" t="s">
        <v>70</v>
      </c>
      <c r="B616" t="s">
        <v>13798</v>
      </c>
      <c r="C616" t="s">
        <v>72</v>
      </c>
      <c r="D616" t="s">
        <v>72</v>
      </c>
      <c r="E616" t="s">
        <v>72</v>
      </c>
      <c r="F616" t="s">
        <v>13799</v>
      </c>
      <c r="G616" t="s">
        <v>72</v>
      </c>
      <c r="H616" t="s">
        <v>72</v>
      </c>
      <c r="I616" t="s">
        <v>13800</v>
      </c>
      <c r="J616" t="s">
        <v>4643</v>
      </c>
      <c r="K616" t="s">
        <v>72</v>
      </c>
      <c r="L616" t="s">
        <v>72</v>
      </c>
      <c r="M616" t="s">
        <v>76</v>
      </c>
      <c r="N616" t="s">
        <v>77</v>
      </c>
      <c r="O616" t="s">
        <v>72</v>
      </c>
      <c r="P616" t="s">
        <v>72</v>
      </c>
      <c r="Q616" t="s">
        <v>72</v>
      </c>
      <c r="R616" t="s">
        <v>72</v>
      </c>
      <c r="S616" t="s">
        <v>72</v>
      </c>
      <c r="T616" t="s">
        <v>13801</v>
      </c>
      <c r="U616" t="s">
        <v>13802</v>
      </c>
      <c r="V616" t="s">
        <v>13803</v>
      </c>
      <c r="W616" t="s">
        <v>13804</v>
      </c>
      <c r="X616" t="s">
        <v>13805</v>
      </c>
      <c r="Y616" t="s">
        <v>13806</v>
      </c>
      <c r="Z616" t="s">
        <v>13807</v>
      </c>
      <c r="AA616" t="s">
        <v>13808</v>
      </c>
      <c r="AB616" t="s">
        <v>13809</v>
      </c>
      <c r="AC616" t="s">
        <v>72</v>
      </c>
      <c r="AD616" t="s">
        <v>72</v>
      </c>
      <c r="AE616" t="s">
        <v>72</v>
      </c>
      <c r="AF616" t="s">
        <v>72</v>
      </c>
      <c r="AG616">
        <v>92</v>
      </c>
      <c r="AH616">
        <v>5</v>
      </c>
      <c r="AI616">
        <v>5</v>
      </c>
      <c r="AJ616">
        <v>1</v>
      </c>
      <c r="AK616">
        <v>1</v>
      </c>
      <c r="AL616" t="s">
        <v>240</v>
      </c>
      <c r="AM616" t="s">
        <v>241</v>
      </c>
      <c r="AN616" t="s">
        <v>242</v>
      </c>
      <c r="AO616" t="s">
        <v>4652</v>
      </c>
      <c r="AP616" t="s">
        <v>4653</v>
      </c>
      <c r="AQ616" t="s">
        <v>72</v>
      </c>
      <c r="AR616" t="s">
        <v>4654</v>
      </c>
      <c r="AS616" t="s">
        <v>4655</v>
      </c>
      <c r="AT616" t="s">
        <v>776</v>
      </c>
      <c r="AU616">
        <v>2022</v>
      </c>
      <c r="AV616">
        <v>10</v>
      </c>
      <c r="AW616">
        <v>3</v>
      </c>
      <c r="AX616" t="s">
        <v>72</v>
      </c>
      <c r="AY616" t="s">
        <v>72</v>
      </c>
      <c r="AZ616" t="s">
        <v>72</v>
      </c>
      <c r="BA616" t="s">
        <v>72</v>
      </c>
      <c r="BB616">
        <v>617</v>
      </c>
      <c r="BC616">
        <v>633</v>
      </c>
      <c r="BD616" t="s">
        <v>72</v>
      </c>
      <c r="BE616" t="s">
        <v>13810</v>
      </c>
      <c r="BF616" t="str">
        <f>HYPERLINK("http://dx.doi.org/10.1017/psrm.2021.44","http://dx.doi.org/10.1017/psrm.2021.44")</f>
        <v>http://dx.doi.org/10.1017/psrm.2021.44</v>
      </c>
      <c r="BG616" t="s">
        <v>72</v>
      </c>
      <c r="BH616" t="s">
        <v>2792</v>
      </c>
      <c r="BI616">
        <v>17</v>
      </c>
      <c r="BJ616" t="s">
        <v>219</v>
      </c>
      <c r="BK616" s="1" t="s">
        <v>17619</v>
      </c>
      <c r="BL616" t="s">
        <v>13811</v>
      </c>
      <c r="BM616" t="s">
        <v>72</v>
      </c>
      <c r="BN616" t="s">
        <v>346</v>
      </c>
      <c r="BO616" t="s">
        <v>72</v>
      </c>
      <c r="BP616" t="s">
        <v>72</v>
      </c>
      <c r="BQ616" t="s">
        <v>100</v>
      </c>
      <c r="BR616" t="s">
        <v>13812</v>
      </c>
      <c r="BS616" t="str">
        <f>HYPERLINK("https%3A%2F%2Fwww.webofscience.com%2Fwos%2Fwoscc%2Ffull-record%2FWOS:000792228600001","View Full Record in Web of Science")</f>
        <v>View Full Record in Web of Science</v>
      </c>
    </row>
    <row r="617" spans="1:71" x14ac:dyDescent="0.2">
      <c r="A617" t="s">
        <v>70</v>
      </c>
      <c r="B617" t="s">
        <v>13848</v>
      </c>
      <c r="C617" t="s">
        <v>72</v>
      </c>
      <c r="D617" t="s">
        <v>72</v>
      </c>
      <c r="E617" t="s">
        <v>72</v>
      </c>
      <c r="F617" t="s">
        <v>13849</v>
      </c>
      <c r="G617" t="s">
        <v>72</v>
      </c>
      <c r="H617" t="s">
        <v>72</v>
      </c>
      <c r="I617" t="s">
        <v>13850</v>
      </c>
      <c r="J617" t="s">
        <v>13851</v>
      </c>
      <c r="K617" t="s">
        <v>72</v>
      </c>
      <c r="L617" t="s">
        <v>72</v>
      </c>
      <c r="M617" t="s">
        <v>76</v>
      </c>
      <c r="N617" t="s">
        <v>77</v>
      </c>
      <c r="O617" t="s">
        <v>72</v>
      </c>
      <c r="P617" t="s">
        <v>72</v>
      </c>
      <c r="Q617" t="s">
        <v>72</v>
      </c>
      <c r="R617" t="s">
        <v>72</v>
      </c>
      <c r="S617" t="s">
        <v>72</v>
      </c>
      <c r="T617" t="s">
        <v>13852</v>
      </c>
      <c r="U617" t="s">
        <v>13853</v>
      </c>
      <c r="V617" t="s">
        <v>13854</v>
      </c>
      <c r="W617" t="s">
        <v>13855</v>
      </c>
      <c r="X617" t="s">
        <v>13856</v>
      </c>
      <c r="Y617" t="s">
        <v>13857</v>
      </c>
      <c r="Z617" t="s">
        <v>13858</v>
      </c>
      <c r="AA617" t="s">
        <v>72</v>
      </c>
      <c r="AB617" t="s">
        <v>13859</v>
      </c>
      <c r="AC617" t="s">
        <v>72</v>
      </c>
      <c r="AD617" t="s">
        <v>72</v>
      </c>
      <c r="AE617" t="s">
        <v>72</v>
      </c>
      <c r="AF617" t="s">
        <v>72</v>
      </c>
      <c r="AG617">
        <v>52</v>
      </c>
      <c r="AH617">
        <v>0</v>
      </c>
      <c r="AI617">
        <v>0</v>
      </c>
      <c r="AJ617">
        <v>0</v>
      </c>
      <c r="AK617">
        <v>1</v>
      </c>
      <c r="AL617" t="s">
        <v>240</v>
      </c>
      <c r="AM617" t="s">
        <v>707</v>
      </c>
      <c r="AN617" t="s">
        <v>1205</v>
      </c>
      <c r="AO617" t="s">
        <v>13860</v>
      </c>
      <c r="AP617" t="s">
        <v>13861</v>
      </c>
      <c r="AQ617" t="s">
        <v>72</v>
      </c>
      <c r="AR617" t="s">
        <v>13862</v>
      </c>
      <c r="AS617" t="s">
        <v>13863</v>
      </c>
      <c r="AT617" t="s">
        <v>929</v>
      </c>
      <c r="AU617">
        <v>2021</v>
      </c>
      <c r="AV617">
        <v>54</v>
      </c>
      <c r="AW617">
        <v>4</v>
      </c>
      <c r="AX617" t="s">
        <v>72</v>
      </c>
      <c r="AY617" t="s">
        <v>72</v>
      </c>
      <c r="AZ617" t="s">
        <v>72</v>
      </c>
      <c r="BA617" t="s">
        <v>72</v>
      </c>
      <c r="BB617">
        <v>769</v>
      </c>
      <c r="BC617">
        <v>790</v>
      </c>
      <c r="BD617" t="s">
        <v>13864</v>
      </c>
      <c r="BE617" t="s">
        <v>13865</v>
      </c>
      <c r="BF617" t="str">
        <f>HYPERLINK("http://dx.doi.org/10.1017/S0008423921000718","http://dx.doi.org/10.1017/S0008423921000718")</f>
        <v>http://dx.doi.org/10.1017/S0008423921000718</v>
      </c>
      <c r="BG617" t="s">
        <v>72</v>
      </c>
      <c r="BH617" t="s">
        <v>72</v>
      </c>
      <c r="BI617">
        <v>22</v>
      </c>
      <c r="BJ617" t="s">
        <v>219</v>
      </c>
      <c r="BK617" s="1" t="s">
        <v>17619</v>
      </c>
      <c r="BL617" t="s">
        <v>13866</v>
      </c>
      <c r="BM617" t="s">
        <v>72</v>
      </c>
      <c r="BN617" t="s">
        <v>72</v>
      </c>
      <c r="BO617" t="s">
        <v>72</v>
      </c>
      <c r="BP617" t="s">
        <v>72</v>
      </c>
      <c r="BQ617" t="s">
        <v>100</v>
      </c>
      <c r="BR617" t="s">
        <v>13867</v>
      </c>
      <c r="BS617" t="str">
        <f>HYPERLINK("https%3A%2F%2Fwww.webofscience.com%2Fwos%2Fwoscc%2Ffull-record%2FWOS:000746933400004","View Full Record in Web of Science")</f>
        <v>View Full Record in Web of Science</v>
      </c>
    </row>
    <row r="618" spans="1:71" x14ac:dyDescent="0.2">
      <c r="A618" t="s">
        <v>70</v>
      </c>
      <c r="B618" t="s">
        <v>13886</v>
      </c>
      <c r="C618" t="s">
        <v>72</v>
      </c>
      <c r="D618" t="s">
        <v>72</v>
      </c>
      <c r="E618" t="s">
        <v>72</v>
      </c>
      <c r="F618" t="s">
        <v>13887</v>
      </c>
      <c r="G618" t="s">
        <v>72</v>
      </c>
      <c r="H618" t="s">
        <v>72</v>
      </c>
      <c r="I618" t="s">
        <v>13888</v>
      </c>
      <c r="J618" t="s">
        <v>7390</v>
      </c>
      <c r="K618" t="s">
        <v>72</v>
      </c>
      <c r="L618" t="s">
        <v>72</v>
      </c>
      <c r="M618" t="s">
        <v>76</v>
      </c>
      <c r="N618" t="s">
        <v>77</v>
      </c>
      <c r="O618" t="s">
        <v>72</v>
      </c>
      <c r="P618" t="s">
        <v>72</v>
      </c>
      <c r="Q618" t="s">
        <v>72</v>
      </c>
      <c r="R618" t="s">
        <v>72</v>
      </c>
      <c r="S618" t="s">
        <v>72</v>
      </c>
      <c r="T618" t="s">
        <v>13889</v>
      </c>
      <c r="U618" t="s">
        <v>13890</v>
      </c>
      <c r="V618" t="s">
        <v>13891</v>
      </c>
      <c r="W618" t="s">
        <v>13892</v>
      </c>
      <c r="X618" t="s">
        <v>13893</v>
      </c>
      <c r="Y618" t="s">
        <v>13894</v>
      </c>
      <c r="Z618" t="s">
        <v>13895</v>
      </c>
      <c r="AA618" t="s">
        <v>72</v>
      </c>
      <c r="AB618" t="s">
        <v>13896</v>
      </c>
      <c r="AC618" t="s">
        <v>72</v>
      </c>
      <c r="AD618" t="s">
        <v>72</v>
      </c>
      <c r="AE618" t="s">
        <v>72</v>
      </c>
      <c r="AF618" t="s">
        <v>72</v>
      </c>
      <c r="AG618">
        <v>44</v>
      </c>
      <c r="AH618">
        <v>0</v>
      </c>
      <c r="AI618">
        <v>0</v>
      </c>
      <c r="AJ618">
        <v>1</v>
      </c>
      <c r="AK618">
        <v>3</v>
      </c>
      <c r="AL618" t="s">
        <v>1005</v>
      </c>
      <c r="AM618" t="s">
        <v>1006</v>
      </c>
      <c r="AN618" t="s">
        <v>1007</v>
      </c>
      <c r="AO618" t="s">
        <v>12703</v>
      </c>
      <c r="AP618" t="s">
        <v>7400</v>
      </c>
      <c r="AQ618" t="s">
        <v>72</v>
      </c>
      <c r="AR618" t="s">
        <v>7401</v>
      </c>
      <c r="AS618" t="s">
        <v>7402</v>
      </c>
      <c r="AT618" t="s">
        <v>555</v>
      </c>
      <c r="AU618">
        <v>2022</v>
      </c>
      <c r="AV618">
        <v>11</v>
      </c>
      <c r="AW618">
        <v>1</v>
      </c>
      <c r="AX618" t="s">
        <v>72</v>
      </c>
      <c r="AY618" t="s">
        <v>72</v>
      </c>
      <c r="AZ618" t="s">
        <v>72</v>
      </c>
      <c r="BA618" t="s">
        <v>72</v>
      </c>
      <c r="BB618">
        <v>26</v>
      </c>
      <c r="BC618">
        <v>45</v>
      </c>
      <c r="BD618" t="s">
        <v>72</v>
      </c>
      <c r="BE618" t="s">
        <v>13897</v>
      </c>
      <c r="BF618" t="str">
        <f>HYPERLINK("http://dx.doi.org/10.1057/s41309-021-00129-w","http://dx.doi.org/10.1057/s41309-021-00129-w")</f>
        <v>http://dx.doi.org/10.1057/s41309-021-00129-w</v>
      </c>
      <c r="BG618" t="s">
        <v>72</v>
      </c>
      <c r="BH618" t="s">
        <v>4769</v>
      </c>
      <c r="BI618">
        <v>20</v>
      </c>
      <c r="BJ618" t="s">
        <v>219</v>
      </c>
      <c r="BK618" s="1" t="s">
        <v>17619</v>
      </c>
      <c r="BL618" t="s">
        <v>13898</v>
      </c>
      <c r="BM618" t="s">
        <v>72</v>
      </c>
      <c r="BN618" t="s">
        <v>280</v>
      </c>
      <c r="BO618" t="s">
        <v>72</v>
      </c>
      <c r="BP618" t="s">
        <v>72</v>
      </c>
      <c r="BQ618" t="s">
        <v>100</v>
      </c>
      <c r="BR618" t="s">
        <v>13899</v>
      </c>
      <c r="BS618" t="str">
        <f>HYPERLINK("https%3A%2F%2Fwww.webofscience.com%2Fwos%2Fwoscc%2Ffull-record%2FWOS:000681146400001","View Full Record in Web of Science")</f>
        <v>View Full Record in Web of Science</v>
      </c>
    </row>
    <row r="619" spans="1:71" x14ac:dyDescent="0.2">
      <c r="A619" t="s">
        <v>70</v>
      </c>
      <c r="B619" t="s">
        <v>13922</v>
      </c>
      <c r="C619" t="s">
        <v>72</v>
      </c>
      <c r="D619" t="s">
        <v>72</v>
      </c>
      <c r="E619" t="s">
        <v>72</v>
      </c>
      <c r="F619" t="s">
        <v>13923</v>
      </c>
      <c r="G619" t="s">
        <v>72</v>
      </c>
      <c r="H619" t="s">
        <v>72</v>
      </c>
      <c r="I619" t="s">
        <v>13924</v>
      </c>
      <c r="J619" t="s">
        <v>4938</v>
      </c>
      <c r="K619" t="s">
        <v>72</v>
      </c>
      <c r="L619" t="s">
        <v>72</v>
      </c>
      <c r="M619" t="s">
        <v>76</v>
      </c>
      <c r="N619" t="s">
        <v>352</v>
      </c>
      <c r="O619" t="s">
        <v>72</v>
      </c>
      <c r="P619" t="s">
        <v>72</v>
      </c>
      <c r="Q619" t="s">
        <v>72</v>
      </c>
      <c r="R619" t="s">
        <v>72</v>
      </c>
      <c r="S619" t="s">
        <v>72</v>
      </c>
      <c r="T619" t="s">
        <v>72</v>
      </c>
      <c r="U619" t="s">
        <v>13925</v>
      </c>
      <c r="V619" t="s">
        <v>13926</v>
      </c>
      <c r="W619" t="s">
        <v>13927</v>
      </c>
      <c r="X619" t="s">
        <v>825</v>
      </c>
      <c r="Y619" t="s">
        <v>13928</v>
      </c>
      <c r="Z619" t="s">
        <v>13929</v>
      </c>
      <c r="AA619" t="s">
        <v>72</v>
      </c>
      <c r="AB619" t="s">
        <v>72</v>
      </c>
      <c r="AC619" t="s">
        <v>72</v>
      </c>
      <c r="AD619" t="s">
        <v>72</v>
      </c>
      <c r="AE619" t="s">
        <v>72</v>
      </c>
      <c r="AF619" t="s">
        <v>72</v>
      </c>
      <c r="AG619">
        <v>47</v>
      </c>
      <c r="AH619">
        <v>0</v>
      </c>
      <c r="AI619">
        <v>0</v>
      </c>
      <c r="AJ619">
        <v>4</v>
      </c>
      <c r="AK619">
        <v>4</v>
      </c>
      <c r="AL619" t="s">
        <v>1260</v>
      </c>
      <c r="AM619" t="s">
        <v>964</v>
      </c>
      <c r="AN619" t="s">
        <v>965</v>
      </c>
      <c r="AO619" t="s">
        <v>4947</v>
      </c>
      <c r="AP619" t="s">
        <v>4948</v>
      </c>
      <c r="AQ619" t="s">
        <v>72</v>
      </c>
      <c r="AR619" t="s">
        <v>4949</v>
      </c>
      <c r="AS619" t="s">
        <v>4950</v>
      </c>
      <c r="AT619" t="s">
        <v>72</v>
      </c>
      <c r="AU619" t="s">
        <v>72</v>
      </c>
      <c r="AV619" t="s">
        <v>72</v>
      </c>
      <c r="AW619" t="s">
        <v>72</v>
      </c>
      <c r="AX619" t="s">
        <v>72</v>
      </c>
      <c r="AY619" t="s">
        <v>72</v>
      </c>
      <c r="AZ619" t="s">
        <v>72</v>
      </c>
      <c r="BA619" t="s">
        <v>72</v>
      </c>
      <c r="BB619" t="s">
        <v>72</v>
      </c>
      <c r="BC619" t="s">
        <v>72</v>
      </c>
      <c r="BD619" t="s">
        <v>72</v>
      </c>
      <c r="BE619" t="s">
        <v>13930</v>
      </c>
      <c r="BF619" t="str">
        <f>HYPERLINK("http://dx.doi.org/10.1111/ajps.12747","http://dx.doi.org/10.1111/ajps.12747")</f>
        <v>http://dx.doi.org/10.1111/ajps.12747</v>
      </c>
      <c r="BG619" t="s">
        <v>72</v>
      </c>
      <c r="BH619" t="s">
        <v>2868</v>
      </c>
      <c r="BI619">
        <v>16</v>
      </c>
      <c r="BJ619" t="s">
        <v>219</v>
      </c>
      <c r="BK619" s="1" t="s">
        <v>17619</v>
      </c>
      <c r="BL619" t="s">
        <v>13931</v>
      </c>
      <c r="BM619" t="s">
        <v>72</v>
      </c>
      <c r="BN619" t="s">
        <v>72</v>
      </c>
      <c r="BO619" t="s">
        <v>72</v>
      </c>
      <c r="BP619" t="s">
        <v>72</v>
      </c>
      <c r="BQ619" t="s">
        <v>100</v>
      </c>
      <c r="BR619" t="s">
        <v>13932</v>
      </c>
      <c r="BS619" t="str">
        <f>HYPERLINK("https%3A%2F%2Fwww.webofscience.com%2Fwos%2Fwoscc%2Ffull-record%2FWOS:000873873800001","View Full Record in Web of Science")</f>
        <v>View Full Record in Web of Science</v>
      </c>
    </row>
    <row r="620" spans="1:71" x14ac:dyDescent="0.2">
      <c r="A620" t="s">
        <v>70</v>
      </c>
      <c r="B620" t="s">
        <v>14009</v>
      </c>
      <c r="C620" t="s">
        <v>72</v>
      </c>
      <c r="D620" t="s">
        <v>72</v>
      </c>
      <c r="E620" t="s">
        <v>72</v>
      </c>
      <c r="F620" t="s">
        <v>14010</v>
      </c>
      <c r="G620" t="s">
        <v>72</v>
      </c>
      <c r="H620" t="s">
        <v>72</v>
      </c>
      <c r="I620" t="s">
        <v>14011</v>
      </c>
      <c r="J620" t="s">
        <v>6805</v>
      </c>
      <c r="K620" t="s">
        <v>72</v>
      </c>
      <c r="L620" t="s">
        <v>72</v>
      </c>
      <c r="M620" t="s">
        <v>76</v>
      </c>
      <c r="N620" t="s">
        <v>77</v>
      </c>
      <c r="O620" t="s">
        <v>72</v>
      </c>
      <c r="P620" t="s">
        <v>72</v>
      </c>
      <c r="Q620" t="s">
        <v>72</v>
      </c>
      <c r="R620" t="s">
        <v>72</v>
      </c>
      <c r="S620" t="s">
        <v>72</v>
      </c>
      <c r="T620" t="s">
        <v>14012</v>
      </c>
      <c r="U620" t="s">
        <v>14013</v>
      </c>
      <c r="V620" t="s">
        <v>14014</v>
      </c>
      <c r="W620" t="s">
        <v>14015</v>
      </c>
      <c r="X620" t="s">
        <v>1183</v>
      </c>
      <c r="Y620" t="s">
        <v>14016</v>
      </c>
      <c r="Z620" t="s">
        <v>72</v>
      </c>
      <c r="AA620" t="s">
        <v>72</v>
      </c>
      <c r="AB620" t="s">
        <v>72</v>
      </c>
      <c r="AC620" t="s">
        <v>72</v>
      </c>
      <c r="AD620" t="s">
        <v>72</v>
      </c>
      <c r="AE620" t="s">
        <v>72</v>
      </c>
      <c r="AF620" t="s">
        <v>72</v>
      </c>
      <c r="AG620">
        <v>22</v>
      </c>
      <c r="AH620">
        <v>3</v>
      </c>
      <c r="AI620">
        <v>3</v>
      </c>
      <c r="AJ620">
        <v>1</v>
      </c>
      <c r="AK620">
        <v>6</v>
      </c>
      <c r="AL620" t="s">
        <v>1260</v>
      </c>
      <c r="AM620" t="s">
        <v>964</v>
      </c>
      <c r="AN620" t="s">
        <v>965</v>
      </c>
      <c r="AO620" t="s">
        <v>6811</v>
      </c>
      <c r="AP620" t="s">
        <v>6812</v>
      </c>
      <c r="AQ620" t="s">
        <v>72</v>
      </c>
      <c r="AR620" t="s">
        <v>6813</v>
      </c>
      <c r="AS620" t="s">
        <v>6814</v>
      </c>
      <c r="AT620" t="s">
        <v>555</v>
      </c>
      <c r="AU620">
        <v>2018</v>
      </c>
      <c r="AV620">
        <v>48</v>
      </c>
      <c r="AW620">
        <v>1</v>
      </c>
      <c r="AX620" t="s">
        <v>72</v>
      </c>
      <c r="AY620" t="s">
        <v>72</v>
      </c>
      <c r="AZ620" t="s">
        <v>72</v>
      </c>
      <c r="BA620" t="s">
        <v>72</v>
      </c>
      <c r="BB620">
        <v>93</v>
      </c>
      <c r="BC620">
        <v>109</v>
      </c>
      <c r="BD620" t="s">
        <v>72</v>
      </c>
      <c r="BE620" t="s">
        <v>14017</v>
      </c>
      <c r="BF620" t="str">
        <f>HYPERLINK("http://dx.doi.org/10.1111/psq.12433","http://dx.doi.org/10.1111/psq.12433")</f>
        <v>http://dx.doi.org/10.1111/psq.12433</v>
      </c>
      <c r="BG620" t="s">
        <v>72</v>
      </c>
      <c r="BH620" t="s">
        <v>72</v>
      </c>
      <c r="BI620">
        <v>17</v>
      </c>
      <c r="BJ620" t="s">
        <v>219</v>
      </c>
      <c r="BK620" s="1" t="s">
        <v>17619</v>
      </c>
      <c r="BL620" t="s">
        <v>14018</v>
      </c>
      <c r="BM620" t="s">
        <v>72</v>
      </c>
      <c r="BN620" t="s">
        <v>72</v>
      </c>
      <c r="BO620" t="s">
        <v>72</v>
      </c>
      <c r="BP620" t="s">
        <v>72</v>
      </c>
      <c r="BQ620" t="s">
        <v>100</v>
      </c>
      <c r="BR620" t="s">
        <v>14019</v>
      </c>
      <c r="BS620" t="str">
        <f>HYPERLINK("https%3A%2F%2Fwww.webofscience.com%2Fwos%2Fwoscc%2Ffull-record%2FWOS:000425644800005","View Full Record in Web of Science")</f>
        <v>View Full Record in Web of Science</v>
      </c>
    </row>
    <row r="621" spans="1:71" x14ac:dyDescent="0.2">
      <c r="A621" t="s">
        <v>70</v>
      </c>
      <c r="B621" t="s">
        <v>14412</v>
      </c>
      <c r="C621" t="s">
        <v>72</v>
      </c>
      <c r="D621" t="s">
        <v>72</v>
      </c>
      <c r="E621" t="s">
        <v>72</v>
      </c>
      <c r="F621" t="s">
        <v>14413</v>
      </c>
      <c r="G621" t="s">
        <v>72</v>
      </c>
      <c r="H621" t="s">
        <v>72</v>
      </c>
      <c r="I621" t="s">
        <v>14414</v>
      </c>
      <c r="J621" t="s">
        <v>2617</v>
      </c>
      <c r="K621" t="s">
        <v>72</v>
      </c>
      <c r="L621" t="s">
        <v>72</v>
      </c>
      <c r="M621" t="s">
        <v>76</v>
      </c>
      <c r="N621" t="s">
        <v>77</v>
      </c>
      <c r="O621" t="s">
        <v>72</v>
      </c>
      <c r="P621" t="s">
        <v>72</v>
      </c>
      <c r="Q621" t="s">
        <v>72</v>
      </c>
      <c r="R621" t="s">
        <v>72</v>
      </c>
      <c r="S621" t="s">
        <v>72</v>
      </c>
      <c r="T621" t="s">
        <v>14415</v>
      </c>
      <c r="U621" t="s">
        <v>14416</v>
      </c>
      <c r="V621" t="s">
        <v>14417</v>
      </c>
      <c r="W621" t="s">
        <v>14418</v>
      </c>
      <c r="X621" t="s">
        <v>14419</v>
      </c>
      <c r="Y621" t="s">
        <v>14420</v>
      </c>
      <c r="Z621" t="s">
        <v>14421</v>
      </c>
      <c r="AA621" t="s">
        <v>14422</v>
      </c>
      <c r="AB621" t="s">
        <v>14423</v>
      </c>
      <c r="AC621" t="s">
        <v>72</v>
      </c>
      <c r="AD621" t="s">
        <v>72</v>
      </c>
      <c r="AE621" t="s">
        <v>72</v>
      </c>
      <c r="AF621" t="s">
        <v>72</v>
      </c>
      <c r="AG621">
        <v>75</v>
      </c>
      <c r="AH621">
        <v>42</v>
      </c>
      <c r="AI621">
        <v>42</v>
      </c>
      <c r="AJ621">
        <v>1</v>
      </c>
      <c r="AK621">
        <v>22</v>
      </c>
      <c r="AL621" t="s">
        <v>1260</v>
      </c>
      <c r="AM621" t="s">
        <v>964</v>
      </c>
      <c r="AN621" t="s">
        <v>965</v>
      </c>
      <c r="AO621" t="s">
        <v>2629</v>
      </c>
      <c r="AP621" t="s">
        <v>2630</v>
      </c>
      <c r="AQ621" t="s">
        <v>72</v>
      </c>
      <c r="AR621" t="s">
        <v>2631</v>
      </c>
      <c r="AS621" t="s">
        <v>2632</v>
      </c>
      <c r="AT621" t="s">
        <v>197</v>
      </c>
      <c r="AU621">
        <v>2018</v>
      </c>
      <c r="AV621">
        <v>57</v>
      </c>
      <c r="AW621">
        <v>2</v>
      </c>
      <c r="AX621" t="s">
        <v>72</v>
      </c>
      <c r="AY621" t="s">
        <v>72</v>
      </c>
      <c r="AZ621" t="s">
        <v>72</v>
      </c>
      <c r="BA621" t="s">
        <v>72</v>
      </c>
      <c r="BB621">
        <v>473</v>
      </c>
      <c r="BC621">
        <v>495</v>
      </c>
      <c r="BD621" t="s">
        <v>72</v>
      </c>
      <c r="BE621" t="s">
        <v>14424</v>
      </c>
      <c r="BF621" t="str">
        <f>HYPERLINK("http://dx.doi.org/10.1111/1475-6765.12235","http://dx.doi.org/10.1111/1475-6765.12235")</f>
        <v>http://dx.doi.org/10.1111/1475-6765.12235</v>
      </c>
      <c r="BG621" t="s">
        <v>72</v>
      </c>
      <c r="BH621" t="s">
        <v>72</v>
      </c>
      <c r="BI621">
        <v>23</v>
      </c>
      <c r="BJ621" t="s">
        <v>219</v>
      </c>
      <c r="BK621" s="1" t="s">
        <v>17619</v>
      </c>
      <c r="BL621" t="s">
        <v>14425</v>
      </c>
      <c r="BM621" t="s">
        <v>72</v>
      </c>
      <c r="BN621" t="s">
        <v>559</v>
      </c>
      <c r="BO621" t="s">
        <v>72</v>
      </c>
      <c r="BP621" t="s">
        <v>72</v>
      </c>
      <c r="BQ621" t="s">
        <v>100</v>
      </c>
      <c r="BR621" t="s">
        <v>14426</v>
      </c>
      <c r="BS621" t="str">
        <f>HYPERLINK("https%3A%2F%2Fwww.webofscience.com%2Fwos%2Fwoscc%2Ffull-record%2FWOS:000429541200010","View Full Record in Web of Science")</f>
        <v>View Full Record in Web of Science</v>
      </c>
    </row>
    <row r="622" spans="1:71" x14ac:dyDescent="0.2">
      <c r="A622" t="s">
        <v>70</v>
      </c>
      <c r="B622" t="s">
        <v>14771</v>
      </c>
      <c r="C622" t="s">
        <v>72</v>
      </c>
      <c r="D622" t="s">
        <v>72</v>
      </c>
      <c r="E622" t="s">
        <v>72</v>
      </c>
      <c r="F622" t="s">
        <v>14772</v>
      </c>
      <c r="G622" t="s">
        <v>72</v>
      </c>
      <c r="H622" t="s">
        <v>72</v>
      </c>
      <c r="I622" t="s">
        <v>14773</v>
      </c>
      <c r="J622" t="s">
        <v>227</v>
      </c>
      <c r="K622" t="s">
        <v>72</v>
      </c>
      <c r="L622" t="s">
        <v>72</v>
      </c>
      <c r="M622" t="s">
        <v>76</v>
      </c>
      <c r="N622" t="s">
        <v>4854</v>
      </c>
      <c r="O622" t="s">
        <v>14774</v>
      </c>
      <c r="P622" t="s">
        <v>14775</v>
      </c>
      <c r="Q622" t="s">
        <v>14776</v>
      </c>
      <c r="R622" t="s">
        <v>14777</v>
      </c>
      <c r="S622" t="s">
        <v>72</v>
      </c>
      <c r="T622" t="s">
        <v>72</v>
      </c>
      <c r="U622" t="s">
        <v>14778</v>
      </c>
      <c r="V622" t="s">
        <v>14779</v>
      </c>
      <c r="W622" t="s">
        <v>14780</v>
      </c>
      <c r="X622" t="s">
        <v>8320</v>
      </c>
      <c r="Y622" t="s">
        <v>72</v>
      </c>
      <c r="Z622" t="s">
        <v>14781</v>
      </c>
      <c r="AA622" t="s">
        <v>72</v>
      </c>
      <c r="AB622" t="s">
        <v>72</v>
      </c>
      <c r="AC622" t="s">
        <v>72</v>
      </c>
      <c r="AD622" t="s">
        <v>72</v>
      </c>
      <c r="AE622" t="s">
        <v>72</v>
      </c>
      <c r="AF622" t="s">
        <v>72</v>
      </c>
      <c r="AG622">
        <v>66</v>
      </c>
      <c r="AH622">
        <v>19</v>
      </c>
      <c r="AI622">
        <v>20</v>
      </c>
      <c r="AJ622">
        <v>1</v>
      </c>
      <c r="AK622">
        <v>8</v>
      </c>
      <c r="AL622" t="s">
        <v>240</v>
      </c>
      <c r="AM622" t="s">
        <v>241</v>
      </c>
      <c r="AN622" t="s">
        <v>242</v>
      </c>
      <c r="AO622" t="s">
        <v>243</v>
      </c>
      <c r="AP622" t="s">
        <v>244</v>
      </c>
      <c r="AQ622" t="s">
        <v>72</v>
      </c>
      <c r="AR622" t="s">
        <v>245</v>
      </c>
      <c r="AS622" t="s">
        <v>246</v>
      </c>
      <c r="AT622" t="s">
        <v>1325</v>
      </c>
      <c r="AU622">
        <v>2008</v>
      </c>
      <c r="AV622">
        <v>16</v>
      </c>
      <c r="AW622">
        <v>4</v>
      </c>
      <c r="AX622" t="s">
        <v>72</v>
      </c>
      <c r="AY622" t="s">
        <v>72</v>
      </c>
      <c r="AZ622" t="s">
        <v>72</v>
      </c>
      <c r="BA622" t="s">
        <v>72</v>
      </c>
      <c r="BB622">
        <v>404</v>
      </c>
      <c r="BC622">
        <v>427</v>
      </c>
      <c r="BD622" t="s">
        <v>72</v>
      </c>
      <c r="BE622" t="s">
        <v>14782</v>
      </c>
      <c r="BF622" t="str">
        <f>HYPERLINK("http://dx.doi.org/10.1093/pan/mpn005","http://dx.doi.org/10.1093/pan/mpn005")</f>
        <v>http://dx.doi.org/10.1093/pan/mpn005</v>
      </c>
      <c r="BG622" t="s">
        <v>72</v>
      </c>
      <c r="BH622" t="s">
        <v>72</v>
      </c>
      <c r="BI622">
        <v>24</v>
      </c>
      <c r="BJ622" t="s">
        <v>219</v>
      </c>
      <c r="BK622" s="1" t="s">
        <v>17619</v>
      </c>
      <c r="BL622" t="s">
        <v>13587</v>
      </c>
      <c r="BM622" t="s">
        <v>72</v>
      </c>
      <c r="BN622" t="s">
        <v>72</v>
      </c>
      <c r="BO622" t="s">
        <v>72</v>
      </c>
      <c r="BP622" t="s">
        <v>72</v>
      </c>
      <c r="BQ622" t="s">
        <v>100</v>
      </c>
      <c r="BR622" t="s">
        <v>14783</v>
      </c>
      <c r="BS622" t="str">
        <f>HYPERLINK("https%3A%2F%2Fwww.webofscience.com%2Fwos%2Fwoscc%2Ffull-record%2FWOS:000263835100004","View Full Record in Web of Science")</f>
        <v>View Full Record in Web of Science</v>
      </c>
    </row>
    <row r="623" spans="1:71" x14ac:dyDescent="0.2">
      <c r="A623" t="s">
        <v>70</v>
      </c>
      <c r="B623" t="s">
        <v>14802</v>
      </c>
      <c r="C623" t="s">
        <v>72</v>
      </c>
      <c r="D623" t="s">
        <v>72</v>
      </c>
      <c r="E623" t="s">
        <v>72</v>
      </c>
      <c r="F623" t="s">
        <v>14803</v>
      </c>
      <c r="G623" t="s">
        <v>72</v>
      </c>
      <c r="H623" t="s">
        <v>72</v>
      </c>
      <c r="I623" t="s">
        <v>14804</v>
      </c>
      <c r="J623" t="s">
        <v>9311</v>
      </c>
      <c r="K623" t="s">
        <v>72</v>
      </c>
      <c r="L623" t="s">
        <v>72</v>
      </c>
      <c r="M623" t="s">
        <v>76</v>
      </c>
      <c r="N623" t="s">
        <v>77</v>
      </c>
      <c r="O623" t="s">
        <v>72</v>
      </c>
      <c r="P623" t="s">
        <v>72</v>
      </c>
      <c r="Q623" t="s">
        <v>72</v>
      </c>
      <c r="R623" t="s">
        <v>72</v>
      </c>
      <c r="S623" t="s">
        <v>72</v>
      </c>
      <c r="T623" t="s">
        <v>72</v>
      </c>
      <c r="U623" t="s">
        <v>14805</v>
      </c>
      <c r="V623" t="s">
        <v>14806</v>
      </c>
      <c r="W623" t="s">
        <v>14807</v>
      </c>
      <c r="X623" t="s">
        <v>14808</v>
      </c>
      <c r="Y623" t="s">
        <v>14809</v>
      </c>
      <c r="Z623" t="s">
        <v>14810</v>
      </c>
      <c r="AA623" t="s">
        <v>72</v>
      </c>
      <c r="AB623" t="s">
        <v>14811</v>
      </c>
      <c r="AC623" t="s">
        <v>14812</v>
      </c>
      <c r="AD623" t="s">
        <v>14813</v>
      </c>
      <c r="AE623" t="s">
        <v>14814</v>
      </c>
      <c r="AF623" t="s">
        <v>72</v>
      </c>
      <c r="AG623">
        <v>49</v>
      </c>
      <c r="AH623">
        <v>14</v>
      </c>
      <c r="AI623">
        <v>14</v>
      </c>
      <c r="AJ623">
        <v>3</v>
      </c>
      <c r="AK623">
        <v>7</v>
      </c>
      <c r="AL623" t="s">
        <v>769</v>
      </c>
      <c r="AM623" t="s">
        <v>770</v>
      </c>
      <c r="AN623" t="s">
        <v>771</v>
      </c>
      <c r="AO623" t="s">
        <v>9318</v>
      </c>
      <c r="AP623" t="s">
        <v>9319</v>
      </c>
      <c r="AQ623" t="s">
        <v>72</v>
      </c>
      <c r="AR623" t="s">
        <v>9320</v>
      </c>
      <c r="AS623" t="s">
        <v>9321</v>
      </c>
      <c r="AT623" t="s">
        <v>14815</v>
      </c>
      <c r="AU623">
        <v>2020</v>
      </c>
      <c r="AV623">
        <v>8</v>
      </c>
      <c r="AW623">
        <v>2</v>
      </c>
      <c r="AX623" t="s">
        <v>72</v>
      </c>
      <c r="AY623" t="s">
        <v>72</v>
      </c>
      <c r="AZ623" t="s">
        <v>72</v>
      </c>
      <c r="BA623" t="s">
        <v>72</v>
      </c>
      <c r="BB623">
        <v>177</v>
      </c>
      <c r="BC623">
        <v>201</v>
      </c>
      <c r="BD623" t="s">
        <v>72</v>
      </c>
      <c r="BE623" t="s">
        <v>14816</v>
      </c>
      <c r="BF623" t="str">
        <f>HYPERLINK("http://dx.doi.org/10.1086/709916","http://dx.doi.org/10.1086/709916")</f>
        <v>http://dx.doi.org/10.1086/709916</v>
      </c>
      <c r="BG623" t="s">
        <v>72</v>
      </c>
      <c r="BH623" t="s">
        <v>72</v>
      </c>
      <c r="BI623">
        <v>25</v>
      </c>
      <c r="BJ623" t="s">
        <v>3261</v>
      </c>
      <c r="BK623" s="1" t="s">
        <v>17619</v>
      </c>
      <c r="BL623" t="s">
        <v>14817</v>
      </c>
      <c r="BM623" t="s">
        <v>72</v>
      </c>
      <c r="BN623" t="s">
        <v>72</v>
      </c>
      <c r="BO623" t="s">
        <v>72</v>
      </c>
      <c r="BP623" t="s">
        <v>72</v>
      </c>
      <c r="BQ623" t="s">
        <v>100</v>
      </c>
      <c r="BR623" t="s">
        <v>14818</v>
      </c>
      <c r="BS623" t="str">
        <f>HYPERLINK("https%3A%2F%2Fwww.webofscience.com%2Fwos%2Fwoscc%2Ffull-record%2FWOS:000583843000001","View Full Record in Web of Science")</f>
        <v>View Full Record in Web of Science</v>
      </c>
    </row>
    <row r="624" spans="1:71" x14ac:dyDescent="0.2">
      <c r="A624" t="s">
        <v>70</v>
      </c>
      <c r="B624" t="s">
        <v>14853</v>
      </c>
      <c r="C624" t="s">
        <v>72</v>
      </c>
      <c r="D624" t="s">
        <v>72</v>
      </c>
      <c r="E624" t="s">
        <v>72</v>
      </c>
      <c r="F624" t="s">
        <v>14854</v>
      </c>
      <c r="G624" t="s">
        <v>72</v>
      </c>
      <c r="H624" t="s">
        <v>72</v>
      </c>
      <c r="I624" t="s">
        <v>14855</v>
      </c>
      <c r="J624" t="s">
        <v>14856</v>
      </c>
      <c r="K624" t="s">
        <v>72</v>
      </c>
      <c r="L624" t="s">
        <v>72</v>
      </c>
      <c r="M624" t="s">
        <v>76</v>
      </c>
      <c r="N624" t="s">
        <v>77</v>
      </c>
      <c r="O624" t="s">
        <v>72</v>
      </c>
      <c r="P624" t="s">
        <v>72</v>
      </c>
      <c r="Q624" t="s">
        <v>72</v>
      </c>
      <c r="R624" t="s">
        <v>72</v>
      </c>
      <c r="S624" t="s">
        <v>72</v>
      </c>
      <c r="T624" t="s">
        <v>14857</v>
      </c>
      <c r="U624" t="s">
        <v>14858</v>
      </c>
      <c r="V624" t="s">
        <v>14859</v>
      </c>
      <c r="W624" t="s">
        <v>14860</v>
      </c>
      <c r="X624" t="s">
        <v>14861</v>
      </c>
      <c r="Y624" t="s">
        <v>14862</v>
      </c>
      <c r="Z624" t="s">
        <v>14863</v>
      </c>
      <c r="AA624" t="s">
        <v>72</v>
      </c>
      <c r="AB624" t="s">
        <v>72</v>
      </c>
      <c r="AC624" t="s">
        <v>14864</v>
      </c>
      <c r="AD624" t="s">
        <v>14865</v>
      </c>
      <c r="AE624" t="s">
        <v>14866</v>
      </c>
      <c r="AF624" t="s">
        <v>72</v>
      </c>
      <c r="AG624">
        <v>47</v>
      </c>
      <c r="AH624">
        <v>5</v>
      </c>
      <c r="AI624">
        <v>5</v>
      </c>
      <c r="AJ624">
        <v>0</v>
      </c>
      <c r="AK624">
        <v>8</v>
      </c>
      <c r="AL624" t="s">
        <v>190</v>
      </c>
      <c r="AM624" t="s">
        <v>191</v>
      </c>
      <c r="AN624" t="s">
        <v>192</v>
      </c>
      <c r="AO624" t="s">
        <v>14867</v>
      </c>
      <c r="AP624" t="s">
        <v>14868</v>
      </c>
      <c r="AQ624" t="s">
        <v>72</v>
      </c>
      <c r="AR624" t="s">
        <v>14869</v>
      </c>
      <c r="AS624" t="s">
        <v>14870</v>
      </c>
      <c r="AT624" t="s">
        <v>95</v>
      </c>
      <c r="AU624">
        <v>2017</v>
      </c>
      <c r="AV624">
        <v>45</v>
      </c>
      <c r="AW624">
        <v>5</v>
      </c>
      <c r="AX624" t="s">
        <v>72</v>
      </c>
      <c r="AY624" t="s">
        <v>72</v>
      </c>
      <c r="AZ624" t="s">
        <v>72</v>
      </c>
      <c r="BA624" t="s">
        <v>72</v>
      </c>
      <c r="BB624">
        <v>790</v>
      </c>
      <c r="BC624">
        <v>812</v>
      </c>
      <c r="BD624" t="s">
        <v>72</v>
      </c>
      <c r="BE624" t="s">
        <v>14871</v>
      </c>
      <c r="BF624" t="str">
        <f>HYPERLINK("http://dx.doi.org/10.1177/1532673X16688458","http://dx.doi.org/10.1177/1532673X16688458")</f>
        <v>http://dx.doi.org/10.1177/1532673X16688458</v>
      </c>
      <c r="BG624" t="s">
        <v>72</v>
      </c>
      <c r="BH624" t="s">
        <v>72</v>
      </c>
      <c r="BI624">
        <v>23</v>
      </c>
      <c r="BJ624" t="s">
        <v>219</v>
      </c>
      <c r="BK624" s="1" t="s">
        <v>17619</v>
      </c>
      <c r="BL624" t="s">
        <v>14872</v>
      </c>
      <c r="BM624" t="s">
        <v>72</v>
      </c>
      <c r="BN624" t="s">
        <v>72</v>
      </c>
      <c r="BO624" t="s">
        <v>72</v>
      </c>
      <c r="BP624" t="s">
        <v>72</v>
      </c>
      <c r="BQ624" t="s">
        <v>100</v>
      </c>
      <c r="BR624" t="s">
        <v>14873</v>
      </c>
      <c r="BS624" t="str">
        <f>HYPERLINK("https%3A%2F%2Fwww.webofscience.com%2Fwos%2Fwoscc%2Ffull-record%2FWOS:000407107300003","View Full Record in Web of Science")</f>
        <v>View Full Record in Web of Science</v>
      </c>
    </row>
    <row r="625" spans="1:71" x14ac:dyDescent="0.2">
      <c r="A625" t="s">
        <v>70</v>
      </c>
      <c r="B625" t="s">
        <v>14874</v>
      </c>
      <c r="C625" t="s">
        <v>72</v>
      </c>
      <c r="D625" t="s">
        <v>72</v>
      </c>
      <c r="E625" t="s">
        <v>72</v>
      </c>
      <c r="F625" t="s">
        <v>14875</v>
      </c>
      <c r="G625" t="s">
        <v>72</v>
      </c>
      <c r="H625" t="s">
        <v>72</v>
      </c>
      <c r="I625" t="s">
        <v>14876</v>
      </c>
      <c r="J625" t="s">
        <v>5403</v>
      </c>
      <c r="K625" t="s">
        <v>72</v>
      </c>
      <c r="L625" t="s">
        <v>72</v>
      </c>
      <c r="M625" t="s">
        <v>76</v>
      </c>
      <c r="N625" t="s">
        <v>77</v>
      </c>
      <c r="O625" t="s">
        <v>72</v>
      </c>
      <c r="P625" t="s">
        <v>72</v>
      </c>
      <c r="Q625" t="s">
        <v>72</v>
      </c>
      <c r="R625" t="s">
        <v>72</v>
      </c>
      <c r="S625" t="s">
        <v>72</v>
      </c>
      <c r="T625" t="s">
        <v>14877</v>
      </c>
      <c r="U625" t="s">
        <v>14878</v>
      </c>
      <c r="V625" t="s">
        <v>14879</v>
      </c>
      <c r="W625" t="s">
        <v>14880</v>
      </c>
      <c r="X625" t="s">
        <v>14881</v>
      </c>
      <c r="Y625" t="s">
        <v>14882</v>
      </c>
      <c r="Z625" t="s">
        <v>14883</v>
      </c>
      <c r="AA625" t="s">
        <v>72</v>
      </c>
      <c r="AB625" t="s">
        <v>14884</v>
      </c>
      <c r="AC625" t="s">
        <v>72</v>
      </c>
      <c r="AD625" t="s">
        <v>72</v>
      </c>
      <c r="AE625" t="s">
        <v>72</v>
      </c>
      <c r="AF625" t="s">
        <v>72</v>
      </c>
      <c r="AG625">
        <v>40</v>
      </c>
      <c r="AH625">
        <v>4</v>
      </c>
      <c r="AI625">
        <v>4</v>
      </c>
      <c r="AJ625">
        <v>1</v>
      </c>
      <c r="AK625">
        <v>6</v>
      </c>
      <c r="AL625" t="s">
        <v>1260</v>
      </c>
      <c r="AM625" t="s">
        <v>964</v>
      </c>
      <c r="AN625" t="s">
        <v>965</v>
      </c>
      <c r="AO625" t="s">
        <v>5410</v>
      </c>
      <c r="AP625" t="s">
        <v>5411</v>
      </c>
      <c r="AQ625" t="s">
        <v>72</v>
      </c>
      <c r="AR625" t="s">
        <v>5412</v>
      </c>
      <c r="AS625" t="s">
        <v>5413</v>
      </c>
      <c r="AT625" t="s">
        <v>951</v>
      </c>
      <c r="AU625">
        <v>2019</v>
      </c>
      <c r="AV625">
        <v>44</v>
      </c>
      <c r="AW625">
        <v>4</v>
      </c>
      <c r="AX625" t="s">
        <v>72</v>
      </c>
      <c r="AY625" t="s">
        <v>72</v>
      </c>
      <c r="AZ625" t="s">
        <v>72</v>
      </c>
      <c r="BA625" t="s">
        <v>72</v>
      </c>
      <c r="BB625">
        <v>593</v>
      </c>
      <c r="BC625">
        <v>615</v>
      </c>
      <c r="BD625" t="s">
        <v>72</v>
      </c>
      <c r="BE625" t="s">
        <v>14885</v>
      </c>
      <c r="BF625" t="str">
        <f>HYPERLINK("http://dx.doi.org/10.1111/lsq.12237","http://dx.doi.org/10.1111/lsq.12237")</f>
        <v>http://dx.doi.org/10.1111/lsq.12237</v>
      </c>
      <c r="BG625" t="s">
        <v>72</v>
      </c>
      <c r="BH625" t="s">
        <v>72</v>
      </c>
      <c r="BI625">
        <v>23</v>
      </c>
      <c r="BJ625" t="s">
        <v>219</v>
      </c>
      <c r="BK625" s="1" t="s">
        <v>17619</v>
      </c>
      <c r="BL625" t="s">
        <v>9958</v>
      </c>
      <c r="BM625" t="s">
        <v>72</v>
      </c>
      <c r="BN625" t="s">
        <v>559</v>
      </c>
      <c r="BO625" t="s">
        <v>72</v>
      </c>
      <c r="BP625" t="s">
        <v>72</v>
      </c>
      <c r="BQ625" t="s">
        <v>100</v>
      </c>
      <c r="BR625" t="s">
        <v>14886</v>
      </c>
      <c r="BS625" t="str">
        <f>HYPERLINK("https%3A%2F%2Fwww.webofscience.com%2Fwos%2Fwoscc%2Ffull-record%2FWOS:000494507700003","View Full Record in Web of Science")</f>
        <v>View Full Record in Web of Science</v>
      </c>
    </row>
    <row r="626" spans="1:71" x14ac:dyDescent="0.2">
      <c r="A626" t="s">
        <v>70</v>
      </c>
      <c r="B626" t="s">
        <v>14887</v>
      </c>
      <c r="C626" t="s">
        <v>72</v>
      </c>
      <c r="D626" t="s">
        <v>72</v>
      </c>
      <c r="E626" t="s">
        <v>72</v>
      </c>
      <c r="F626" t="s">
        <v>14888</v>
      </c>
      <c r="G626" t="s">
        <v>72</v>
      </c>
      <c r="H626" t="s">
        <v>72</v>
      </c>
      <c r="I626" t="s">
        <v>14889</v>
      </c>
      <c r="J626" t="s">
        <v>1776</v>
      </c>
      <c r="K626" t="s">
        <v>72</v>
      </c>
      <c r="L626" t="s">
        <v>72</v>
      </c>
      <c r="M626" t="s">
        <v>76</v>
      </c>
      <c r="N626" t="s">
        <v>77</v>
      </c>
      <c r="O626" t="s">
        <v>72</v>
      </c>
      <c r="P626" t="s">
        <v>72</v>
      </c>
      <c r="Q626" t="s">
        <v>72</v>
      </c>
      <c r="R626" t="s">
        <v>72</v>
      </c>
      <c r="S626" t="s">
        <v>72</v>
      </c>
      <c r="T626" t="s">
        <v>14890</v>
      </c>
      <c r="U626" t="s">
        <v>14891</v>
      </c>
      <c r="V626" t="s">
        <v>14892</v>
      </c>
      <c r="W626" t="s">
        <v>14893</v>
      </c>
      <c r="X626" t="s">
        <v>14894</v>
      </c>
      <c r="Y626" t="s">
        <v>14895</v>
      </c>
      <c r="Z626" t="s">
        <v>14896</v>
      </c>
      <c r="AA626" t="s">
        <v>72</v>
      </c>
      <c r="AB626" t="s">
        <v>14897</v>
      </c>
      <c r="AC626" t="s">
        <v>14898</v>
      </c>
      <c r="AD626" t="s">
        <v>14899</v>
      </c>
      <c r="AE626" t="s">
        <v>14900</v>
      </c>
      <c r="AF626" t="s">
        <v>72</v>
      </c>
      <c r="AG626">
        <v>36</v>
      </c>
      <c r="AH626">
        <v>1</v>
      </c>
      <c r="AI626">
        <v>1</v>
      </c>
      <c r="AJ626">
        <v>2</v>
      </c>
      <c r="AK626">
        <v>8</v>
      </c>
      <c r="AL626" t="s">
        <v>1596</v>
      </c>
      <c r="AM626" t="s">
        <v>451</v>
      </c>
      <c r="AN626" t="s">
        <v>1597</v>
      </c>
      <c r="AO626" t="s">
        <v>1787</v>
      </c>
      <c r="AP626" t="s">
        <v>1788</v>
      </c>
      <c r="AQ626" t="s">
        <v>72</v>
      </c>
      <c r="AR626" t="s">
        <v>1789</v>
      </c>
      <c r="AS626" t="s">
        <v>1790</v>
      </c>
      <c r="AT626" t="s">
        <v>395</v>
      </c>
      <c r="AU626">
        <v>2020</v>
      </c>
      <c r="AV626">
        <v>67</v>
      </c>
      <c r="AW626" t="s">
        <v>72</v>
      </c>
      <c r="AX626" t="s">
        <v>72</v>
      </c>
      <c r="AY626" t="s">
        <v>72</v>
      </c>
      <c r="AZ626" t="s">
        <v>72</v>
      </c>
      <c r="BA626" t="s">
        <v>72</v>
      </c>
      <c r="BB626" t="s">
        <v>72</v>
      </c>
      <c r="BC626" t="s">
        <v>72</v>
      </c>
      <c r="BD626">
        <v>102192</v>
      </c>
      <c r="BE626" t="s">
        <v>14901</v>
      </c>
      <c r="BF626" t="str">
        <f>HYPERLINK("http://dx.doi.org/10.1016/j.electstud.2020.102192","http://dx.doi.org/10.1016/j.electstud.2020.102192")</f>
        <v>http://dx.doi.org/10.1016/j.electstud.2020.102192</v>
      </c>
      <c r="BG626" t="s">
        <v>72</v>
      </c>
      <c r="BH626" t="s">
        <v>72</v>
      </c>
      <c r="BI626">
        <v>8</v>
      </c>
      <c r="BJ626" t="s">
        <v>219</v>
      </c>
      <c r="BK626" s="1" t="s">
        <v>17619</v>
      </c>
      <c r="BL626" t="s">
        <v>14902</v>
      </c>
      <c r="BM626" t="s">
        <v>72</v>
      </c>
      <c r="BN626" t="s">
        <v>72</v>
      </c>
      <c r="BO626" t="s">
        <v>72</v>
      </c>
      <c r="BP626" t="s">
        <v>72</v>
      </c>
      <c r="BQ626" t="s">
        <v>100</v>
      </c>
      <c r="BR626" t="s">
        <v>14903</v>
      </c>
      <c r="BS626" t="str">
        <f>HYPERLINK("https%3A%2F%2Fwww.webofscience.com%2Fwos%2Fwoscc%2Ffull-record%2FWOS:000577072500004","View Full Record in Web of Science")</f>
        <v>View Full Record in Web of Science</v>
      </c>
    </row>
    <row r="627" spans="1:71" x14ac:dyDescent="0.2">
      <c r="A627" t="s">
        <v>70</v>
      </c>
      <c r="B627" t="s">
        <v>14904</v>
      </c>
      <c r="C627" t="s">
        <v>72</v>
      </c>
      <c r="D627" t="s">
        <v>72</v>
      </c>
      <c r="E627" t="s">
        <v>72</v>
      </c>
      <c r="F627" t="s">
        <v>14905</v>
      </c>
      <c r="G627" t="s">
        <v>72</v>
      </c>
      <c r="H627" t="s">
        <v>72</v>
      </c>
      <c r="I627" t="s">
        <v>14906</v>
      </c>
      <c r="J627" t="s">
        <v>227</v>
      </c>
      <c r="K627" t="s">
        <v>72</v>
      </c>
      <c r="L627" t="s">
        <v>72</v>
      </c>
      <c r="M627" t="s">
        <v>76</v>
      </c>
      <c r="N627" t="s">
        <v>77</v>
      </c>
      <c r="O627" t="s">
        <v>72</v>
      </c>
      <c r="P627" t="s">
        <v>72</v>
      </c>
      <c r="Q627" t="s">
        <v>72</v>
      </c>
      <c r="R627" t="s">
        <v>72</v>
      </c>
      <c r="S627" t="s">
        <v>72</v>
      </c>
      <c r="T627" t="s">
        <v>14907</v>
      </c>
      <c r="U627" t="s">
        <v>14908</v>
      </c>
      <c r="V627" t="s">
        <v>14909</v>
      </c>
      <c r="W627" t="s">
        <v>14910</v>
      </c>
      <c r="X627" t="s">
        <v>14911</v>
      </c>
      <c r="Y627" t="s">
        <v>14912</v>
      </c>
      <c r="Z627" t="s">
        <v>14913</v>
      </c>
      <c r="AA627" t="s">
        <v>72</v>
      </c>
      <c r="AB627" t="s">
        <v>72</v>
      </c>
      <c r="AC627" t="s">
        <v>14914</v>
      </c>
      <c r="AD627" t="s">
        <v>14915</v>
      </c>
      <c r="AE627" t="s">
        <v>14916</v>
      </c>
      <c r="AF627" t="s">
        <v>72</v>
      </c>
      <c r="AG627">
        <v>41</v>
      </c>
      <c r="AH627">
        <v>125</v>
      </c>
      <c r="AI627">
        <v>126</v>
      </c>
      <c r="AJ627">
        <v>3</v>
      </c>
      <c r="AK627">
        <v>35</v>
      </c>
      <c r="AL627" t="s">
        <v>240</v>
      </c>
      <c r="AM627" t="s">
        <v>241</v>
      </c>
      <c r="AN627" t="s">
        <v>242</v>
      </c>
      <c r="AO627" t="s">
        <v>243</v>
      </c>
      <c r="AP627" t="s">
        <v>244</v>
      </c>
      <c r="AQ627" t="s">
        <v>72</v>
      </c>
      <c r="AR627" t="s">
        <v>245</v>
      </c>
      <c r="AS627" t="s">
        <v>246</v>
      </c>
      <c r="AT627" t="s">
        <v>149</v>
      </c>
      <c r="AU627">
        <v>2018</v>
      </c>
      <c r="AV627">
        <v>26</v>
      </c>
      <c r="AW627">
        <v>2</v>
      </c>
      <c r="AX627" t="s">
        <v>72</v>
      </c>
      <c r="AY627" t="s">
        <v>72</v>
      </c>
      <c r="AZ627" t="s">
        <v>72</v>
      </c>
      <c r="BA627" t="s">
        <v>72</v>
      </c>
      <c r="BB627">
        <v>168</v>
      </c>
      <c r="BC627">
        <v>189</v>
      </c>
      <c r="BD627" t="s">
        <v>72</v>
      </c>
      <c r="BE627" t="s">
        <v>14917</v>
      </c>
      <c r="BF627" t="str">
        <f>HYPERLINK("http://dx.doi.org/10.1017/pan.2017.44","http://dx.doi.org/10.1017/pan.2017.44")</f>
        <v>http://dx.doi.org/10.1017/pan.2017.44</v>
      </c>
      <c r="BG627" t="s">
        <v>72</v>
      </c>
      <c r="BH627" t="s">
        <v>72</v>
      </c>
      <c r="BI627">
        <v>22</v>
      </c>
      <c r="BJ627" t="s">
        <v>219</v>
      </c>
      <c r="BK627" s="1" t="s">
        <v>17619</v>
      </c>
      <c r="BL627" t="s">
        <v>14918</v>
      </c>
      <c r="BM627" t="s">
        <v>72</v>
      </c>
      <c r="BN627" t="s">
        <v>72</v>
      </c>
      <c r="BO627" t="s">
        <v>72</v>
      </c>
      <c r="BP627" t="s">
        <v>72</v>
      </c>
      <c r="BQ627" t="s">
        <v>100</v>
      </c>
      <c r="BR627" t="s">
        <v>14919</v>
      </c>
      <c r="BS627" t="str">
        <f>HYPERLINK("https%3A%2F%2Fwww.webofscience.com%2Fwos%2Fwoscc%2Ffull-record%2FWOS:000431406300003","View Full Record in Web of Science")</f>
        <v>View Full Record in Web of Science</v>
      </c>
    </row>
    <row r="628" spans="1:71" x14ac:dyDescent="0.2">
      <c r="A628" t="s">
        <v>70</v>
      </c>
      <c r="B628" t="s">
        <v>14957</v>
      </c>
      <c r="C628" t="s">
        <v>72</v>
      </c>
      <c r="D628" t="s">
        <v>72</v>
      </c>
      <c r="E628" t="s">
        <v>72</v>
      </c>
      <c r="F628" t="s">
        <v>14958</v>
      </c>
      <c r="G628" t="s">
        <v>72</v>
      </c>
      <c r="H628" t="s">
        <v>72</v>
      </c>
      <c r="I628" t="s">
        <v>14959</v>
      </c>
      <c r="J628" t="s">
        <v>227</v>
      </c>
      <c r="K628" t="s">
        <v>72</v>
      </c>
      <c r="L628" t="s">
        <v>72</v>
      </c>
      <c r="M628" t="s">
        <v>76</v>
      </c>
      <c r="N628" t="s">
        <v>77</v>
      </c>
      <c r="O628" t="s">
        <v>72</v>
      </c>
      <c r="P628" t="s">
        <v>72</v>
      </c>
      <c r="Q628" t="s">
        <v>72</v>
      </c>
      <c r="R628" t="s">
        <v>72</v>
      </c>
      <c r="S628" t="s">
        <v>72</v>
      </c>
      <c r="T628" t="s">
        <v>14960</v>
      </c>
      <c r="U628" t="s">
        <v>14961</v>
      </c>
      <c r="V628" t="s">
        <v>14962</v>
      </c>
      <c r="W628" t="s">
        <v>14963</v>
      </c>
      <c r="X628" t="s">
        <v>14964</v>
      </c>
      <c r="Y628" t="s">
        <v>14965</v>
      </c>
      <c r="Z628" t="s">
        <v>14966</v>
      </c>
      <c r="AA628" t="s">
        <v>72</v>
      </c>
      <c r="AB628" t="s">
        <v>14967</v>
      </c>
      <c r="AC628" t="s">
        <v>72</v>
      </c>
      <c r="AD628" t="s">
        <v>72</v>
      </c>
      <c r="AE628" t="s">
        <v>72</v>
      </c>
      <c r="AF628" t="s">
        <v>72</v>
      </c>
      <c r="AG628">
        <v>49</v>
      </c>
      <c r="AH628">
        <v>0</v>
      </c>
      <c r="AI628">
        <v>0</v>
      </c>
      <c r="AJ628">
        <v>0</v>
      </c>
      <c r="AK628">
        <v>4</v>
      </c>
      <c r="AL628" t="s">
        <v>240</v>
      </c>
      <c r="AM628" t="s">
        <v>241</v>
      </c>
      <c r="AN628" t="s">
        <v>242</v>
      </c>
      <c r="AO628" t="s">
        <v>243</v>
      </c>
      <c r="AP628" t="s">
        <v>244</v>
      </c>
      <c r="AQ628" t="s">
        <v>72</v>
      </c>
      <c r="AR628" t="s">
        <v>245</v>
      </c>
      <c r="AS628" t="s">
        <v>246</v>
      </c>
      <c r="AT628" t="s">
        <v>776</v>
      </c>
      <c r="AU628">
        <v>2020</v>
      </c>
      <c r="AV628">
        <v>28</v>
      </c>
      <c r="AW628">
        <v>3</v>
      </c>
      <c r="AX628" t="s">
        <v>72</v>
      </c>
      <c r="AY628" t="s">
        <v>72</v>
      </c>
      <c r="AZ628" t="s">
        <v>72</v>
      </c>
      <c r="BA628" t="s">
        <v>72</v>
      </c>
      <c r="BB628">
        <v>412</v>
      </c>
      <c r="BC628">
        <v>434</v>
      </c>
      <c r="BD628" t="s">
        <v>14968</v>
      </c>
      <c r="BE628" t="s">
        <v>14969</v>
      </c>
      <c r="BF628" t="str">
        <f>HYPERLINK("http://dx.doi.org/10.1017/pan.2019.49","http://dx.doi.org/10.1017/pan.2019.49")</f>
        <v>http://dx.doi.org/10.1017/pan.2019.49</v>
      </c>
      <c r="BG628" t="s">
        <v>72</v>
      </c>
      <c r="BH628" t="s">
        <v>72</v>
      </c>
      <c r="BI628">
        <v>23</v>
      </c>
      <c r="BJ628" t="s">
        <v>219</v>
      </c>
      <c r="BK628" s="1" t="s">
        <v>17619</v>
      </c>
      <c r="BL628" t="s">
        <v>8266</v>
      </c>
      <c r="BM628" t="s">
        <v>72</v>
      </c>
      <c r="BN628" t="s">
        <v>72</v>
      </c>
      <c r="BO628" t="s">
        <v>72</v>
      </c>
      <c r="BP628" t="s">
        <v>72</v>
      </c>
      <c r="BQ628" t="s">
        <v>100</v>
      </c>
      <c r="BR628" t="s">
        <v>14970</v>
      </c>
      <c r="BS628" t="str">
        <f>HYPERLINK("https%3A%2F%2Fwww.webofscience.com%2Fwos%2Fwoscc%2Ffull-record%2FWOS:000537176300007","View Full Record in Web of Science")</f>
        <v>View Full Record in Web of Science</v>
      </c>
    </row>
    <row r="629" spans="1:71" x14ac:dyDescent="0.2">
      <c r="A629" t="s">
        <v>70</v>
      </c>
      <c r="B629" t="s">
        <v>14971</v>
      </c>
      <c r="C629" t="s">
        <v>72</v>
      </c>
      <c r="D629" t="s">
        <v>72</v>
      </c>
      <c r="E629" t="s">
        <v>72</v>
      </c>
      <c r="F629" t="s">
        <v>14972</v>
      </c>
      <c r="G629" t="s">
        <v>72</v>
      </c>
      <c r="H629" t="s">
        <v>72</v>
      </c>
      <c r="I629" t="s">
        <v>14973</v>
      </c>
      <c r="J629" t="s">
        <v>5403</v>
      </c>
      <c r="K629" t="s">
        <v>72</v>
      </c>
      <c r="L629" t="s">
        <v>72</v>
      </c>
      <c r="M629" t="s">
        <v>76</v>
      </c>
      <c r="N629" t="s">
        <v>352</v>
      </c>
      <c r="O629" t="s">
        <v>72</v>
      </c>
      <c r="P629" t="s">
        <v>72</v>
      </c>
      <c r="Q629" t="s">
        <v>72</v>
      </c>
      <c r="R629" t="s">
        <v>72</v>
      </c>
      <c r="S629" t="s">
        <v>72</v>
      </c>
      <c r="T629" t="s">
        <v>72</v>
      </c>
      <c r="U629" t="s">
        <v>14974</v>
      </c>
      <c r="V629" t="s">
        <v>14975</v>
      </c>
      <c r="W629" t="s">
        <v>14976</v>
      </c>
      <c r="X629" t="s">
        <v>14977</v>
      </c>
      <c r="Y629" t="s">
        <v>14978</v>
      </c>
      <c r="Z629" t="s">
        <v>14979</v>
      </c>
      <c r="AA629" t="s">
        <v>14980</v>
      </c>
      <c r="AB629" t="s">
        <v>14981</v>
      </c>
      <c r="AC629" t="s">
        <v>2227</v>
      </c>
      <c r="AD629" t="s">
        <v>2227</v>
      </c>
      <c r="AE629" t="s">
        <v>14982</v>
      </c>
      <c r="AF629" t="s">
        <v>72</v>
      </c>
      <c r="AG629">
        <v>54</v>
      </c>
      <c r="AH629">
        <v>0</v>
      </c>
      <c r="AI629">
        <v>0</v>
      </c>
      <c r="AJ629">
        <v>0</v>
      </c>
      <c r="AK629">
        <v>0</v>
      </c>
      <c r="AL629" t="s">
        <v>1260</v>
      </c>
      <c r="AM629" t="s">
        <v>964</v>
      </c>
      <c r="AN629" t="s">
        <v>965</v>
      </c>
      <c r="AO629" t="s">
        <v>5410</v>
      </c>
      <c r="AP629" t="s">
        <v>5411</v>
      </c>
      <c r="AQ629" t="s">
        <v>72</v>
      </c>
      <c r="AR629" t="s">
        <v>5412</v>
      </c>
      <c r="AS629" t="s">
        <v>5413</v>
      </c>
      <c r="AT629" t="s">
        <v>72</v>
      </c>
      <c r="AU629" t="s">
        <v>72</v>
      </c>
      <c r="AV629" t="s">
        <v>72</v>
      </c>
      <c r="AW629" t="s">
        <v>72</v>
      </c>
      <c r="AX629" t="s">
        <v>72</v>
      </c>
      <c r="AY629" t="s">
        <v>72</v>
      </c>
      <c r="AZ629" t="s">
        <v>72</v>
      </c>
      <c r="BA629" t="s">
        <v>72</v>
      </c>
      <c r="BB629" t="s">
        <v>72</v>
      </c>
      <c r="BC629" t="s">
        <v>72</v>
      </c>
      <c r="BD629" t="s">
        <v>72</v>
      </c>
      <c r="BE629" t="s">
        <v>14983</v>
      </c>
      <c r="BF629" t="str">
        <f>HYPERLINK("http://dx.doi.org/10.1111/lsq.12397","http://dx.doi.org/10.1111/lsq.12397")</f>
        <v>http://dx.doi.org/10.1111/lsq.12397</v>
      </c>
      <c r="BG629" t="s">
        <v>72</v>
      </c>
      <c r="BH629" t="s">
        <v>1072</v>
      </c>
      <c r="BI629">
        <v>27</v>
      </c>
      <c r="BJ629" t="s">
        <v>219</v>
      </c>
      <c r="BK629" s="1" t="s">
        <v>17619</v>
      </c>
      <c r="BL629" t="s">
        <v>14984</v>
      </c>
      <c r="BM629" t="s">
        <v>72</v>
      </c>
      <c r="BN629" t="s">
        <v>280</v>
      </c>
      <c r="BO629" t="s">
        <v>72</v>
      </c>
      <c r="BP629" t="s">
        <v>72</v>
      </c>
      <c r="BQ629" t="s">
        <v>100</v>
      </c>
      <c r="BR629" t="s">
        <v>14985</v>
      </c>
      <c r="BS629" t="str">
        <f>HYPERLINK("https%3A%2F%2Fwww.webofscience.com%2Fwos%2Fwoscc%2Ffull-record%2FWOS:000837551800001","View Full Record in Web of Science")</f>
        <v>View Full Record in Web of Science</v>
      </c>
    </row>
    <row r="630" spans="1:71" x14ac:dyDescent="0.2">
      <c r="A630" t="s">
        <v>70</v>
      </c>
      <c r="B630" t="s">
        <v>14986</v>
      </c>
      <c r="C630" t="s">
        <v>72</v>
      </c>
      <c r="D630" t="s">
        <v>72</v>
      </c>
      <c r="E630" t="s">
        <v>72</v>
      </c>
      <c r="F630" t="s">
        <v>14987</v>
      </c>
      <c r="G630" t="s">
        <v>72</v>
      </c>
      <c r="H630" t="s">
        <v>72</v>
      </c>
      <c r="I630" t="s">
        <v>14988</v>
      </c>
      <c r="J630" t="s">
        <v>820</v>
      </c>
      <c r="K630" t="s">
        <v>72</v>
      </c>
      <c r="L630" t="s">
        <v>72</v>
      </c>
      <c r="M630" t="s">
        <v>76</v>
      </c>
      <c r="N630" t="s">
        <v>77</v>
      </c>
      <c r="O630" t="s">
        <v>72</v>
      </c>
      <c r="P630" t="s">
        <v>72</v>
      </c>
      <c r="Q630" t="s">
        <v>72</v>
      </c>
      <c r="R630" t="s">
        <v>72</v>
      </c>
      <c r="S630" t="s">
        <v>72</v>
      </c>
      <c r="T630" t="s">
        <v>14989</v>
      </c>
      <c r="U630" t="s">
        <v>72</v>
      </c>
      <c r="V630" t="s">
        <v>14990</v>
      </c>
      <c r="W630" t="s">
        <v>14991</v>
      </c>
      <c r="X630" t="s">
        <v>14992</v>
      </c>
      <c r="Y630" t="s">
        <v>14993</v>
      </c>
      <c r="Z630" t="s">
        <v>14994</v>
      </c>
      <c r="AA630" t="s">
        <v>14995</v>
      </c>
      <c r="AB630" t="s">
        <v>14996</v>
      </c>
      <c r="AC630" t="s">
        <v>72</v>
      </c>
      <c r="AD630" t="s">
        <v>72</v>
      </c>
      <c r="AE630" t="s">
        <v>72</v>
      </c>
      <c r="AF630" t="s">
        <v>72</v>
      </c>
      <c r="AG630">
        <v>21</v>
      </c>
      <c r="AH630">
        <v>4</v>
      </c>
      <c r="AI630">
        <v>4</v>
      </c>
      <c r="AJ630">
        <v>0</v>
      </c>
      <c r="AK630">
        <v>2</v>
      </c>
      <c r="AL630" t="s">
        <v>769</v>
      </c>
      <c r="AM630" t="s">
        <v>770</v>
      </c>
      <c r="AN630" t="s">
        <v>771</v>
      </c>
      <c r="AO630" t="s">
        <v>828</v>
      </c>
      <c r="AP630" t="s">
        <v>829</v>
      </c>
      <c r="AQ630" t="s">
        <v>72</v>
      </c>
      <c r="AR630" t="s">
        <v>830</v>
      </c>
      <c r="AS630" t="s">
        <v>831</v>
      </c>
      <c r="AT630" t="s">
        <v>3285</v>
      </c>
      <c r="AU630">
        <v>2021</v>
      </c>
      <c r="AV630">
        <v>83</v>
      </c>
      <c r="AW630">
        <v>3</v>
      </c>
      <c r="AX630" t="s">
        <v>72</v>
      </c>
      <c r="AY630" t="s">
        <v>72</v>
      </c>
      <c r="AZ630" t="s">
        <v>72</v>
      </c>
      <c r="BA630" t="s">
        <v>72</v>
      </c>
      <c r="BB630">
        <v>1024</v>
      </c>
      <c r="BC630">
        <v>1029</v>
      </c>
      <c r="BD630" t="s">
        <v>72</v>
      </c>
      <c r="BE630" t="s">
        <v>14997</v>
      </c>
      <c r="BF630" t="str">
        <f>HYPERLINK("http://dx.doi.org/10.1086/711177","http://dx.doi.org/10.1086/711177")</f>
        <v>http://dx.doi.org/10.1086/711177</v>
      </c>
      <c r="BG630" t="s">
        <v>72</v>
      </c>
      <c r="BH630" t="s">
        <v>3011</v>
      </c>
      <c r="BI630">
        <v>6</v>
      </c>
      <c r="BJ630" t="s">
        <v>219</v>
      </c>
      <c r="BK630" s="1" t="s">
        <v>17619</v>
      </c>
      <c r="BL630" t="s">
        <v>14998</v>
      </c>
      <c r="BM630" t="s">
        <v>72</v>
      </c>
      <c r="BN630" t="s">
        <v>72</v>
      </c>
      <c r="BO630" t="s">
        <v>72</v>
      </c>
      <c r="BP630" t="s">
        <v>72</v>
      </c>
      <c r="BQ630" t="s">
        <v>100</v>
      </c>
      <c r="BR630" t="s">
        <v>14999</v>
      </c>
      <c r="BS630" t="str">
        <f>HYPERLINK("https%3A%2F%2Fwww.webofscience.com%2Fwos%2Fwoscc%2Ffull-record%2FWOS:000652323700001","View Full Record in Web of Science")</f>
        <v>View Full Record in Web of Science</v>
      </c>
    </row>
    <row r="631" spans="1:71" x14ac:dyDescent="0.2">
      <c r="A631" t="s">
        <v>70</v>
      </c>
      <c r="B631" t="s">
        <v>15068</v>
      </c>
      <c r="C631" t="s">
        <v>72</v>
      </c>
      <c r="D631" t="s">
        <v>72</v>
      </c>
      <c r="E631" t="s">
        <v>72</v>
      </c>
      <c r="F631" t="s">
        <v>15069</v>
      </c>
      <c r="G631" t="s">
        <v>72</v>
      </c>
      <c r="H631" t="s">
        <v>72</v>
      </c>
      <c r="I631" t="s">
        <v>15070</v>
      </c>
      <c r="J631" t="s">
        <v>227</v>
      </c>
      <c r="K631" t="s">
        <v>72</v>
      </c>
      <c r="L631" t="s">
        <v>72</v>
      </c>
      <c r="M631" t="s">
        <v>76</v>
      </c>
      <c r="N631" t="s">
        <v>352</v>
      </c>
      <c r="O631" t="s">
        <v>72</v>
      </c>
      <c r="P631" t="s">
        <v>72</v>
      </c>
      <c r="Q631" t="s">
        <v>72</v>
      </c>
      <c r="R631" t="s">
        <v>72</v>
      </c>
      <c r="S631" t="s">
        <v>72</v>
      </c>
      <c r="T631" t="s">
        <v>15071</v>
      </c>
      <c r="U631" t="s">
        <v>15072</v>
      </c>
      <c r="V631" t="s">
        <v>15073</v>
      </c>
      <c r="W631" t="s">
        <v>15074</v>
      </c>
      <c r="X631" t="s">
        <v>15075</v>
      </c>
      <c r="Y631" t="s">
        <v>15076</v>
      </c>
      <c r="Z631" t="s">
        <v>15077</v>
      </c>
      <c r="AA631" t="s">
        <v>72</v>
      </c>
      <c r="AB631" t="s">
        <v>14953</v>
      </c>
      <c r="AC631" t="s">
        <v>15078</v>
      </c>
      <c r="AD631" t="s">
        <v>15078</v>
      </c>
      <c r="AE631" t="s">
        <v>15079</v>
      </c>
      <c r="AF631" t="s">
        <v>72</v>
      </c>
      <c r="AG631">
        <v>64</v>
      </c>
      <c r="AH631">
        <v>0</v>
      </c>
      <c r="AI631">
        <v>0</v>
      </c>
      <c r="AJ631">
        <v>0</v>
      </c>
      <c r="AK631">
        <v>0</v>
      </c>
      <c r="AL631" t="s">
        <v>240</v>
      </c>
      <c r="AM631" t="s">
        <v>241</v>
      </c>
      <c r="AN631" t="s">
        <v>242</v>
      </c>
      <c r="AO631" t="s">
        <v>243</v>
      </c>
      <c r="AP631" t="s">
        <v>244</v>
      </c>
      <c r="AQ631" t="s">
        <v>72</v>
      </c>
      <c r="AR631" t="s">
        <v>245</v>
      </c>
      <c r="AS631" t="s">
        <v>246</v>
      </c>
      <c r="AT631" t="s">
        <v>72</v>
      </c>
      <c r="AU631" t="s">
        <v>72</v>
      </c>
      <c r="AV631" t="s">
        <v>72</v>
      </c>
      <c r="AW631" t="s">
        <v>72</v>
      </c>
      <c r="AX631" t="s">
        <v>72</v>
      </c>
      <c r="AY631" t="s">
        <v>72</v>
      </c>
      <c r="AZ631" t="s">
        <v>72</v>
      </c>
      <c r="BA631" t="s">
        <v>72</v>
      </c>
      <c r="BB631" t="s">
        <v>72</v>
      </c>
      <c r="BC631" t="s">
        <v>72</v>
      </c>
      <c r="BD631" t="s">
        <v>15080</v>
      </c>
      <c r="BE631" t="s">
        <v>15081</v>
      </c>
      <c r="BF631" t="str">
        <f>HYPERLINK("http://dx.doi.org/10.1017/pan.2022.15","http://dx.doi.org/10.1017/pan.2022.15")</f>
        <v>http://dx.doi.org/10.1017/pan.2022.15</v>
      </c>
      <c r="BG631" t="s">
        <v>72</v>
      </c>
      <c r="BH631" t="s">
        <v>988</v>
      </c>
      <c r="BI631">
        <v>16</v>
      </c>
      <c r="BJ631" t="s">
        <v>219</v>
      </c>
      <c r="BK631" s="1" t="s">
        <v>17619</v>
      </c>
      <c r="BL631" t="s">
        <v>15082</v>
      </c>
      <c r="BM631" t="s">
        <v>72</v>
      </c>
      <c r="BN631" t="s">
        <v>280</v>
      </c>
      <c r="BO631" t="s">
        <v>72</v>
      </c>
      <c r="BP631" t="s">
        <v>72</v>
      </c>
      <c r="BQ631" t="s">
        <v>100</v>
      </c>
      <c r="BR631" t="s">
        <v>15083</v>
      </c>
      <c r="BS631" t="str">
        <f>HYPERLINK("https%3A%2F%2Fwww.webofscience.com%2Fwos%2Fwoscc%2Ffull-record%2FWOS:000818565400001","View Full Record in Web of Science")</f>
        <v>View Full Record in Web of Science</v>
      </c>
    </row>
    <row r="632" spans="1:71" x14ac:dyDescent="0.2">
      <c r="A632" t="s">
        <v>70</v>
      </c>
      <c r="B632" t="s">
        <v>15084</v>
      </c>
      <c r="C632" t="s">
        <v>72</v>
      </c>
      <c r="D632" t="s">
        <v>72</v>
      </c>
      <c r="E632" t="s">
        <v>72</v>
      </c>
      <c r="F632" t="s">
        <v>15085</v>
      </c>
      <c r="G632" t="s">
        <v>72</v>
      </c>
      <c r="H632" t="s">
        <v>72</v>
      </c>
      <c r="I632" t="s">
        <v>15086</v>
      </c>
      <c r="J632" t="s">
        <v>206</v>
      </c>
      <c r="K632" t="s">
        <v>72</v>
      </c>
      <c r="L632" t="s">
        <v>72</v>
      </c>
      <c r="M632" t="s">
        <v>76</v>
      </c>
      <c r="N632" t="s">
        <v>77</v>
      </c>
      <c r="O632" t="s">
        <v>72</v>
      </c>
      <c r="P632" t="s">
        <v>72</v>
      </c>
      <c r="Q632" t="s">
        <v>72</v>
      </c>
      <c r="R632" t="s">
        <v>72</v>
      </c>
      <c r="S632" t="s">
        <v>72</v>
      </c>
      <c r="T632" t="s">
        <v>15087</v>
      </c>
      <c r="U632" t="s">
        <v>15088</v>
      </c>
      <c r="V632" t="s">
        <v>15089</v>
      </c>
      <c r="W632" t="s">
        <v>15090</v>
      </c>
      <c r="X632" t="s">
        <v>3810</v>
      </c>
      <c r="Y632" t="s">
        <v>15091</v>
      </c>
      <c r="Z632" t="s">
        <v>15092</v>
      </c>
      <c r="AA632" t="s">
        <v>72</v>
      </c>
      <c r="AB632" t="s">
        <v>15093</v>
      </c>
      <c r="AC632" t="s">
        <v>4945</v>
      </c>
      <c r="AD632" t="s">
        <v>4945</v>
      </c>
      <c r="AE632" t="s">
        <v>15094</v>
      </c>
      <c r="AF632" t="s">
        <v>72</v>
      </c>
      <c r="AG632">
        <v>31</v>
      </c>
      <c r="AH632">
        <v>8</v>
      </c>
      <c r="AI632">
        <v>8</v>
      </c>
      <c r="AJ632">
        <v>0</v>
      </c>
      <c r="AK632">
        <v>9</v>
      </c>
      <c r="AL632" t="s">
        <v>190</v>
      </c>
      <c r="AM632" t="s">
        <v>191</v>
      </c>
      <c r="AN632" t="s">
        <v>192</v>
      </c>
      <c r="AO632" t="s">
        <v>72</v>
      </c>
      <c r="AP632" t="s">
        <v>215</v>
      </c>
      <c r="AQ632" t="s">
        <v>72</v>
      </c>
      <c r="AR632" t="s">
        <v>216</v>
      </c>
      <c r="AS632" t="s">
        <v>217</v>
      </c>
      <c r="AT632" t="s">
        <v>197</v>
      </c>
      <c r="AU632">
        <v>2019</v>
      </c>
      <c r="AV632">
        <v>6</v>
      </c>
      <c r="AW632">
        <v>2</v>
      </c>
      <c r="AX632" t="s">
        <v>72</v>
      </c>
      <c r="AY632" t="s">
        <v>72</v>
      </c>
      <c r="AZ632" t="s">
        <v>72</v>
      </c>
      <c r="BA632" t="s">
        <v>72</v>
      </c>
      <c r="BB632" t="s">
        <v>72</v>
      </c>
      <c r="BC632" t="s">
        <v>72</v>
      </c>
      <c r="BD632" t="s">
        <v>72</v>
      </c>
      <c r="BE632" t="s">
        <v>15095</v>
      </c>
      <c r="BF632" t="str">
        <f>HYPERLINK("http://dx.doi.org/10.1177/2053168019848930","http://dx.doi.org/10.1177/2053168019848930")</f>
        <v>http://dx.doi.org/10.1177/2053168019848930</v>
      </c>
      <c r="BG632" t="s">
        <v>72</v>
      </c>
      <c r="BH632" t="s">
        <v>72</v>
      </c>
      <c r="BI632">
        <v>7</v>
      </c>
      <c r="BJ632" t="s">
        <v>219</v>
      </c>
      <c r="BK632" s="1" t="s">
        <v>17619</v>
      </c>
      <c r="BL632" t="s">
        <v>15096</v>
      </c>
      <c r="BM632" t="s">
        <v>72</v>
      </c>
      <c r="BN632" t="s">
        <v>222</v>
      </c>
      <c r="BO632" t="s">
        <v>72</v>
      </c>
      <c r="BP632" t="s">
        <v>72</v>
      </c>
      <c r="BQ632" t="s">
        <v>100</v>
      </c>
      <c r="BR632" t="s">
        <v>15097</v>
      </c>
      <c r="BS632" t="str">
        <f>HYPERLINK("https%3A%2F%2Fwww.webofscience.com%2Fwos%2Fwoscc%2Ffull-record%2FWOS:000468921200001","View Full Record in Web of Science")</f>
        <v>View Full Record in Web of Science</v>
      </c>
    </row>
    <row r="633" spans="1:71" x14ac:dyDescent="0.2">
      <c r="A633" t="s">
        <v>70</v>
      </c>
      <c r="B633" t="s">
        <v>15098</v>
      </c>
      <c r="C633" t="s">
        <v>72</v>
      </c>
      <c r="D633" t="s">
        <v>72</v>
      </c>
      <c r="E633" t="s">
        <v>72</v>
      </c>
      <c r="F633" t="s">
        <v>15099</v>
      </c>
      <c r="G633" t="s">
        <v>72</v>
      </c>
      <c r="H633" t="s">
        <v>72</v>
      </c>
      <c r="I633" t="s">
        <v>15100</v>
      </c>
      <c r="J633" t="s">
        <v>1196</v>
      </c>
      <c r="K633" t="s">
        <v>72</v>
      </c>
      <c r="L633" t="s">
        <v>72</v>
      </c>
      <c r="M633" t="s">
        <v>76</v>
      </c>
      <c r="N633" t="s">
        <v>77</v>
      </c>
      <c r="O633" t="s">
        <v>72</v>
      </c>
      <c r="P633" t="s">
        <v>72</v>
      </c>
      <c r="Q633" t="s">
        <v>72</v>
      </c>
      <c r="R633" t="s">
        <v>72</v>
      </c>
      <c r="S633" t="s">
        <v>72</v>
      </c>
      <c r="T633" t="s">
        <v>15101</v>
      </c>
      <c r="U633" t="s">
        <v>15102</v>
      </c>
      <c r="V633" t="s">
        <v>15103</v>
      </c>
      <c r="W633" t="s">
        <v>15104</v>
      </c>
      <c r="X633" t="s">
        <v>1201</v>
      </c>
      <c r="Y633" t="s">
        <v>15105</v>
      </c>
      <c r="Z633" t="s">
        <v>15106</v>
      </c>
      <c r="AA633" t="s">
        <v>72</v>
      </c>
      <c r="AB633" t="s">
        <v>15107</v>
      </c>
      <c r="AC633" t="s">
        <v>15108</v>
      </c>
      <c r="AD633" t="s">
        <v>15109</v>
      </c>
      <c r="AE633" t="s">
        <v>15110</v>
      </c>
      <c r="AF633" t="s">
        <v>72</v>
      </c>
      <c r="AG633">
        <v>59</v>
      </c>
      <c r="AH633">
        <v>10</v>
      </c>
      <c r="AI633">
        <v>10</v>
      </c>
      <c r="AJ633">
        <v>3</v>
      </c>
      <c r="AK633">
        <v>11</v>
      </c>
      <c r="AL633" t="s">
        <v>240</v>
      </c>
      <c r="AM633" t="s">
        <v>707</v>
      </c>
      <c r="AN633" t="s">
        <v>1205</v>
      </c>
      <c r="AO633" t="s">
        <v>1206</v>
      </c>
      <c r="AP633" t="s">
        <v>1207</v>
      </c>
      <c r="AQ633" t="s">
        <v>72</v>
      </c>
      <c r="AR633" t="s">
        <v>1208</v>
      </c>
      <c r="AS633" t="s">
        <v>1209</v>
      </c>
      <c r="AT633" t="s">
        <v>149</v>
      </c>
      <c r="AU633">
        <v>2021</v>
      </c>
      <c r="AV633">
        <v>51</v>
      </c>
      <c r="AW633">
        <v>2</v>
      </c>
      <c r="AX633" t="s">
        <v>72</v>
      </c>
      <c r="AY633" t="s">
        <v>72</v>
      </c>
      <c r="AZ633" t="s">
        <v>72</v>
      </c>
      <c r="BA633" t="s">
        <v>72</v>
      </c>
      <c r="BB633">
        <v>750</v>
      </c>
      <c r="BC633">
        <v>771</v>
      </c>
      <c r="BD633" t="s">
        <v>15111</v>
      </c>
      <c r="BE633" t="s">
        <v>15112</v>
      </c>
      <c r="BF633" t="str">
        <f>HYPERLINK("http://dx.doi.org/10.1017/S0007123419000334","http://dx.doi.org/10.1017/S0007123419000334")</f>
        <v>http://dx.doi.org/10.1017/S0007123419000334</v>
      </c>
      <c r="BG633" t="s">
        <v>72</v>
      </c>
      <c r="BH633" t="s">
        <v>72</v>
      </c>
      <c r="BI633">
        <v>22</v>
      </c>
      <c r="BJ633" t="s">
        <v>219</v>
      </c>
      <c r="BK633" s="1" t="s">
        <v>17619</v>
      </c>
      <c r="BL633" t="s">
        <v>15113</v>
      </c>
      <c r="BM633" t="s">
        <v>72</v>
      </c>
      <c r="BN633" t="s">
        <v>251</v>
      </c>
      <c r="BO633" t="s">
        <v>72</v>
      </c>
      <c r="BP633" t="s">
        <v>72</v>
      </c>
      <c r="BQ633" t="s">
        <v>100</v>
      </c>
      <c r="BR633" t="s">
        <v>15114</v>
      </c>
      <c r="BS633" t="str">
        <f>HYPERLINK("https%3A%2F%2Fwww.webofscience.com%2Fwos%2Fwoscc%2Ffull-record%2FWOS:000628826400015","View Full Record in Web of Science")</f>
        <v>View Full Record in Web of Science</v>
      </c>
    </row>
    <row r="634" spans="1:71" x14ac:dyDescent="0.2">
      <c r="A634" t="s">
        <v>70</v>
      </c>
      <c r="B634" t="s">
        <v>15115</v>
      </c>
      <c r="C634" t="s">
        <v>72</v>
      </c>
      <c r="D634" t="s">
        <v>72</v>
      </c>
      <c r="E634" t="s">
        <v>72</v>
      </c>
      <c r="F634" t="s">
        <v>15116</v>
      </c>
      <c r="G634" t="s">
        <v>72</v>
      </c>
      <c r="H634" t="s">
        <v>72</v>
      </c>
      <c r="I634" t="s">
        <v>15117</v>
      </c>
      <c r="J634" t="s">
        <v>9813</v>
      </c>
      <c r="K634" t="s">
        <v>72</v>
      </c>
      <c r="L634" t="s">
        <v>72</v>
      </c>
      <c r="M634" t="s">
        <v>76</v>
      </c>
      <c r="N634" t="s">
        <v>77</v>
      </c>
      <c r="O634" t="s">
        <v>72</v>
      </c>
      <c r="P634" t="s">
        <v>72</v>
      </c>
      <c r="Q634" t="s">
        <v>72</v>
      </c>
      <c r="R634" t="s">
        <v>72</v>
      </c>
      <c r="S634" t="s">
        <v>72</v>
      </c>
      <c r="T634" t="s">
        <v>15118</v>
      </c>
      <c r="U634" t="s">
        <v>15119</v>
      </c>
      <c r="V634" t="s">
        <v>15120</v>
      </c>
      <c r="W634" t="s">
        <v>15121</v>
      </c>
      <c r="X634" t="s">
        <v>15122</v>
      </c>
      <c r="Y634" t="s">
        <v>15123</v>
      </c>
      <c r="Z634" t="s">
        <v>15124</v>
      </c>
      <c r="AA634" t="s">
        <v>15125</v>
      </c>
      <c r="AB634" t="s">
        <v>15126</v>
      </c>
      <c r="AC634" t="s">
        <v>72</v>
      </c>
      <c r="AD634" t="s">
        <v>72</v>
      </c>
      <c r="AE634" t="s">
        <v>72</v>
      </c>
      <c r="AF634" t="s">
        <v>72</v>
      </c>
      <c r="AG634">
        <v>53</v>
      </c>
      <c r="AH634">
        <v>7</v>
      </c>
      <c r="AI634">
        <v>7</v>
      </c>
      <c r="AJ634">
        <v>1</v>
      </c>
      <c r="AK634">
        <v>8</v>
      </c>
      <c r="AL634" t="s">
        <v>364</v>
      </c>
      <c r="AM634" t="s">
        <v>365</v>
      </c>
      <c r="AN634" t="s">
        <v>366</v>
      </c>
      <c r="AO634" t="s">
        <v>9821</v>
      </c>
      <c r="AP634" t="s">
        <v>9822</v>
      </c>
      <c r="AQ634" t="s">
        <v>72</v>
      </c>
      <c r="AR634" t="s">
        <v>9823</v>
      </c>
      <c r="AS634" t="s">
        <v>9824</v>
      </c>
      <c r="AT634" t="s">
        <v>12879</v>
      </c>
      <c r="AU634">
        <v>2021</v>
      </c>
      <c r="AV634">
        <v>9</v>
      </c>
      <c r="AW634">
        <v>5</v>
      </c>
      <c r="AX634" t="s">
        <v>72</v>
      </c>
      <c r="AY634" t="s">
        <v>72</v>
      </c>
      <c r="AZ634" t="s">
        <v>72</v>
      </c>
      <c r="BA634" t="s">
        <v>72</v>
      </c>
      <c r="BB634">
        <v>935</v>
      </c>
      <c r="BC634">
        <v>954</v>
      </c>
      <c r="BD634" t="s">
        <v>72</v>
      </c>
      <c r="BE634" t="s">
        <v>15127</v>
      </c>
      <c r="BF634" t="str">
        <f>HYPERLINK("http://dx.doi.org/10.1080/21565503.2019.1674672","http://dx.doi.org/10.1080/21565503.2019.1674672")</f>
        <v>http://dx.doi.org/10.1080/21565503.2019.1674672</v>
      </c>
      <c r="BG634" t="s">
        <v>72</v>
      </c>
      <c r="BH634" t="s">
        <v>5224</v>
      </c>
      <c r="BI634">
        <v>20</v>
      </c>
      <c r="BJ634" t="s">
        <v>219</v>
      </c>
      <c r="BK634" s="1" t="s">
        <v>17619</v>
      </c>
      <c r="BL634" t="s">
        <v>15128</v>
      </c>
      <c r="BM634" t="s">
        <v>72</v>
      </c>
      <c r="BN634" t="s">
        <v>72</v>
      </c>
      <c r="BO634" t="s">
        <v>72</v>
      </c>
      <c r="BP634" t="s">
        <v>72</v>
      </c>
      <c r="BQ634" t="s">
        <v>100</v>
      </c>
      <c r="BR634" t="s">
        <v>15129</v>
      </c>
      <c r="BS634" t="str">
        <f>HYPERLINK("https%3A%2F%2Fwww.webofscience.com%2Fwos%2Fwoscc%2Ffull-record%2FWOS:000491633200001","View Full Record in Web of Science")</f>
        <v>View Full Record in Web of Science</v>
      </c>
    </row>
    <row r="635" spans="1:71" x14ac:dyDescent="0.2">
      <c r="A635" t="s">
        <v>715</v>
      </c>
      <c r="B635" t="s">
        <v>15130</v>
      </c>
      <c r="C635" t="s">
        <v>72</v>
      </c>
      <c r="D635" t="s">
        <v>15131</v>
      </c>
      <c r="E635" t="s">
        <v>72</v>
      </c>
      <c r="F635" t="s">
        <v>15132</v>
      </c>
      <c r="G635" t="s">
        <v>72</v>
      </c>
      <c r="H635" t="s">
        <v>72</v>
      </c>
      <c r="I635" t="s">
        <v>15133</v>
      </c>
      <c r="J635" t="s">
        <v>15134</v>
      </c>
      <c r="K635" t="s">
        <v>1082</v>
      </c>
      <c r="L635" t="s">
        <v>72</v>
      </c>
      <c r="M635" t="s">
        <v>76</v>
      </c>
      <c r="N635" t="s">
        <v>567</v>
      </c>
      <c r="O635" t="s">
        <v>72</v>
      </c>
      <c r="P635" t="s">
        <v>72</v>
      </c>
      <c r="Q635" t="s">
        <v>72</v>
      </c>
      <c r="R635" t="s">
        <v>72</v>
      </c>
      <c r="S635" t="s">
        <v>72</v>
      </c>
      <c r="T635" t="s">
        <v>15135</v>
      </c>
      <c r="U635" t="s">
        <v>15136</v>
      </c>
      <c r="V635" t="s">
        <v>15137</v>
      </c>
      <c r="W635" t="s">
        <v>15138</v>
      </c>
      <c r="X635" t="s">
        <v>15139</v>
      </c>
      <c r="Y635" t="s">
        <v>15140</v>
      </c>
      <c r="Z635" t="s">
        <v>10571</v>
      </c>
      <c r="AA635" t="s">
        <v>72</v>
      </c>
      <c r="AB635" t="s">
        <v>72</v>
      </c>
      <c r="AC635" t="s">
        <v>15141</v>
      </c>
      <c r="AD635" t="s">
        <v>15142</v>
      </c>
      <c r="AE635" t="s">
        <v>15143</v>
      </c>
      <c r="AF635" t="s">
        <v>72</v>
      </c>
      <c r="AG635">
        <v>111</v>
      </c>
      <c r="AH635">
        <v>35</v>
      </c>
      <c r="AI635">
        <v>37</v>
      </c>
      <c r="AJ635">
        <v>13</v>
      </c>
      <c r="AK635">
        <v>30</v>
      </c>
      <c r="AL635" t="s">
        <v>1091</v>
      </c>
      <c r="AM635" t="s">
        <v>1092</v>
      </c>
      <c r="AN635" t="s">
        <v>1093</v>
      </c>
      <c r="AO635" t="s">
        <v>1094</v>
      </c>
      <c r="AP635" t="s">
        <v>3558</v>
      </c>
      <c r="AQ635" t="s">
        <v>72</v>
      </c>
      <c r="AR635" t="s">
        <v>1096</v>
      </c>
      <c r="AS635" t="s">
        <v>1097</v>
      </c>
      <c r="AT635" t="s">
        <v>72</v>
      </c>
      <c r="AU635">
        <v>2021</v>
      </c>
      <c r="AV635">
        <v>24</v>
      </c>
      <c r="AW635" t="s">
        <v>72</v>
      </c>
      <c r="AX635" t="s">
        <v>72</v>
      </c>
      <c r="AY635" t="s">
        <v>72</v>
      </c>
      <c r="AZ635" t="s">
        <v>72</v>
      </c>
      <c r="BA635" t="s">
        <v>72</v>
      </c>
      <c r="BB635">
        <v>395</v>
      </c>
      <c r="BC635">
        <v>419</v>
      </c>
      <c r="BD635" t="s">
        <v>72</v>
      </c>
      <c r="BE635" t="s">
        <v>15144</v>
      </c>
      <c r="BF635" t="str">
        <f>HYPERLINK("http://dx.doi.org/10.1146/annurev-polisci-053119-015921","http://dx.doi.org/10.1146/annurev-polisci-053119-015921")</f>
        <v>http://dx.doi.org/10.1146/annurev-polisci-053119-015921</v>
      </c>
      <c r="BG635" t="s">
        <v>72</v>
      </c>
      <c r="BH635" t="s">
        <v>72</v>
      </c>
      <c r="BI635">
        <v>25</v>
      </c>
      <c r="BJ635" t="s">
        <v>219</v>
      </c>
      <c r="BK635" s="1" t="s">
        <v>17619</v>
      </c>
      <c r="BL635" t="s">
        <v>15145</v>
      </c>
      <c r="BM635" t="s">
        <v>72</v>
      </c>
      <c r="BN635" t="s">
        <v>72</v>
      </c>
      <c r="BO635" t="s">
        <v>72</v>
      </c>
      <c r="BP635" t="s">
        <v>72</v>
      </c>
      <c r="BQ635" t="s">
        <v>100</v>
      </c>
      <c r="BR635" t="s">
        <v>15146</v>
      </c>
      <c r="BS635" t="str">
        <f>HYPERLINK("https%3A%2F%2Fwww.webofscience.com%2Fwos%2Fwoscc%2Ffull-record%2FWOS:000652490700019","View Full Record in Web of Science")</f>
        <v>View Full Record in Web of Science</v>
      </c>
    </row>
    <row r="636" spans="1:71" x14ac:dyDescent="0.2">
      <c r="A636" t="s">
        <v>70</v>
      </c>
      <c r="B636" t="s">
        <v>15147</v>
      </c>
      <c r="C636" t="s">
        <v>72</v>
      </c>
      <c r="D636" t="s">
        <v>72</v>
      </c>
      <c r="E636" t="s">
        <v>72</v>
      </c>
      <c r="F636" t="s">
        <v>15148</v>
      </c>
      <c r="G636" t="s">
        <v>72</v>
      </c>
      <c r="H636" t="s">
        <v>72</v>
      </c>
      <c r="I636" t="s">
        <v>15149</v>
      </c>
      <c r="J636" t="s">
        <v>6805</v>
      </c>
      <c r="K636" t="s">
        <v>72</v>
      </c>
      <c r="L636" t="s">
        <v>72</v>
      </c>
      <c r="M636" t="s">
        <v>76</v>
      </c>
      <c r="N636" t="s">
        <v>77</v>
      </c>
      <c r="O636" t="s">
        <v>72</v>
      </c>
      <c r="P636" t="s">
        <v>72</v>
      </c>
      <c r="Q636" t="s">
        <v>72</v>
      </c>
      <c r="R636" t="s">
        <v>72</v>
      </c>
      <c r="S636" t="s">
        <v>72</v>
      </c>
      <c r="T636" t="s">
        <v>15150</v>
      </c>
      <c r="U636" t="s">
        <v>15151</v>
      </c>
      <c r="V636" t="s">
        <v>15152</v>
      </c>
      <c r="W636" t="s">
        <v>15153</v>
      </c>
      <c r="X636" t="s">
        <v>3919</v>
      </c>
      <c r="Y636" t="s">
        <v>15154</v>
      </c>
      <c r="Z636" t="s">
        <v>15155</v>
      </c>
      <c r="AA636" t="s">
        <v>72</v>
      </c>
      <c r="AB636" t="s">
        <v>72</v>
      </c>
      <c r="AC636" t="s">
        <v>72</v>
      </c>
      <c r="AD636" t="s">
        <v>72</v>
      </c>
      <c r="AE636" t="s">
        <v>72</v>
      </c>
      <c r="AF636" t="s">
        <v>72</v>
      </c>
      <c r="AG636">
        <v>60</v>
      </c>
      <c r="AH636">
        <v>0</v>
      </c>
      <c r="AI636">
        <v>0</v>
      </c>
      <c r="AJ636">
        <v>1</v>
      </c>
      <c r="AK636">
        <v>9</v>
      </c>
      <c r="AL636" t="s">
        <v>1260</v>
      </c>
      <c r="AM636" t="s">
        <v>964</v>
      </c>
      <c r="AN636" t="s">
        <v>965</v>
      </c>
      <c r="AO636" t="s">
        <v>6811</v>
      </c>
      <c r="AP636" t="s">
        <v>6812</v>
      </c>
      <c r="AQ636" t="s">
        <v>72</v>
      </c>
      <c r="AR636" t="s">
        <v>6813</v>
      </c>
      <c r="AS636" t="s">
        <v>6814</v>
      </c>
      <c r="AT636" t="s">
        <v>929</v>
      </c>
      <c r="AU636">
        <v>2020</v>
      </c>
      <c r="AV636">
        <v>50</v>
      </c>
      <c r="AW636">
        <v>4</v>
      </c>
      <c r="AX636" t="s">
        <v>72</v>
      </c>
      <c r="AY636" t="s">
        <v>72</v>
      </c>
      <c r="AZ636" t="s">
        <v>72</v>
      </c>
      <c r="BA636" t="s">
        <v>72</v>
      </c>
      <c r="BB636">
        <v>736</v>
      </c>
      <c r="BC636">
        <v>761</v>
      </c>
      <c r="BD636" t="s">
        <v>72</v>
      </c>
      <c r="BE636" t="s">
        <v>15156</v>
      </c>
      <c r="BF636" t="str">
        <f>HYPERLINK("http://dx.doi.org/10.1111/psq.12678","http://dx.doi.org/10.1111/psq.12678")</f>
        <v>http://dx.doi.org/10.1111/psq.12678</v>
      </c>
      <c r="BG636" t="s">
        <v>72</v>
      </c>
      <c r="BH636" t="s">
        <v>2703</v>
      </c>
      <c r="BI636">
        <v>26</v>
      </c>
      <c r="BJ636" t="s">
        <v>219</v>
      </c>
      <c r="BK636" s="1" t="s">
        <v>17619</v>
      </c>
      <c r="BL636" t="s">
        <v>15157</v>
      </c>
      <c r="BM636" t="s">
        <v>72</v>
      </c>
      <c r="BN636" t="s">
        <v>72</v>
      </c>
      <c r="BO636" t="s">
        <v>72</v>
      </c>
      <c r="BP636" t="s">
        <v>72</v>
      </c>
      <c r="BQ636" t="s">
        <v>100</v>
      </c>
      <c r="BR636" t="s">
        <v>15158</v>
      </c>
      <c r="BS636" t="str">
        <f>HYPERLINK("https%3A%2F%2Fwww.webofscience.com%2Fwos%2Fwoscc%2Ffull-record%2FWOS:000567805700001","View Full Record in Web of Science")</f>
        <v>View Full Record in Web of Science</v>
      </c>
    </row>
    <row r="637" spans="1:71" x14ac:dyDescent="0.2">
      <c r="A637" t="s">
        <v>70</v>
      </c>
      <c r="B637" t="s">
        <v>15159</v>
      </c>
      <c r="C637" t="s">
        <v>72</v>
      </c>
      <c r="D637" t="s">
        <v>72</v>
      </c>
      <c r="E637" t="s">
        <v>72</v>
      </c>
      <c r="F637" t="s">
        <v>15160</v>
      </c>
      <c r="G637" t="s">
        <v>72</v>
      </c>
      <c r="H637" t="s">
        <v>72</v>
      </c>
      <c r="I637" t="s">
        <v>15161</v>
      </c>
      <c r="J637" t="s">
        <v>2617</v>
      </c>
      <c r="K637" t="s">
        <v>72</v>
      </c>
      <c r="L637" t="s">
        <v>72</v>
      </c>
      <c r="M637" t="s">
        <v>76</v>
      </c>
      <c r="N637" t="s">
        <v>77</v>
      </c>
      <c r="O637" t="s">
        <v>72</v>
      </c>
      <c r="P637" t="s">
        <v>72</v>
      </c>
      <c r="Q637" t="s">
        <v>72</v>
      </c>
      <c r="R637" t="s">
        <v>72</v>
      </c>
      <c r="S637" t="s">
        <v>72</v>
      </c>
      <c r="T637" t="s">
        <v>15162</v>
      </c>
      <c r="U637" t="s">
        <v>15163</v>
      </c>
      <c r="V637" t="s">
        <v>15164</v>
      </c>
      <c r="W637" t="s">
        <v>15165</v>
      </c>
      <c r="X637" t="s">
        <v>15166</v>
      </c>
      <c r="Y637" t="s">
        <v>15167</v>
      </c>
      <c r="Z637" t="s">
        <v>15168</v>
      </c>
      <c r="AA637" t="s">
        <v>72</v>
      </c>
      <c r="AB637" t="s">
        <v>15169</v>
      </c>
      <c r="AC637" t="s">
        <v>15170</v>
      </c>
      <c r="AD637" t="s">
        <v>15171</v>
      </c>
      <c r="AE637" t="s">
        <v>15172</v>
      </c>
      <c r="AF637" t="s">
        <v>72</v>
      </c>
      <c r="AG637">
        <v>53</v>
      </c>
      <c r="AH637">
        <v>7</v>
      </c>
      <c r="AI637">
        <v>7</v>
      </c>
      <c r="AJ637">
        <v>1</v>
      </c>
      <c r="AK637">
        <v>5</v>
      </c>
      <c r="AL637" t="s">
        <v>1260</v>
      </c>
      <c r="AM637" t="s">
        <v>964</v>
      </c>
      <c r="AN637" t="s">
        <v>965</v>
      </c>
      <c r="AO637" t="s">
        <v>2629</v>
      </c>
      <c r="AP637" t="s">
        <v>2630</v>
      </c>
      <c r="AQ637" t="s">
        <v>72</v>
      </c>
      <c r="AR637" t="s">
        <v>2631</v>
      </c>
      <c r="AS637" t="s">
        <v>2632</v>
      </c>
      <c r="AT637" t="s">
        <v>1602</v>
      </c>
      <c r="AU637">
        <v>2022</v>
      </c>
      <c r="AV637">
        <v>61</v>
      </c>
      <c r="AW637">
        <v>1</v>
      </c>
      <c r="AX637" t="s">
        <v>72</v>
      </c>
      <c r="AY637" t="s">
        <v>72</v>
      </c>
      <c r="AZ637" t="s">
        <v>72</v>
      </c>
      <c r="BA637" t="s">
        <v>72</v>
      </c>
      <c r="BB637">
        <v>111</v>
      </c>
      <c r="BC637">
        <v>133</v>
      </c>
      <c r="BD637" t="s">
        <v>72</v>
      </c>
      <c r="BE637" t="s">
        <v>15173</v>
      </c>
      <c r="BF637" t="str">
        <f>HYPERLINK("http://dx.doi.org/10.1111/1475-6765.12441","http://dx.doi.org/10.1111/1475-6765.12441")</f>
        <v>http://dx.doi.org/10.1111/1475-6765.12441</v>
      </c>
      <c r="BG637" t="s">
        <v>72</v>
      </c>
      <c r="BH637" t="s">
        <v>397</v>
      </c>
      <c r="BI637">
        <v>23</v>
      </c>
      <c r="BJ637" t="s">
        <v>219</v>
      </c>
      <c r="BK637" s="1" t="s">
        <v>17619</v>
      </c>
      <c r="BL637" t="s">
        <v>15174</v>
      </c>
      <c r="BM637" t="s">
        <v>72</v>
      </c>
      <c r="BN637" t="s">
        <v>72</v>
      </c>
      <c r="BO637" t="s">
        <v>72</v>
      </c>
      <c r="BP637" t="s">
        <v>72</v>
      </c>
      <c r="BQ637" t="s">
        <v>100</v>
      </c>
      <c r="BR637" t="s">
        <v>15175</v>
      </c>
      <c r="BS637" t="str">
        <f>HYPERLINK("https%3A%2F%2Fwww.webofscience.com%2Fwos%2Fwoscc%2Ffull-record%2FWOS:000633026500001","View Full Record in Web of Science")</f>
        <v>View Full Record in Web of Science</v>
      </c>
    </row>
    <row r="638" spans="1:71" x14ac:dyDescent="0.2">
      <c r="A638" t="s">
        <v>70</v>
      </c>
      <c r="B638" t="s">
        <v>15437</v>
      </c>
      <c r="C638" t="s">
        <v>72</v>
      </c>
      <c r="D638" t="s">
        <v>72</v>
      </c>
      <c r="E638" t="s">
        <v>72</v>
      </c>
      <c r="F638" t="s">
        <v>15438</v>
      </c>
      <c r="G638" t="s">
        <v>72</v>
      </c>
      <c r="H638" t="s">
        <v>72</v>
      </c>
      <c r="I638" t="s">
        <v>15439</v>
      </c>
      <c r="J638" t="s">
        <v>9963</v>
      </c>
      <c r="K638" t="s">
        <v>72</v>
      </c>
      <c r="L638" t="s">
        <v>72</v>
      </c>
      <c r="M638" t="s">
        <v>76</v>
      </c>
      <c r="N638" t="s">
        <v>77</v>
      </c>
      <c r="O638" t="s">
        <v>72</v>
      </c>
      <c r="P638" t="s">
        <v>72</v>
      </c>
      <c r="Q638" t="s">
        <v>72</v>
      </c>
      <c r="R638" t="s">
        <v>72</v>
      </c>
      <c r="S638" t="s">
        <v>72</v>
      </c>
      <c r="T638" t="s">
        <v>15440</v>
      </c>
      <c r="U638" t="s">
        <v>15441</v>
      </c>
      <c r="V638" t="s">
        <v>15442</v>
      </c>
      <c r="W638" t="s">
        <v>15443</v>
      </c>
      <c r="X638" t="s">
        <v>15444</v>
      </c>
      <c r="Y638" t="s">
        <v>15445</v>
      </c>
      <c r="Z638" t="s">
        <v>11107</v>
      </c>
      <c r="AA638" t="s">
        <v>15446</v>
      </c>
      <c r="AB638" t="s">
        <v>15447</v>
      </c>
      <c r="AC638" t="s">
        <v>15448</v>
      </c>
      <c r="AD638" t="s">
        <v>15449</v>
      </c>
      <c r="AE638" t="s">
        <v>15450</v>
      </c>
      <c r="AF638" t="s">
        <v>72</v>
      </c>
      <c r="AG638">
        <v>60</v>
      </c>
      <c r="AH638">
        <v>1</v>
      </c>
      <c r="AI638">
        <v>1</v>
      </c>
      <c r="AJ638">
        <v>1</v>
      </c>
      <c r="AK638">
        <v>1</v>
      </c>
      <c r="AL638" t="s">
        <v>9972</v>
      </c>
      <c r="AM638" t="s">
        <v>9973</v>
      </c>
      <c r="AN638" t="s">
        <v>9974</v>
      </c>
      <c r="AO638" t="s">
        <v>9975</v>
      </c>
      <c r="AP638" t="s">
        <v>72</v>
      </c>
      <c r="AQ638" t="s">
        <v>72</v>
      </c>
      <c r="AR638" t="s">
        <v>9976</v>
      </c>
      <c r="AS638" t="s">
        <v>9977</v>
      </c>
      <c r="AT638" t="s">
        <v>72</v>
      </c>
      <c r="AU638">
        <v>2022</v>
      </c>
      <c r="AV638">
        <v>10</v>
      </c>
      <c r="AW638">
        <v>1</v>
      </c>
      <c r="AX638" t="s">
        <v>72</v>
      </c>
      <c r="AY638" t="s">
        <v>72</v>
      </c>
      <c r="AZ638" t="s">
        <v>72</v>
      </c>
      <c r="BA638" t="s">
        <v>72</v>
      </c>
      <c r="BB638">
        <v>121</v>
      </c>
      <c r="BC638">
        <v>132</v>
      </c>
      <c r="BD638" t="s">
        <v>72</v>
      </c>
      <c r="BE638" t="s">
        <v>15451</v>
      </c>
      <c r="BF638" t="str">
        <f>HYPERLINK("http://dx.doi.org/10.17645/pag.v10i1.4775","http://dx.doi.org/10.17645/pag.v10i1.4775")</f>
        <v>http://dx.doi.org/10.17645/pag.v10i1.4775</v>
      </c>
      <c r="BG638" t="s">
        <v>72</v>
      </c>
      <c r="BH638" t="s">
        <v>72</v>
      </c>
      <c r="BI638">
        <v>12</v>
      </c>
      <c r="BJ638" t="s">
        <v>219</v>
      </c>
      <c r="BK638" s="1" t="s">
        <v>17619</v>
      </c>
      <c r="BL638" t="s">
        <v>15452</v>
      </c>
      <c r="BM638" t="s">
        <v>72</v>
      </c>
      <c r="BN638" t="s">
        <v>910</v>
      </c>
      <c r="BO638" t="s">
        <v>72</v>
      </c>
      <c r="BP638" t="s">
        <v>72</v>
      </c>
      <c r="BQ638" t="s">
        <v>100</v>
      </c>
      <c r="BR638" t="s">
        <v>15453</v>
      </c>
      <c r="BS638" t="str">
        <f>HYPERLINK("https%3A%2F%2Fwww.webofscience.com%2Fwos%2Fwoscc%2Ffull-record%2FWOS:000768756500004","View Full Record in Web of Science")</f>
        <v>View Full Record in Web of Science</v>
      </c>
    </row>
    <row r="639" spans="1:71" x14ac:dyDescent="0.2">
      <c r="A639" t="s">
        <v>70</v>
      </c>
      <c r="B639" t="s">
        <v>15556</v>
      </c>
      <c r="C639" t="s">
        <v>72</v>
      </c>
      <c r="D639" t="s">
        <v>72</v>
      </c>
      <c r="E639" t="s">
        <v>72</v>
      </c>
      <c r="F639" t="s">
        <v>15557</v>
      </c>
      <c r="G639" t="s">
        <v>72</v>
      </c>
      <c r="H639" t="s">
        <v>72</v>
      </c>
      <c r="I639" t="s">
        <v>15558</v>
      </c>
      <c r="J639" t="s">
        <v>9855</v>
      </c>
      <c r="K639" t="s">
        <v>72</v>
      </c>
      <c r="L639" t="s">
        <v>72</v>
      </c>
      <c r="M639" t="s">
        <v>76</v>
      </c>
      <c r="N639" t="s">
        <v>77</v>
      </c>
      <c r="O639" t="s">
        <v>72</v>
      </c>
      <c r="P639" t="s">
        <v>72</v>
      </c>
      <c r="Q639" t="s">
        <v>72</v>
      </c>
      <c r="R639" t="s">
        <v>72</v>
      </c>
      <c r="S639" t="s">
        <v>72</v>
      </c>
      <c r="T639" t="s">
        <v>15559</v>
      </c>
      <c r="U639" t="s">
        <v>15560</v>
      </c>
      <c r="V639" t="s">
        <v>15561</v>
      </c>
      <c r="W639" t="s">
        <v>15562</v>
      </c>
      <c r="X639" t="s">
        <v>2020</v>
      </c>
      <c r="Y639" t="s">
        <v>15563</v>
      </c>
      <c r="Z639" t="s">
        <v>15564</v>
      </c>
      <c r="AA639" t="s">
        <v>72</v>
      </c>
      <c r="AB639" t="s">
        <v>15565</v>
      </c>
      <c r="AC639" t="s">
        <v>1003</v>
      </c>
      <c r="AD639" t="s">
        <v>1003</v>
      </c>
      <c r="AE639" t="s">
        <v>1004</v>
      </c>
      <c r="AF639" t="s">
        <v>72</v>
      </c>
      <c r="AG639">
        <v>54</v>
      </c>
      <c r="AH639">
        <v>3</v>
      </c>
      <c r="AI639">
        <v>3</v>
      </c>
      <c r="AJ639">
        <v>2</v>
      </c>
      <c r="AK639">
        <v>13</v>
      </c>
      <c r="AL639" t="s">
        <v>1005</v>
      </c>
      <c r="AM639" t="s">
        <v>1006</v>
      </c>
      <c r="AN639" t="s">
        <v>1007</v>
      </c>
      <c r="AO639" t="s">
        <v>9866</v>
      </c>
      <c r="AP639" t="s">
        <v>9867</v>
      </c>
      <c r="AQ639" t="s">
        <v>72</v>
      </c>
      <c r="AR639" t="s">
        <v>9868</v>
      </c>
      <c r="AS639" t="s">
        <v>9869</v>
      </c>
      <c r="AT639" t="s">
        <v>95</v>
      </c>
      <c r="AU639">
        <v>2022</v>
      </c>
      <c r="AV639">
        <v>21</v>
      </c>
      <c r="AW639">
        <v>3</v>
      </c>
      <c r="AX639" t="s">
        <v>72</v>
      </c>
      <c r="AY639" t="s">
        <v>72</v>
      </c>
      <c r="AZ639" t="s">
        <v>72</v>
      </c>
      <c r="BA639" t="s">
        <v>72</v>
      </c>
      <c r="BB639">
        <v>335</v>
      </c>
      <c r="BC639">
        <v>358</v>
      </c>
      <c r="BD639" t="s">
        <v>72</v>
      </c>
      <c r="BE639" t="s">
        <v>15566</v>
      </c>
      <c r="BF639" t="str">
        <f>HYPERLINK("http://dx.doi.org/10.1057/s41304-021-00346-6","http://dx.doi.org/10.1057/s41304-021-00346-6")</f>
        <v>http://dx.doi.org/10.1057/s41304-021-00346-6</v>
      </c>
      <c r="BG639" t="s">
        <v>72</v>
      </c>
      <c r="BH639" t="s">
        <v>3011</v>
      </c>
      <c r="BI639">
        <v>24</v>
      </c>
      <c r="BJ639" t="s">
        <v>219</v>
      </c>
      <c r="BK639" s="1" t="s">
        <v>17619</v>
      </c>
      <c r="BL639" t="s">
        <v>15567</v>
      </c>
      <c r="BM639" t="s">
        <v>72</v>
      </c>
      <c r="BN639" t="s">
        <v>1053</v>
      </c>
      <c r="BO639" t="s">
        <v>72</v>
      </c>
      <c r="BP639" t="s">
        <v>72</v>
      </c>
      <c r="BQ639" t="s">
        <v>100</v>
      </c>
      <c r="BR639" t="s">
        <v>15568</v>
      </c>
      <c r="BS639" t="str">
        <f>HYPERLINK("https%3A%2F%2Fwww.webofscience.com%2Fwos%2Fwoscc%2Ffull-record%2FWOS:000674517700001","View Full Record in Web of Science")</f>
        <v>View Full Record in Web of Science</v>
      </c>
    </row>
    <row r="640" spans="1:71" x14ac:dyDescent="0.2">
      <c r="A640" t="s">
        <v>70</v>
      </c>
      <c r="B640" t="s">
        <v>15569</v>
      </c>
      <c r="C640" t="s">
        <v>72</v>
      </c>
      <c r="D640" t="s">
        <v>72</v>
      </c>
      <c r="E640" t="s">
        <v>72</v>
      </c>
      <c r="F640" t="s">
        <v>15570</v>
      </c>
      <c r="G640" t="s">
        <v>72</v>
      </c>
      <c r="H640" t="s">
        <v>72</v>
      </c>
      <c r="I640" t="s">
        <v>15571</v>
      </c>
      <c r="J640" t="s">
        <v>1196</v>
      </c>
      <c r="K640" t="s">
        <v>72</v>
      </c>
      <c r="L640" t="s">
        <v>72</v>
      </c>
      <c r="M640" t="s">
        <v>76</v>
      </c>
      <c r="N640" t="s">
        <v>77</v>
      </c>
      <c r="O640" t="s">
        <v>72</v>
      </c>
      <c r="P640" t="s">
        <v>72</v>
      </c>
      <c r="Q640" t="s">
        <v>72</v>
      </c>
      <c r="R640" t="s">
        <v>72</v>
      </c>
      <c r="S640" t="s">
        <v>72</v>
      </c>
      <c r="T640" t="s">
        <v>15572</v>
      </c>
      <c r="U640" t="s">
        <v>15573</v>
      </c>
      <c r="V640" t="s">
        <v>15574</v>
      </c>
      <c r="W640" t="s">
        <v>15575</v>
      </c>
      <c r="X640" t="s">
        <v>15576</v>
      </c>
      <c r="Y640" t="s">
        <v>15577</v>
      </c>
      <c r="Z640" t="s">
        <v>15578</v>
      </c>
      <c r="AA640" t="s">
        <v>72</v>
      </c>
      <c r="AB640" t="s">
        <v>15579</v>
      </c>
      <c r="AC640" t="s">
        <v>15580</v>
      </c>
      <c r="AD640" t="s">
        <v>15581</v>
      </c>
      <c r="AE640" t="s">
        <v>15582</v>
      </c>
      <c r="AF640" t="s">
        <v>72</v>
      </c>
      <c r="AG640">
        <v>43</v>
      </c>
      <c r="AH640">
        <v>0</v>
      </c>
      <c r="AI640">
        <v>0</v>
      </c>
      <c r="AJ640">
        <v>0</v>
      </c>
      <c r="AK640">
        <v>2</v>
      </c>
      <c r="AL640" t="s">
        <v>240</v>
      </c>
      <c r="AM640" t="s">
        <v>707</v>
      </c>
      <c r="AN640" t="s">
        <v>1205</v>
      </c>
      <c r="AO640" t="s">
        <v>1206</v>
      </c>
      <c r="AP640" t="s">
        <v>1207</v>
      </c>
      <c r="AQ640" t="s">
        <v>72</v>
      </c>
      <c r="AR640" t="s">
        <v>1208</v>
      </c>
      <c r="AS640" t="s">
        <v>1209</v>
      </c>
      <c r="AT640" t="s">
        <v>395</v>
      </c>
      <c r="AU640">
        <v>2021</v>
      </c>
      <c r="AV640">
        <v>51</v>
      </c>
      <c r="AW640">
        <v>4</v>
      </c>
      <c r="AX640" t="s">
        <v>72</v>
      </c>
      <c r="AY640" t="s">
        <v>72</v>
      </c>
      <c r="AZ640" t="s">
        <v>72</v>
      </c>
      <c r="BA640" t="s">
        <v>72</v>
      </c>
      <c r="BB640">
        <v>1734</v>
      </c>
      <c r="BC640">
        <v>1741</v>
      </c>
      <c r="BD640" t="s">
        <v>15583</v>
      </c>
      <c r="BE640" t="s">
        <v>15584</v>
      </c>
      <c r="BF640" t="str">
        <f>HYPERLINK("http://dx.doi.org/10.1017/S0007123420000290","http://dx.doi.org/10.1017/S0007123420000290")</f>
        <v>http://dx.doi.org/10.1017/S0007123420000290</v>
      </c>
      <c r="BG640" t="s">
        <v>72</v>
      </c>
      <c r="BH640" t="s">
        <v>72</v>
      </c>
      <c r="BI640">
        <v>8</v>
      </c>
      <c r="BJ640" t="s">
        <v>219</v>
      </c>
      <c r="BK640" s="1" t="s">
        <v>17619</v>
      </c>
      <c r="BL640" t="s">
        <v>15585</v>
      </c>
      <c r="BM640" t="s">
        <v>72</v>
      </c>
      <c r="BN640" t="s">
        <v>72</v>
      </c>
      <c r="BO640" t="s">
        <v>72</v>
      </c>
      <c r="BP640" t="s">
        <v>72</v>
      </c>
      <c r="BQ640" t="s">
        <v>100</v>
      </c>
      <c r="BR640" t="s">
        <v>15586</v>
      </c>
      <c r="BS640" t="str">
        <f>HYPERLINK("https%3A%2F%2Fwww.webofscience.com%2Fwos%2Fwoscc%2Ffull-record%2FWOS:000695211200024","View Full Record in Web of Science")</f>
        <v>View Full Record in Web of Science</v>
      </c>
    </row>
    <row r="641" spans="1:71" x14ac:dyDescent="0.2">
      <c r="A641" t="s">
        <v>70</v>
      </c>
      <c r="B641" t="s">
        <v>14971</v>
      </c>
      <c r="C641" t="s">
        <v>72</v>
      </c>
      <c r="D641" t="s">
        <v>72</v>
      </c>
      <c r="E641" t="s">
        <v>72</v>
      </c>
      <c r="F641" t="s">
        <v>14972</v>
      </c>
      <c r="G641" t="s">
        <v>72</v>
      </c>
      <c r="H641" t="s">
        <v>72</v>
      </c>
      <c r="I641" t="s">
        <v>15587</v>
      </c>
      <c r="J641" t="s">
        <v>6440</v>
      </c>
      <c r="K641" t="s">
        <v>72</v>
      </c>
      <c r="L641" t="s">
        <v>72</v>
      </c>
      <c r="M641" t="s">
        <v>76</v>
      </c>
      <c r="N641" t="s">
        <v>77</v>
      </c>
      <c r="O641" t="s">
        <v>72</v>
      </c>
      <c r="P641" t="s">
        <v>72</v>
      </c>
      <c r="Q641" t="s">
        <v>72</v>
      </c>
      <c r="R641" t="s">
        <v>72</v>
      </c>
      <c r="S641" t="s">
        <v>72</v>
      </c>
      <c r="T641" t="s">
        <v>15588</v>
      </c>
      <c r="U641" t="s">
        <v>15589</v>
      </c>
      <c r="V641" t="s">
        <v>15590</v>
      </c>
      <c r="W641" t="s">
        <v>15591</v>
      </c>
      <c r="X641" t="s">
        <v>15327</v>
      </c>
      <c r="Y641" t="s">
        <v>15592</v>
      </c>
      <c r="Z641" t="s">
        <v>15593</v>
      </c>
      <c r="AA641" t="s">
        <v>14980</v>
      </c>
      <c r="AB641" t="s">
        <v>14981</v>
      </c>
      <c r="AC641" t="s">
        <v>72</v>
      </c>
      <c r="AD641" t="s">
        <v>72</v>
      </c>
      <c r="AE641" t="s">
        <v>72</v>
      </c>
      <c r="AF641" t="s">
        <v>72</v>
      </c>
      <c r="AG641">
        <v>60</v>
      </c>
      <c r="AH641">
        <v>3</v>
      </c>
      <c r="AI641">
        <v>3</v>
      </c>
      <c r="AJ641">
        <v>0</v>
      </c>
      <c r="AK641">
        <v>2</v>
      </c>
      <c r="AL641" t="s">
        <v>240</v>
      </c>
      <c r="AM641" t="s">
        <v>707</v>
      </c>
      <c r="AN641" t="s">
        <v>1205</v>
      </c>
      <c r="AO641" t="s">
        <v>6450</v>
      </c>
      <c r="AP641" t="s">
        <v>6451</v>
      </c>
      <c r="AQ641" t="s">
        <v>72</v>
      </c>
      <c r="AR641" t="s">
        <v>6452</v>
      </c>
      <c r="AS641" t="s">
        <v>6453</v>
      </c>
      <c r="AT641" t="s">
        <v>1602</v>
      </c>
      <c r="AU641">
        <v>2022</v>
      </c>
      <c r="AV641">
        <v>14</v>
      </c>
      <c r="AW641">
        <v>1</v>
      </c>
      <c r="AX641" t="s">
        <v>72</v>
      </c>
      <c r="AY641" t="s">
        <v>72</v>
      </c>
      <c r="AZ641" t="s">
        <v>72</v>
      </c>
      <c r="BA641" t="s">
        <v>72</v>
      </c>
      <c r="BB641">
        <v>36</v>
      </c>
      <c r="BC641">
        <v>55</v>
      </c>
      <c r="BD641" t="s">
        <v>15594</v>
      </c>
      <c r="BE641" t="s">
        <v>15595</v>
      </c>
      <c r="BF641" t="str">
        <f>HYPERLINK("http://dx.doi.org/10.1017/S1755773921000291","http://dx.doi.org/10.1017/S1755773921000291")</f>
        <v>http://dx.doi.org/10.1017/S1755773921000291</v>
      </c>
      <c r="BG641" t="s">
        <v>72</v>
      </c>
      <c r="BH641" t="s">
        <v>72</v>
      </c>
      <c r="BI641">
        <v>20</v>
      </c>
      <c r="BJ641" t="s">
        <v>219</v>
      </c>
      <c r="BK641" s="1" t="s">
        <v>17619</v>
      </c>
      <c r="BL641" t="s">
        <v>15596</v>
      </c>
      <c r="BM641" t="s">
        <v>72</v>
      </c>
      <c r="BN641" t="s">
        <v>72</v>
      </c>
      <c r="BO641" t="s">
        <v>72</v>
      </c>
      <c r="BP641" t="s">
        <v>72</v>
      </c>
      <c r="BQ641" t="s">
        <v>100</v>
      </c>
      <c r="BR641" t="s">
        <v>15597</v>
      </c>
      <c r="BS641" t="str">
        <f>HYPERLINK("https%3A%2F%2Fwww.webofscience.com%2Fwos%2Fwoscc%2Ffull-record%2FWOS:000761768500005","View Full Record in Web of Science")</f>
        <v>View Full Record in Web of Science</v>
      </c>
    </row>
    <row r="642" spans="1:71" x14ac:dyDescent="0.2">
      <c r="A642" t="s">
        <v>70</v>
      </c>
      <c r="B642" t="s">
        <v>15598</v>
      </c>
      <c r="C642" t="s">
        <v>72</v>
      </c>
      <c r="D642" t="s">
        <v>72</v>
      </c>
      <c r="E642" t="s">
        <v>72</v>
      </c>
      <c r="F642" t="s">
        <v>15599</v>
      </c>
      <c r="G642" t="s">
        <v>72</v>
      </c>
      <c r="H642" t="s">
        <v>72</v>
      </c>
      <c r="I642" t="s">
        <v>15600</v>
      </c>
      <c r="J642" t="s">
        <v>1388</v>
      </c>
      <c r="K642" t="s">
        <v>72</v>
      </c>
      <c r="L642" t="s">
        <v>72</v>
      </c>
      <c r="M642" t="s">
        <v>76</v>
      </c>
      <c r="N642" t="s">
        <v>77</v>
      </c>
      <c r="O642" t="s">
        <v>72</v>
      </c>
      <c r="P642" t="s">
        <v>72</v>
      </c>
      <c r="Q642" t="s">
        <v>72</v>
      </c>
      <c r="R642" t="s">
        <v>72</v>
      </c>
      <c r="S642" t="s">
        <v>72</v>
      </c>
      <c r="T642" t="s">
        <v>15601</v>
      </c>
      <c r="U642" t="s">
        <v>15602</v>
      </c>
      <c r="V642" t="s">
        <v>15603</v>
      </c>
      <c r="W642" t="s">
        <v>15604</v>
      </c>
      <c r="X642" t="s">
        <v>15605</v>
      </c>
      <c r="Y642" t="s">
        <v>15606</v>
      </c>
      <c r="Z642" t="s">
        <v>15607</v>
      </c>
      <c r="AA642" t="s">
        <v>72</v>
      </c>
      <c r="AB642" t="s">
        <v>15608</v>
      </c>
      <c r="AC642" t="s">
        <v>15609</v>
      </c>
      <c r="AD642" t="s">
        <v>5942</v>
      </c>
      <c r="AE642" t="s">
        <v>15610</v>
      </c>
      <c r="AF642" t="s">
        <v>72</v>
      </c>
      <c r="AG642">
        <v>43</v>
      </c>
      <c r="AH642">
        <v>1</v>
      </c>
      <c r="AI642">
        <v>1</v>
      </c>
      <c r="AJ642">
        <v>1</v>
      </c>
      <c r="AK642">
        <v>2</v>
      </c>
      <c r="AL642" t="s">
        <v>336</v>
      </c>
      <c r="AM642" t="s">
        <v>337</v>
      </c>
      <c r="AN642" t="s">
        <v>338</v>
      </c>
      <c r="AO642" t="s">
        <v>1398</v>
      </c>
      <c r="AP642" t="s">
        <v>1399</v>
      </c>
      <c r="AQ642" t="s">
        <v>72</v>
      </c>
      <c r="AR642" t="s">
        <v>1400</v>
      </c>
      <c r="AS642" t="s">
        <v>1401</v>
      </c>
      <c r="AT642" t="s">
        <v>95</v>
      </c>
      <c r="AU642">
        <v>2022</v>
      </c>
      <c r="AV642">
        <v>28</v>
      </c>
      <c r="AW642">
        <v>5</v>
      </c>
      <c r="AX642" t="s">
        <v>72</v>
      </c>
      <c r="AY642" t="s">
        <v>72</v>
      </c>
      <c r="AZ642" t="s">
        <v>72</v>
      </c>
      <c r="BA642" t="s">
        <v>72</v>
      </c>
      <c r="BB642">
        <v>834</v>
      </c>
      <c r="BC642">
        <v>844</v>
      </c>
      <c r="BD642">
        <v>1.3540688211026076E+16</v>
      </c>
      <c r="BE642" t="s">
        <v>15611</v>
      </c>
      <c r="BF642" t="str">
        <f>HYPERLINK("http://dx.doi.org/10.1177/13540688211026076","http://dx.doi.org/10.1177/13540688211026076")</f>
        <v>http://dx.doi.org/10.1177/13540688211026076</v>
      </c>
      <c r="BG642" t="s">
        <v>72</v>
      </c>
      <c r="BH642" t="s">
        <v>4769</v>
      </c>
      <c r="BI642">
        <v>11</v>
      </c>
      <c r="BJ642" t="s">
        <v>219</v>
      </c>
      <c r="BK642" s="1" t="s">
        <v>17619</v>
      </c>
      <c r="BL642" t="s">
        <v>15612</v>
      </c>
      <c r="BM642" t="s">
        <v>72</v>
      </c>
      <c r="BN642" t="s">
        <v>6375</v>
      </c>
      <c r="BO642" t="s">
        <v>72</v>
      </c>
      <c r="BP642" t="s">
        <v>72</v>
      </c>
      <c r="BQ642" t="s">
        <v>100</v>
      </c>
      <c r="BR642" t="s">
        <v>15613</v>
      </c>
      <c r="BS642" t="str">
        <f>HYPERLINK("https%3A%2F%2Fwww.webofscience.com%2Fwos%2Fwoscc%2Ffull-record%2FWOS:000683936100001","View Full Record in Web of Science")</f>
        <v>View Full Record in Web of Science</v>
      </c>
    </row>
    <row r="643" spans="1:71" x14ac:dyDescent="0.2">
      <c r="A643" t="s">
        <v>70</v>
      </c>
      <c r="B643" t="s">
        <v>15634</v>
      </c>
      <c r="C643" t="s">
        <v>72</v>
      </c>
      <c r="D643" t="s">
        <v>72</v>
      </c>
      <c r="E643" t="s">
        <v>72</v>
      </c>
      <c r="F643" t="s">
        <v>15635</v>
      </c>
      <c r="G643" t="s">
        <v>72</v>
      </c>
      <c r="H643" t="s">
        <v>72</v>
      </c>
      <c r="I643" t="s">
        <v>15636</v>
      </c>
      <c r="J643" t="s">
        <v>227</v>
      </c>
      <c r="K643" t="s">
        <v>72</v>
      </c>
      <c r="L643" t="s">
        <v>72</v>
      </c>
      <c r="M643" t="s">
        <v>76</v>
      </c>
      <c r="N643" t="s">
        <v>77</v>
      </c>
      <c r="O643" t="s">
        <v>72</v>
      </c>
      <c r="P643" t="s">
        <v>72</v>
      </c>
      <c r="Q643" t="s">
        <v>72</v>
      </c>
      <c r="R643" t="s">
        <v>72</v>
      </c>
      <c r="S643" t="s">
        <v>72</v>
      </c>
      <c r="T643" t="s">
        <v>15637</v>
      </c>
      <c r="U643" t="s">
        <v>15638</v>
      </c>
      <c r="V643" t="s">
        <v>15639</v>
      </c>
      <c r="W643" t="s">
        <v>15640</v>
      </c>
      <c r="X643" t="s">
        <v>15641</v>
      </c>
      <c r="Y643" t="s">
        <v>15642</v>
      </c>
      <c r="Z643" t="s">
        <v>15643</v>
      </c>
      <c r="AA643" t="s">
        <v>72</v>
      </c>
      <c r="AB643" t="s">
        <v>15644</v>
      </c>
      <c r="AC643" t="s">
        <v>15645</v>
      </c>
      <c r="AD643" t="s">
        <v>15646</v>
      </c>
      <c r="AE643" t="s">
        <v>15647</v>
      </c>
      <c r="AF643" t="s">
        <v>72</v>
      </c>
      <c r="AG643">
        <v>56</v>
      </c>
      <c r="AH643">
        <v>1</v>
      </c>
      <c r="AI643">
        <v>1</v>
      </c>
      <c r="AJ643">
        <v>1</v>
      </c>
      <c r="AK643">
        <v>1</v>
      </c>
      <c r="AL643" t="s">
        <v>240</v>
      </c>
      <c r="AM643" t="s">
        <v>241</v>
      </c>
      <c r="AN643" t="s">
        <v>242</v>
      </c>
      <c r="AO643" t="s">
        <v>243</v>
      </c>
      <c r="AP643" t="s">
        <v>244</v>
      </c>
      <c r="AQ643" t="s">
        <v>72</v>
      </c>
      <c r="AR643" t="s">
        <v>245</v>
      </c>
      <c r="AS643" t="s">
        <v>246</v>
      </c>
      <c r="AT643" t="s">
        <v>395</v>
      </c>
      <c r="AU643">
        <v>2022</v>
      </c>
      <c r="AV643">
        <v>30</v>
      </c>
      <c r="AW643">
        <v>4</v>
      </c>
      <c r="AX643" t="s">
        <v>72</v>
      </c>
      <c r="AY643" t="s">
        <v>72</v>
      </c>
      <c r="AZ643" t="s">
        <v>72</v>
      </c>
      <c r="BA643" t="s">
        <v>72</v>
      </c>
      <c r="BB643">
        <v>570</v>
      </c>
      <c r="BC643">
        <v>589</v>
      </c>
      <c r="BD643" t="s">
        <v>15648</v>
      </c>
      <c r="BE643" t="s">
        <v>15649</v>
      </c>
      <c r="BF643" t="str">
        <f>HYPERLINK("http://dx.doi.org/10.1017/pan.2021.33","http://dx.doi.org/10.1017/pan.2021.33")</f>
        <v>http://dx.doi.org/10.1017/pan.2021.33</v>
      </c>
      <c r="BG643" t="s">
        <v>72</v>
      </c>
      <c r="BH643" t="s">
        <v>2792</v>
      </c>
      <c r="BI643">
        <v>20</v>
      </c>
      <c r="BJ643" t="s">
        <v>219</v>
      </c>
      <c r="BK643" s="1" t="s">
        <v>17619</v>
      </c>
      <c r="BL643" t="s">
        <v>4521</v>
      </c>
      <c r="BM643" t="s">
        <v>72</v>
      </c>
      <c r="BN643" t="s">
        <v>72</v>
      </c>
      <c r="BO643" t="s">
        <v>72</v>
      </c>
      <c r="BP643" t="s">
        <v>72</v>
      </c>
      <c r="BQ643" t="s">
        <v>100</v>
      </c>
      <c r="BR643" t="s">
        <v>15650</v>
      </c>
      <c r="BS643" t="str">
        <f>HYPERLINK("https%3A%2F%2Fwww.webofscience.com%2Fwos%2Fwoscc%2Ffull-record%2FWOS:000778892900001","View Full Record in Web of Science")</f>
        <v>View Full Record in Web of Science</v>
      </c>
    </row>
    <row r="644" spans="1:71" x14ac:dyDescent="0.2">
      <c r="A644" t="s">
        <v>70</v>
      </c>
      <c r="B644" t="s">
        <v>15666</v>
      </c>
      <c r="C644" t="s">
        <v>72</v>
      </c>
      <c r="D644" t="s">
        <v>72</v>
      </c>
      <c r="E644" t="s">
        <v>72</v>
      </c>
      <c r="F644" t="s">
        <v>15667</v>
      </c>
      <c r="G644" t="s">
        <v>72</v>
      </c>
      <c r="H644" t="s">
        <v>72</v>
      </c>
      <c r="I644" t="s">
        <v>15668</v>
      </c>
      <c r="J644" t="s">
        <v>227</v>
      </c>
      <c r="K644" t="s">
        <v>72</v>
      </c>
      <c r="L644" t="s">
        <v>72</v>
      </c>
      <c r="M644" t="s">
        <v>76</v>
      </c>
      <c r="N644" t="s">
        <v>77</v>
      </c>
      <c r="O644" t="s">
        <v>72</v>
      </c>
      <c r="P644" t="s">
        <v>72</v>
      </c>
      <c r="Q644" t="s">
        <v>72</v>
      </c>
      <c r="R644" t="s">
        <v>72</v>
      </c>
      <c r="S644" t="s">
        <v>72</v>
      </c>
      <c r="T644" t="s">
        <v>15669</v>
      </c>
      <c r="U644" t="s">
        <v>15670</v>
      </c>
      <c r="V644" t="s">
        <v>15671</v>
      </c>
      <c r="W644" t="s">
        <v>15672</v>
      </c>
      <c r="X644" t="s">
        <v>15673</v>
      </c>
      <c r="Y644" t="s">
        <v>15674</v>
      </c>
      <c r="Z644" t="s">
        <v>15675</v>
      </c>
      <c r="AA644" t="s">
        <v>72</v>
      </c>
      <c r="AB644" t="s">
        <v>15676</v>
      </c>
      <c r="AC644" t="s">
        <v>72</v>
      </c>
      <c r="AD644" t="s">
        <v>72</v>
      </c>
      <c r="AE644" t="s">
        <v>72</v>
      </c>
      <c r="AF644" t="s">
        <v>72</v>
      </c>
      <c r="AG644">
        <v>65</v>
      </c>
      <c r="AH644">
        <v>20</v>
      </c>
      <c r="AI644">
        <v>21</v>
      </c>
      <c r="AJ644">
        <v>2</v>
      </c>
      <c r="AK644">
        <v>21</v>
      </c>
      <c r="AL644" t="s">
        <v>240</v>
      </c>
      <c r="AM644" t="s">
        <v>241</v>
      </c>
      <c r="AN644" t="s">
        <v>242</v>
      </c>
      <c r="AO644" t="s">
        <v>243</v>
      </c>
      <c r="AP644" t="s">
        <v>244</v>
      </c>
      <c r="AQ644" t="s">
        <v>72</v>
      </c>
      <c r="AR644" t="s">
        <v>245</v>
      </c>
      <c r="AS644" t="s">
        <v>246</v>
      </c>
      <c r="AT644" t="s">
        <v>247</v>
      </c>
      <c r="AU644">
        <v>2020</v>
      </c>
      <c r="AV644">
        <v>28</v>
      </c>
      <c r="AW644">
        <v>1</v>
      </c>
      <c r="AX644" t="s">
        <v>72</v>
      </c>
      <c r="AY644" t="s">
        <v>72</v>
      </c>
      <c r="AZ644" t="s">
        <v>72</v>
      </c>
      <c r="BA644" t="s">
        <v>72</v>
      </c>
      <c r="BB644">
        <v>112</v>
      </c>
      <c r="BC644">
        <v>133</v>
      </c>
      <c r="BD644" t="s">
        <v>15677</v>
      </c>
      <c r="BE644" t="s">
        <v>15678</v>
      </c>
      <c r="BF644" t="str">
        <f>HYPERLINK("http://dx.doi.org/10.1017/pan.2019.26","http://dx.doi.org/10.1017/pan.2019.26")</f>
        <v>http://dx.doi.org/10.1017/pan.2019.26</v>
      </c>
      <c r="BG644" t="s">
        <v>72</v>
      </c>
      <c r="BH644" t="s">
        <v>72</v>
      </c>
      <c r="BI644">
        <v>22</v>
      </c>
      <c r="BJ644" t="s">
        <v>219</v>
      </c>
      <c r="BK644" s="1" t="s">
        <v>17619</v>
      </c>
      <c r="BL644" t="s">
        <v>1191</v>
      </c>
      <c r="BM644" t="s">
        <v>72</v>
      </c>
      <c r="BN644" t="s">
        <v>72</v>
      </c>
      <c r="BO644" t="s">
        <v>72</v>
      </c>
      <c r="BP644" t="s">
        <v>72</v>
      </c>
      <c r="BQ644" t="s">
        <v>100</v>
      </c>
      <c r="BR644" t="s">
        <v>15679</v>
      </c>
      <c r="BS644" t="str">
        <f>HYPERLINK("https%3A%2F%2Fwww.webofscience.com%2Fwos%2Fwoscc%2Ffull-record%2FWOS:000500352700006","View Full Record in Web of Science")</f>
        <v>View Full Record in Web of Science</v>
      </c>
    </row>
    <row r="645" spans="1:71" x14ac:dyDescent="0.2">
      <c r="A645" t="s">
        <v>70</v>
      </c>
      <c r="B645" t="s">
        <v>15903</v>
      </c>
      <c r="C645" t="s">
        <v>72</v>
      </c>
      <c r="D645" t="s">
        <v>72</v>
      </c>
      <c r="E645" t="s">
        <v>72</v>
      </c>
      <c r="F645" t="s">
        <v>15904</v>
      </c>
      <c r="G645" t="s">
        <v>72</v>
      </c>
      <c r="H645" t="s">
        <v>72</v>
      </c>
      <c r="I645" t="s">
        <v>15905</v>
      </c>
      <c r="J645" t="s">
        <v>1978</v>
      </c>
      <c r="K645" t="s">
        <v>72</v>
      </c>
      <c r="L645" t="s">
        <v>72</v>
      </c>
      <c r="M645" t="s">
        <v>76</v>
      </c>
      <c r="N645" t="s">
        <v>77</v>
      </c>
      <c r="O645" t="s">
        <v>72</v>
      </c>
      <c r="P645" t="s">
        <v>72</v>
      </c>
      <c r="Q645" t="s">
        <v>72</v>
      </c>
      <c r="R645" t="s">
        <v>72</v>
      </c>
      <c r="S645" t="s">
        <v>72</v>
      </c>
      <c r="T645" t="s">
        <v>15906</v>
      </c>
      <c r="U645" t="s">
        <v>15907</v>
      </c>
      <c r="V645" t="s">
        <v>15908</v>
      </c>
      <c r="W645" t="s">
        <v>72</v>
      </c>
      <c r="X645" t="s">
        <v>72</v>
      </c>
      <c r="Y645" t="s">
        <v>72</v>
      </c>
      <c r="Z645" t="s">
        <v>15909</v>
      </c>
      <c r="AA645" t="s">
        <v>15910</v>
      </c>
      <c r="AB645" t="s">
        <v>72</v>
      </c>
      <c r="AC645" t="s">
        <v>72</v>
      </c>
      <c r="AD645" t="s">
        <v>72</v>
      </c>
      <c r="AE645" t="s">
        <v>72</v>
      </c>
      <c r="AF645" t="s">
        <v>72</v>
      </c>
      <c r="AG645">
        <v>44</v>
      </c>
      <c r="AH645">
        <v>2</v>
      </c>
      <c r="AI645">
        <v>2</v>
      </c>
      <c r="AJ645">
        <v>2</v>
      </c>
      <c r="AK645">
        <v>7</v>
      </c>
      <c r="AL645" t="s">
        <v>88</v>
      </c>
      <c r="AM645" t="s">
        <v>707</v>
      </c>
      <c r="AN645" t="s">
        <v>1987</v>
      </c>
      <c r="AO645" t="s">
        <v>1988</v>
      </c>
      <c r="AP645" t="s">
        <v>1989</v>
      </c>
      <c r="AQ645" t="s">
        <v>72</v>
      </c>
      <c r="AR645" t="s">
        <v>1990</v>
      </c>
      <c r="AS645" t="s">
        <v>1991</v>
      </c>
      <c r="AT645" t="s">
        <v>929</v>
      </c>
      <c r="AU645">
        <v>2019</v>
      </c>
      <c r="AV645">
        <v>60</v>
      </c>
      <c r="AW645">
        <v>4</v>
      </c>
      <c r="AX645" t="s">
        <v>72</v>
      </c>
      <c r="AY645" t="s">
        <v>72</v>
      </c>
      <c r="AZ645" t="s">
        <v>478</v>
      </c>
      <c r="BA645" t="s">
        <v>72</v>
      </c>
      <c r="BB645">
        <v>805</v>
      </c>
      <c r="BC645">
        <v>821</v>
      </c>
      <c r="BD645" t="s">
        <v>72</v>
      </c>
      <c r="BE645" t="s">
        <v>15911</v>
      </c>
      <c r="BF645" t="str">
        <f>HYPERLINK("http://dx.doi.org/10.1007/s11615-019-00213-6","http://dx.doi.org/10.1007/s11615-019-00213-6")</f>
        <v>http://dx.doi.org/10.1007/s11615-019-00213-6</v>
      </c>
      <c r="BG645" t="s">
        <v>72</v>
      </c>
      <c r="BH645" t="s">
        <v>72</v>
      </c>
      <c r="BI645">
        <v>17</v>
      </c>
      <c r="BJ645" t="s">
        <v>219</v>
      </c>
      <c r="BK645" s="1" t="s">
        <v>17619</v>
      </c>
      <c r="BL645" t="s">
        <v>15912</v>
      </c>
      <c r="BM645" t="s">
        <v>72</v>
      </c>
      <c r="BN645" t="s">
        <v>280</v>
      </c>
      <c r="BO645" t="s">
        <v>72</v>
      </c>
      <c r="BP645" t="s">
        <v>72</v>
      </c>
      <c r="BQ645" t="s">
        <v>100</v>
      </c>
      <c r="BR645" t="s">
        <v>15913</v>
      </c>
      <c r="BS645" t="str">
        <f>HYPERLINK("https%3A%2F%2Fwww.webofscience.com%2Fwos%2Fwoscc%2Ffull-record%2FWOS:000511685900008","View Full Record in Web of Science")</f>
        <v>View Full Record in Web of Science</v>
      </c>
    </row>
    <row r="646" spans="1:71" x14ac:dyDescent="0.2">
      <c r="A646" t="s">
        <v>70</v>
      </c>
      <c r="B646" t="s">
        <v>16052</v>
      </c>
      <c r="C646" t="s">
        <v>72</v>
      </c>
      <c r="D646" t="s">
        <v>72</v>
      </c>
      <c r="E646" t="s">
        <v>72</v>
      </c>
      <c r="F646" t="s">
        <v>16053</v>
      </c>
      <c r="G646" t="s">
        <v>72</v>
      </c>
      <c r="H646" t="s">
        <v>72</v>
      </c>
      <c r="I646" t="s">
        <v>16054</v>
      </c>
      <c r="J646" t="s">
        <v>6805</v>
      </c>
      <c r="K646" t="s">
        <v>72</v>
      </c>
      <c r="L646" t="s">
        <v>72</v>
      </c>
      <c r="M646" t="s">
        <v>76</v>
      </c>
      <c r="N646" t="s">
        <v>77</v>
      </c>
      <c r="O646" t="s">
        <v>72</v>
      </c>
      <c r="P646" t="s">
        <v>72</v>
      </c>
      <c r="Q646" t="s">
        <v>72</v>
      </c>
      <c r="R646" t="s">
        <v>72</v>
      </c>
      <c r="S646" t="s">
        <v>72</v>
      </c>
      <c r="T646" t="s">
        <v>72</v>
      </c>
      <c r="U646" t="s">
        <v>16055</v>
      </c>
      <c r="V646" t="s">
        <v>16056</v>
      </c>
      <c r="W646" t="s">
        <v>16057</v>
      </c>
      <c r="X646" t="s">
        <v>3919</v>
      </c>
      <c r="Y646" t="s">
        <v>16058</v>
      </c>
      <c r="Z646" t="s">
        <v>72</v>
      </c>
      <c r="AA646" t="s">
        <v>72</v>
      </c>
      <c r="AB646" t="s">
        <v>72</v>
      </c>
      <c r="AC646" t="s">
        <v>72</v>
      </c>
      <c r="AD646" t="s">
        <v>72</v>
      </c>
      <c r="AE646" t="s">
        <v>72</v>
      </c>
      <c r="AF646" t="s">
        <v>72</v>
      </c>
      <c r="AG646">
        <v>20</v>
      </c>
      <c r="AH646">
        <v>4</v>
      </c>
      <c r="AI646">
        <v>4</v>
      </c>
      <c r="AJ646">
        <v>2</v>
      </c>
      <c r="AK646">
        <v>13</v>
      </c>
      <c r="AL646" t="s">
        <v>1260</v>
      </c>
      <c r="AM646" t="s">
        <v>964</v>
      </c>
      <c r="AN646" t="s">
        <v>965</v>
      </c>
      <c r="AO646" t="s">
        <v>6811</v>
      </c>
      <c r="AP646" t="s">
        <v>6812</v>
      </c>
      <c r="AQ646" t="s">
        <v>72</v>
      </c>
      <c r="AR646" t="s">
        <v>6813</v>
      </c>
      <c r="AS646" t="s">
        <v>6814</v>
      </c>
      <c r="AT646" t="s">
        <v>299</v>
      </c>
      <c r="AU646">
        <v>2020</v>
      </c>
      <c r="AV646">
        <v>50</v>
      </c>
      <c r="AW646">
        <v>2</v>
      </c>
      <c r="AX646" t="s">
        <v>72</v>
      </c>
      <c r="AY646" t="s">
        <v>72</v>
      </c>
      <c r="AZ646" t="s">
        <v>72</v>
      </c>
      <c r="BA646" t="s">
        <v>72</v>
      </c>
      <c r="BB646">
        <v>240</v>
      </c>
      <c r="BC646">
        <v>263</v>
      </c>
      <c r="BD646" t="s">
        <v>72</v>
      </c>
      <c r="BE646" t="s">
        <v>16059</v>
      </c>
      <c r="BF646" t="str">
        <f>HYPERLINK("http://dx.doi.org/10.1111/psq.12656","http://dx.doi.org/10.1111/psq.12656")</f>
        <v>http://dx.doi.org/10.1111/psq.12656</v>
      </c>
      <c r="BG646" t="s">
        <v>72</v>
      </c>
      <c r="BH646" t="s">
        <v>2656</v>
      </c>
      <c r="BI646">
        <v>24</v>
      </c>
      <c r="BJ646" t="s">
        <v>219</v>
      </c>
      <c r="BK646" s="1" t="s">
        <v>17619</v>
      </c>
      <c r="BL646" t="s">
        <v>16060</v>
      </c>
      <c r="BM646" t="s">
        <v>72</v>
      </c>
      <c r="BN646" t="s">
        <v>72</v>
      </c>
      <c r="BO646" t="s">
        <v>72</v>
      </c>
      <c r="BP646" t="s">
        <v>72</v>
      </c>
      <c r="BQ646" t="s">
        <v>100</v>
      </c>
      <c r="BR646" t="s">
        <v>16061</v>
      </c>
      <c r="BS646" t="str">
        <f>HYPERLINK("https%3A%2F%2Fwww.webofscience.com%2Fwos%2Fwoscc%2Ffull-record%2FWOS:000528510700001","View Full Record in Web of Science")</f>
        <v>View Full Record in Web of Science</v>
      </c>
    </row>
    <row r="647" spans="1:71" x14ac:dyDescent="0.2">
      <c r="A647" t="s">
        <v>70</v>
      </c>
      <c r="B647" t="s">
        <v>16200</v>
      </c>
      <c r="C647" t="s">
        <v>72</v>
      </c>
      <c r="D647" t="s">
        <v>72</v>
      </c>
      <c r="E647" t="s">
        <v>72</v>
      </c>
      <c r="F647" t="s">
        <v>16201</v>
      </c>
      <c r="G647" t="s">
        <v>72</v>
      </c>
      <c r="H647" t="s">
        <v>72</v>
      </c>
      <c r="I647" t="s">
        <v>16202</v>
      </c>
      <c r="J647" t="s">
        <v>5130</v>
      </c>
      <c r="K647" t="s">
        <v>72</v>
      </c>
      <c r="L647" t="s">
        <v>72</v>
      </c>
      <c r="M647" t="s">
        <v>76</v>
      </c>
      <c r="N647" t="s">
        <v>77</v>
      </c>
      <c r="O647" t="s">
        <v>72</v>
      </c>
      <c r="P647" t="s">
        <v>72</v>
      </c>
      <c r="Q647" t="s">
        <v>72</v>
      </c>
      <c r="R647" t="s">
        <v>72</v>
      </c>
      <c r="S647" t="s">
        <v>72</v>
      </c>
      <c r="T647" t="s">
        <v>72</v>
      </c>
      <c r="U647" t="s">
        <v>72</v>
      </c>
      <c r="V647" t="s">
        <v>16203</v>
      </c>
      <c r="W647" t="s">
        <v>16204</v>
      </c>
      <c r="X647" t="s">
        <v>2379</v>
      </c>
      <c r="Y647" t="s">
        <v>16205</v>
      </c>
      <c r="Z647" t="s">
        <v>16206</v>
      </c>
      <c r="AA647" t="s">
        <v>72</v>
      </c>
      <c r="AB647" t="s">
        <v>16207</v>
      </c>
      <c r="AC647" t="s">
        <v>16208</v>
      </c>
      <c r="AD647" t="s">
        <v>16208</v>
      </c>
      <c r="AE647" t="s">
        <v>16209</v>
      </c>
      <c r="AF647" t="s">
        <v>72</v>
      </c>
      <c r="AG647">
        <v>45</v>
      </c>
      <c r="AH647">
        <v>0</v>
      </c>
      <c r="AI647">
        <v>0</v>
      </c>
      <c r="AJ647">
        <v>3</v>
      </c>
      <c r="AK647">
        <v>3</v>
      </c>
      <c r="AL647" t="s">
        <v>1260</v>
      </c>
      <c r="AM647" t="s">
        <v>964</v>
      </c>
      <c r="AN647" t="s">
        <v>965</v>
      </c>
      <c r="AO647" t="s">
        <v>5141</v>
      </c>
      <c r="AP647" t="s">
        <v>5142</v>
      </c>
      <c r="AQ647" t="s">
        <v>72</v>
      </c>
      <c r="AR647" t="s">
        <v>5143</v>
      </c>
      <c r="AS647" t="s">
        <v>5144</v>
      </c>
      <c r="AT647" t="s">
        <v>299</v>
      </c>
      <c r="AU647">
        <v>2022</v>
      </c>
      <c r="AV647">
        <v>19</v>
      </c>
      <c r="AW647">
        <v>2</v>
      </c>
      <c r="AX647" t="s">
        <v>72</v>
      </c>
      <c r="AY647" t="s">
        <v>72</v>
      </c>
      <c r="AZ647" t="s">
        <v>72</v>
      </c>
      <c r="BA647" t="s">
        <v>72</v>
      </c>
      <c r="BB647">
        <v>491</v>
      </c>
      <c r="BC647">
        <v>524</v>
      </c>
      <c r="BD647" t="s">
        <v>72</v>
      </c>
      <c r="BE647" t="s">
        <v>16210</v>
      </c>
      <c r="BF647" t="str">
        <f>HYPERLINK("http://dx.doi.org/10.1111/jels.12313","http://dx.doi.org/10.1111/jels.12313")</f>
        <v>http://dx.doi.org/10.1111/jels.12313</v>
      </c>
      <c r="BG647" t="s">
        <v>72</v>
      </c>
      <c r="BH647" t="s">
        <v>1770</v>
      </c>
      <c r="BI647">
        <v>34</v>
      </c>
      <c r="BJ647" t="s">
        <v>3261</v>
      </c>
      <c r="BK647" s="1" t="s">
        <v>17619</v>
      </c>
      <c r="BL647" t="s">
        <v>16211</v>
      </c>
      <c r="BM647" t="s">
        <v>72</v>
      </c>
      <c r="BN647" t="s">
        <v>1128</v>
      </c>
      <c r="BO647" t="s">
        <v>72</v>
      </c>
      <c r="BP647" t="s">
        <v>72</v>
      </c>
      <c r="BQ647" t="s">
        <v>100</v>
      </c>
      <c r="BR647" t="s">
        <v>16212</v>
      </c>
      <c r="BS647" t="str">
        <f>HYPERLINK("https%3A%2F%2Fwww.webofscience.com%2Fwos%2Fwoscc%2Ffull-record%2FWOS:000783423400001","View Full Record in Web of Science")</f>
        <v>View Full Record in Web of Science</v>
      </c>
    </row>
    <row r="648" spans="1:71" x14ac:dyDescent="0.2">
      <c r="A648" t="s">
        <v>70</v>
      </c>
      <c r="B648" t="s">
        <v>16327</v>
      </c>
      <c r="C648" t="s">
        <v>72</v>
      </c>
      <c r="D648" t="s">
        <v>72</v>
      </c>
      <c r="E648" t="s">
        <v>72</v>
      </c>
      <c r="F648" t="s">
        <v>16328</v>
      </c>
      <c r="G648" t="s">
        <v>72</v>
      </c>
      <c r="H648" t="s">
        <v>72</v>
      </c>
      <c r="I648" t="s">
        <v>16329</v>
      </c>
      <c r="J648" t="s">
        <v>227</v>
      </c>
      <c r="K648" t="s">
        <v>72</v>
      </c>
      <c r="L648" t="s">
        <v>72</v>
      </c>
      <c r="M648" t="s">
        <v>76</v>
      </c>
      <c r="N648" t="s">
        <v>77</v>
      </c>
      <c r="O648" t="s">
        <v>72</v>
      </c>
      <c r="P648" t="s">
        <v>72</v>
      </c>
      <c r="Q648" t="s">
        <v>72</v>
      </c>
      <c r="R648" t="s">
        <v>72</v>
      </c>
      <c r="S648" t="s">
        <v>72</v>
      </c>
      <c r="T648" t="s">
        <v>16330</v>
      </c>
      <c r="U648" t="s">
        <v>16331</v>
      </c>
      <c r="V648" t="s">
        <v>16332</v>
      </c>
      <c r="W648" t="s">
        <v>16333</v>
      </c>
      <c r="X648" t="s">
        <v>8579</v>
      </c>
      <c r="Y648" t="s">
        <v>16334</v>
      </c>
      <c r="Z648" t="s">
        <v>16335</v>
      </c>
      <c r="AA648" t="s">
        <v>72</v>
      </c>
      <c r="AB648" t="s">
        <v>16336</v>
      </c>
      <c r="AC648" t="s">
        <v>72</v>
      </c>
      <c r="AD648" t="s">
        <v>72</v>
      </c>
      <c r="AE648" t="s">
        <v>72</v>
      </c>
      <c r="AF648" t="s">
        <v>72</v>
      </c>
      <c r="AG648">
        <v>70</v>
      </c>
      <c r="AH648">
        <v>0</v>
      </c>
      <c r="AI648">
        <v>0</v>
      </c>
      <c r="AJ648">
        <v>3</v>
      </c>
      <c r="AK648">
        <v>4</v>
      </c>
      <c r="AL648" t="s">
        <v>240</v>
      </c>
      <c r="AM648" t="s">
        <v>241</v>
      </c>
      <c r="AN648" t="s">
        <v>242</v>
      </c>
      <c r="AO648" t="s">
        <v>243</v>
      </c>
      <c r="AP648" t="s">
        <v>244</v>
      </c>
      <c r="AQ648" t="s">
        <v>72</v>
      </c>
      <c r="AR648" t="s">
        <v>245</v>
      </c>
      <c r="AS648" t="s">
        <v>246</v>
      </c>
      <c r="AT648" t="s">
        <v>776</v>
      </c>
      <c r="AU648">
        <v>2022</v>
      </c>
      <c r="AV648">
        <v>30</v>
      </c>
      <c r="AW648">
        <v>3</v>
      </c>
      <c r="AX648" t="s">
        <v>72</v>
      </c>
      <c r="AY648" t="s">
        <v>72</v>
      </c>
      <c r="AZ648" t="s">
        <v>72</v>
      </c>
      <c r="BA648" t="s">
        <v>72</v>
      </c>
      <c r="BB648">
        <v>311</v>
      </c>
      <c r="BC648">
        <v>327</v>
      </c>
      <c r="BD648" t="s">
        <v>16337</v>
      </c>
      <c r="BE648" t="s">
        <v>16338</v>
      </c>
      <c r="BF648" t="str">
        <f>HYPERLINK("http://dx.doi.org/10.1017/pan.2021.29","http://dx.doi.org/10.1017/pan.2021.29")</f>
        <v>http://dx.doi.org/10.1017/pan.2021.29</v>
      </c>
      <c r="BG648" t="s">
        <v>72</v>
      </c>
      <c r="BH648" t="s">
        <v>5580</v>
      </c>
      <c r="BI648">
        <v>17</v>
      </c>
      <c r="BJ648" t="s">
        <v>219</v>
      </c>
      <c r="BK648" s="1" t="s">
        <v>17619</v>
      </c>
      <c r="BL648" t="s">
        <v>16339</v>
      </c>
      <c r="BM648" t="s">
        <v>72</v>
      </c>
      <c r="BN648" t="s">
        <v>2403</v>
      </c>
      <c r="BO648" t="s">
        <v>72</v>
      </c>
      <c r="BP648" t="s">
        <v>72</v>
      </c>
      <c r="BQ648" t="s">
        <v>100</v>
      </c>
      <c r="BR648" t="s">
        <v>16340</v>
      </c>
      <c r="BS648" t="str">
        <f>HYPERLINK("https%3A%2F%2Fwww.webofscience.com%2Fwos%2Fwoscc%2Ffull-record%2FWOS:000779558200001","View Full Record in Web of Science")</f>
        <v>View Full Record in Web of Science</v>
      </c>
    </row>
    <row r="649" spans="1:71" x14ac:dyDescent="0.2">
      <c r="A649" t="s">
        <v>70</v>
      </c>
      <c r="B649" t="s">
        <v>16417</v>
      </c>
      <c r="C649" t="s">
        <v>72</v>
      </c>
      <c r="D649" t="s">
        <v>72</v>
      </c>
      <c r="E649" t="s">
        <v>72</v>
      </c>
      <c r="F649" t="s">
        <v>16418</v>
      </c>
      <c r="G649" t="s">
        <v>72</v>
      </c>
      <c r="H649" t="s">
        <v>72</v>
      </c>
      <c r="I649" t="s">
        <v>16419</v>
      </c>
      <c r="J649" t="s">
        <v>227</v>
      </c>
      <c r="K649" t="s">
        <v>72</v>
      </c>
      <c r="L649" t="s">
        <v>72</v>
      </c>
      <c r="M649" t="s">
        <v>76</v>
      </c>
      <c r="N649" t="s">
        <v>352</v>
      </c>
      <c r="O649" t="s">
        <v>72</v>
      </c>
      <c r="P649" t="s">
        <v>72</v>
      </c>
      <c r="Q649" t="s">
        <v>72</v>
      </c>
      <c r="R649" t="s">
        <v>72</v>
      </c>
      <c r="S649" t="s">
        <v>72</v>
      </c>
      <c r="T649" t="s">
        <v>16420</v>
      </c>
      <c r="U649" t="s">
        <v>16421</v>
      </c>
      <c r="V649" t="s">
        <v>16422</v>
      </c>
      <c r="W649" t="s">
        <v>16423</v>
      </c>
      <c r="X649" t="s">
        <v>10060</v>
      </c>
      <c r="Y649" t="s">
        <v>16424</v>
      </c>
      <c r="Z649" t="s">
        <v>16425</v>
      </c>
      <c r="AA649" t="s">
        <v>72</v>
      </c>
      <c r="AB649" t="s">
        <v>16426</v>
      </c>
      <c r="AC649" t="s">
        <v>16427</v>
      </c>
      <c r="AD649" t="s">
        <v>16427</v>
      </c>
      <c r="AE649" t="s">
        <v>16428</v>
      </c>
      <c r="AF649" t="s">
        <v>72</v>
      </c>
      <c r="AG649">
        <v>35</v>
      </c>
      <c r="AH649">
        <v>0</v>
      </c>
      <c r="AI649">
        <v>0</v>
      </c>
      <c r="AJ649">
        <v>7</v>
      </c>
      <c r="AK649">
        <v>10</v>
      </c>
      <c r="AL649" t="s">
        <v>240</v>
      </c>
      <c r="AM649" t="s">
        <v>241</v>
      </c>
      <c r="AN649" t="s">
        <v>242</v>
      </c>
      <c r="AO649" t="s">
        <v>243</v>
      </c>
      <c r="AP649" t="s">
        <v>244</v>
      </c>
      <c r="AQ649" t="s">
        <v>72</v>
      </c>
      <c r="AR649" t="s">
        <v>245</v>
      </c>
      <c r="AS649" t="s">
        <v>246</v>
      </c>
      <c r="AT649" t="s">
        <v>72</v>
      </c>
      <c r="AU649" t="s">
        <v>72</v>
      </c>
      <c r="AV649" t="s">
        <v>72</v>
      </c>
      <c r="AW649" t="s">
        <v>72</v>
      </c>
      <c r="AX649" t="s">
        <v>72</v>
      </c>
      <c r="AY649" t="s">
        <v>72</v>
      </c>
      <c r="AZ649" t="s">
        <v>72</v>
      </c>
      <c r="BA649" t="s">
        <v>72</v>
      </c>
      <c r="BB649" t="s">
        <v>72</v>
      </c>
      <c r="BC649" t="s">
        <v>72</v>
      </c>
      <c r="BD649" t="s">
        <v>16429</v>
      </c>
      <c r="BE649" t="s">
        <v>16430</v>
      </c>
      <c r="BF649" t="str">
        <f>HYPERLINK("http://dx.doi.org/10.1017/pan.2022.10","http://dx.doi.org/10.1017/pan.2022.10")</f>
        <v>http://dx.doi.org/10.1017/pan.2022.10</v>
      </c>
      <c r="BG649" t="s">
        <v>72</v>
      </c>
      <c r="BH649" t="s">
        <v>1770</v>
      </c>
      <c r="BI649">
        <v>22</v>
      </c>
      <c r="BJ649" t="s">
        <v>219</v>
      </c>
      <c r="BK649" s="1" t="s">
        <v>17619</v>
      </c>
      <c r="BL649" t="s">
        <v>16431</v>
      </c>
      <c r="BM649" t="s">
        <v>72</v>
      </c>
      <c r="BN649" t="s">
        <v>280</v>
      </c>
      <c r="BO649" t="s">
        <v>72</v>
      </c>
      <c r="BP649" t="s">
        <v>72</v>
      </c>
      <c r="BQ649" t="s">
        <v>100</v>
      </c>
      <c r="BR649" t="s">
        <v>16432</v>
      </c>
      <c r="BS649" t="str">
        <f>HYPERLINK("https%3A%2F%2Fwww.webofscience.com%2Fwos%2Fwoscc%2Ffull-record%2FWOS:000786402200001","View Full Record in Web of Science")</f>
        <v>View Full Record in Web of Science</v>
      </c>
    </row>
    <row r="650" spans="1:71" x14ac:dyDescent="0.2">
      <c r="A650" t="s">
        <v>70</v>
      </c>
      <c r="B650" t="s">
        <v>13828</v>
      </c>
      <c r="C650" t="s">
        <v>72</v>
      </c>
      <c r="D650" t="s">
        <v>72</v>
      </c>
      <c r="E650" t="s">
        <v>72</v>
      </c>
      <c r="F650" t="s">
        <v>13830</v>
      </c>
      <c r="G650" t="s">
        <v>72</v>
      </c>
      <c r="H650" t="s">
        <v>72</v>
      </c>
      <c r="I650" t="s">
        <v>16443</v>
      </c>
      <c r="J650" t="s">
        <v>11806</v>
      </c>
      <c r="K650" t="s">
        <v>72</v>
      </c>
      <c r="L650" t="s">
        <v>72</v>
      </c>
      <c r="M650" t="s">
        <v>76</v>
      </c>
      <c r="N650" t="s">
        <v>77</v>
      </c>
      <c r="O650" t="s">
        <v>72</v>
      </c>
      <c r="P650" t="s">
        <v>72</v>
      </c>
      <c r="Q650" t="s">
        <v>72</v>
      </c>
      <c r="R650" t="s">
        <v>72</v>
      </c>
      <c r="S650" t="s">
        <v>72</v>
      </c>
      <c r="T650" t="s">
        <v>72</v>
      </c>
      <c r="U650" t="s">
        <v>16444</v>
      </c>
      <c r="V650" t="s">
        <v>16445</v>
      </c>
      <c r="W650" t="s">
        <v>16446</v>
      </c>
      <c r="X650" t="s">
        <v>13840</v>
      </c>
      <c r="Y650" t="s">
        <v>16447</v>
      </c>
      <c r="Z650" t="s">
        <v>16448</v>
      </c>
      <c r="AA650" t="s">
        <v>5136</v>
      </c>
      <c r="AB650" t="s">
        <v>5137</v>
      </c>
      <c r="AC650" t="s">
        <v>16449</v>
      </c>
      <c r="AD650" t="s">
        <v>16450</v>
      </c>
      <c r="AE650" t="s">
        <v>16451</v>
      </c>
      <c r="AF650" t="s">
        <v>72</v>
      </c>
      <c r="AG650">
        <v>50</v>
      </c>
      <c r="AH650">
        <v>51</v>
      </c>
      <c r="AI650">
        <v>52</v>
      </c>
      <c r="AJ650">
        <v>0</v>
      </c>
      <c r="AK650">
        <v>13</v>
      </c>
      <c r="AL650" t="s">
        <v>879</v>
      </c>
      <c r="AM650" t="s">
        <v>451</v>
      </c>
      <c r="AN650" t="s">
        <v>880</v>
      </c>
      <c r="AO650" t="s">
        <v>11815</v>
      </c>
      <c r="AP650" t="s">
        <v>11816</v>
      </c>
      <c r="AQ650" t="s">
        <v>72</v>
      </c>
      <c r="AR650" t="s">
        <v>11817</v>
      </c>
      <c r="AS650" t="s">
        <v>11818</v>
      </c>
      <c r="AT650" t="s">
        <v>95</v>
      </c>
      <c r="AU650">
        <v>2016</v>
      </c>
      <c r="AV650">
        <v>19</v>
      </c>
      <c r="AW650">
        <v>3</v>
      </c>
      <c r="AX650" t="s">
        <v>72</v>
      </c>
      <c r="AY650" t="s">
        <v>72</v>
      </c>
      <c r="AZ650" t="s">
        <v>72</v>
      </c>
      <c r="BA650" t="s">
        <v>72</v>
      </c>
      <c r="BB650">
        <v>561</v>
      </c>
      <c r="BC650">
        <v>588</v>
      </c>
      <c r="BD650" t="s">
        <v>72</v>
      </c>
      <c r="BE650" t="s">
        <v>16452</v>
      </c>
      <c r="BF650" t="str">
        <f>HYPERLINK("http://dx.doi.org/10.1093/jiel/jgw056","http://dx.doi.org/10.1093/jiel/jgw056")</f>
        <v>http://dx.doi.org/10.1093/jiel/jgw056</v>
      </c>
      <c r="BG650" t="s">
        <v>72</v>
      </c>
      <c r="BH650" t="s">
        <v>72</v>
      </c>
      <c r="BI650">
        <v>28</v>
      </c>
      <c r="BJ650" t="s">
        <v>3261</v>
      </c>
      <c r="BK650" s="1" t="s">
        <v>17619</v>
      </c>
      <c r="BL650" t="s">
        <v>16453</v>
      </c>
      <c r="BM650" t="s">
        <v>72</v>
      </c>
      <c r="BN650" t="s">
        <v>72</v>
      </c>
      <c r="BO650" t="s">
        <v>72</v>
      </c>
      <c r="BP650" t="s">
        <v>72</v>
      </c>
      <c r="BQ650" t="s">
        <v>100</v>
      </c>
      <c r="BR650" t="s">
        <v>16454</v>
      </c>
      <c r="BS650" t="str">
        <f>HYPERLINK("https%3A%2F%2Fwww.webofscience.com%2Fwos%2Fwoscc%2Ffull-record%2FWOS:000385349100001","View Full Record in Web of Science")</f>
        <v>View Full Record in Web of Science</v>
      </c>
    </row>
    <row r="651" spans="1:71" x14ac:dyDescent="0.2">
      <c r="A651" t="s">
        <v>70</v>
      </c>
      <c r="B651" t="s">
        <v>16455</v>
      </c>
      <c r="C651" t="s">
        <v>72</v>
      </c>
      <c r="D651" t="s">
        <v>72</v>
      </c>
      <c r="E651" t="s">
        <v>72</v>
      </c>
      <c r="F651" t="s">
        <v>16456</v>
      </c>
      <c r="G651" t="s">
        <v>72</v>
      </c>
      <c r="H651" t="s">
        <v>72</v>
      </c>
      <c r="I651" t="s">
        <v>16457</v>
      </c>
      <c r="J651" t="s">
        <v>9734</v>
      </c>
      <c r="K651" t="s">
        <v>72</v>
      </c>
      <c r="L651" t="s">
        <v>72</v>
      </c>
      <c r="M651" t="s">
        <v>76</v>
      </c>
      <c r="N651" t="s">
        <v>352</v>
      </c>
      <c r="O651" t="s">
        <v>72</v>
      </c>
      <c r="P651" t="s">
        <v>72</v>
      </c>
      <c r="Q651" t="s">
        <v>72</v>
      </c>
      <c r="R651" t="s">
        <v>72</v>
      </c>
      <c r="S651" t="s">
        <v>72</v>
      </c>
      <c r="T651" t="s">
        <v>16458</v>
      </c>
      <c r="U651" t="s">
        <v>16459</v>
      </c>
      <c r="V651" t="s">
        <v>16460</v>
      </c>
      <c r="W651" t="s">
        <v>16461</v>
      </c>
      <c r="X651" t="s">
        <v>16462</v>
      </c>
      <c r="Y651" t="s">
        <v>16463</v>
      </c>
      <c r="Z651" t="s">
        <v>16464</v>
      </c>
      <c r="AA651" t="s">
        <v>12701</v>
      </c>
      <c r="AB651" t="s">
        <v>12702</v>
      </c>
      <c r="AC651" t="s">
        <v>72</v>
      </c>
      <c r="AD651" t="s">
        <v>72</v>
      </c>
      <c r="AE651" t="s">
        <v>72</v>
      </c>
      <c r="AF651" t="s">
        <v>72</v>
      </c>
      <c r="AG651">
        <v>59</v>
      </c>
      <c r="AH651">
        <v>0</v>
      </c>
      <c r="AI651">
        <v>0</v>
      </c>
      <c r="AJ651">
        <v>5</v>
      </c>
      <c r="AK651">
        <v>5</v>
      </c>
      <c r="AL651" t="s">
        <v>190</v>
      </c>
      <c r="AM651" t="s">
        <v>191</v>
      </c>
      <c r="AN651" t="s">
        <v>192</v>
      </c>
      <c r="AO651" t="s">
        <v>9742</v>
      </c>
      <c r="AP651" t="s">
        <v>9743</v>
      </c>
      <c r="AQ651" t="s">
        <v>72</v>
      </c>
      <c r="AR651" t="s">
        <v>9744</v>
      </c>
      <c r="AS651" t="s">
        <v>9745</v>
      </c>
      <c r="AT651" t="s">
        <v>72</v>
      </c>
      <c r="AU651" t="s">
        <v>72</v>
      </c>
      <c r="AV651" t="s">
        <v>72</v>
      </c>
      <c r="AW651" t="s">
        <v>72</v>
      </c>
      <c r="AX651" t="s">
        <v>72</v>
      </c>
      <c r="AY651" t="s">
        <v>72</v>
      </c>
      <c r="AZ651" t="s">
        <v>72</v>
      </c>
      <c r="BA651" t="s">
        <v>72</v>
      </c>
      <c r="BB651" t="s">
        <v>72</v>
      </c>
      <c r="BC651" t="s">
        <v>72</v>
      </c>
      <c r="BD651">
        <v>1.065912921106806E+16</v>
      </c>
      <c r="BE651" t="s">
        <v>16465</v>
      </c>
      <c r="BF651" t="str">
        <f>HYPERLINK("http://dx.doi.org/10.1177/10659129211068059","http://dx.doi.org/10.1177/10659129211068059")</f>
        <v>http://dx.doi.org/10.1177/10659129211068059</v>
      </c>
      <c r="BG651" t="s">
        <v>72</v>
      </c>
      <c r="BH651" t="s">
        <v>1212</v>
      </c>
      <c r="BI651">
        <v>15</v>
      </c>
      <c r="BJ651" t="s">
        <v>219</v>
      </c>
      <c r="BK651" s="1" t="s">
        <v>17619</v>
      </c>
      <c r="BL651" t="s">
        <v>16466</v>
      </c>
      <c r="BM651" t="s">
        <v>72</v>
      </c>
      <c r="BN651" t="s">
        <v>72</v>
      </c>
      <c r="BO651" t="s">
        <v>72</v>
      </c>
      <c r="BP651" t="s">
        <v>72</v>
      </c>
      <c r="BQ651" t="s">
        <v>100</v>
      </c>
      <c r="BR651" t="s">
        <v>16467</v>
      </c>
      <c r="BS651" t="str">
        <f>HYPERLINK("https%3A%2F%2Fwww.webofscience.com%2Fwos%2Fwoscc%2Ffull-record%2FWOS:000762826900001","View Full Record in Web of Science")</f>
        <v>View Full Record in Web of Science</v>
      </c>
    </row>
    <row r="652" spans="1:71" x14ac:dyDescent="0.2">
      <c r="A652" t="s">
        <v>70</v>
      </c>
      <c r="B652" t="s">
        <v>16512</v>
      </c>
      <c r="C652" t="s">
        <v>72</v>
      </c>
      <c r="D652" t="s">
        <v>72</v>
      </c>
      <c r="E652" t="s">
        <v>72</v>
      </c>
      <c r="F652" t="s">
        <v>16513</v>
      </c>
      <c r="G652" t="s">
        <v>72</v>
      </c>
      <c r="H652" t="s">
        <v>72</v>
      </c>
      <c r="I652" t="s">
        <v>16514</v>
      </c>
      <c r="J652" t="s">
        <v>16515</v>
      </c>
      <c r="K652" t="s">
        <v>72</v>
      </c>
      <c r="L652" t="s">
        <v>72</v>
      </c>
      <c r="M652" t="s">
        <v>76</v>
      </c>
      <c r="N652" t="s">
        <v>77</v>
      </c>
      <c r="O652" t="s">
        <v>72</v>
      </c>
      <c r="P652" t="s">
        <v>72</v>
      </c>
      <c r="Q652" t="s">
        <v>72</v>
      </c>
      <c r="R652" t="s">
        <v>72</v>
      </c>
      <c r="S652" t="s">
        <v>72</v>
      </c>
      <c r="T652" t="s">
        <v>16516</v>
      </c>
      <c r="U652" t="s">
        <v>16517</v>
      </c>
      <c r="V652" t="s">
        <v>16518</v>
      </c>
      <c r="W652" t="s">
        <v>16519</v>
      </c>
      <c r="X652" t="s">
        <v>16520</v>
      </c>
      <c r="Y652" t="s">
        <v>16521</v>
      </c>
      <c r="Z652" t="s">
        <v>16522</v>
      </c>
      <c r="AA652" t="s">
        <v>16523</v>
      </c>
      <c r="AB652" t="s">
        <v>16524</v>
      </c>
      <c r="AC652" t="s">
        <v>16525</v>
      </c>
      <c r="AD652" t="s">
        <v>16526</v>
      </c>
      <c r="AE652" t="s">
        <v>16527</v>
      </c>
      <c r="AF652" t="s">
        <v>72</v>
      </c>
      <c r="AG652">
        <v>68</v>
      </c>
      <c r="AH652">
        <v>4</v>
      </c>
      <c r="AI652">
        <v>4</v>
      </c>
      <c r="AJ652">
        <v>3</v>
      </c>
      <c r="AK652">
        <v>15</v>
      </c>
      <c r="AL652" t="s">
        <v>5902</v>
      </c>
      <c r="AM652" t="s">
        <v>5903</v>
      </c>
      <c r="AN652" t="s">
        <v>5904</v>
      </c>
      <c r="AO652" t="s">
        <v>16528</v>
      </c>
      <c r="AP652" t="s">
        <v>16529</v>
      </c>
      <c r="AQ652" t="s">
        <v>72</v>
      </c>
      <c r="AR652" t="s">
        <v>16530</v>
      </c>
      <c r="AS652" t="s">
        <v>16531</v>
      </c>
      <c r="AT652" t="s">
        <v>72</v>
      </c>
      <c r="AU652">
        <v>2021</v>
      </c>
      <c r="AV652">
        <v>16</v>
      </c>
      <c r="AW652">
        <v>1</v>
      </c>
      <c r="AX652" t="s">
        <v>72</v>
      </c>
      <c r="AY652" t="s">
        <v>72</v>
      </c>
      <c r="AZ652" t="s">
        <v>72</v>
      </c>
      <c r="BA652" t="s">
        <v>72</v>
      </c>
      <c r="BB652">
        <v>71</v>
      </c>
      <c r="BC652">
        <v>104</v>
      </c>
      <c r="BD652" t="s">
        <v>72</v>
      </c>
      <c r="BE652" t="s">
        <v>16532</v>
      </c>
      <c r="BF652" t="str">
        <f>HYPERLINK("http://dx.doi.org/10.1561/100.00019045","http://dx.doi.org/10.1561/100.00019045")</f>
        <v>http://dx.doi.org/10.1561/100.00019045</v>
      </c>
      <c r="BG652" t="s">
        <v>72</v>
      </c>
      <c r="BH652" t="s">
        <v>72</v>
      </c>
      <c r="BI652">
        <v>34</v>
      </c>
      <c r="BJ652" t="s">
        <v>219</v>
      </c>
      <c r="BK652" s="1" t="s">
        <v>17619</v>
      </c>
      <c r="BL652" t="s">
        <v>16533</v>
      </c>
      <c r="BM652" t="s">
        <v>72</v>
      </c>
      <c r="BN652" t="s">
        <v>72</v>
      </c>
      <c r="BO652" t="s">
        <v>72</v>
      </c>
      <c r="BP652" t="s">
        <v>72</v>
      </c>
      <c r="BQ652" t="s">
        <v>100</v>
      </c>
      <c r="BR652" t="s">
        <v>16534</v>
      </c>
      <c r="BS652" t="str">
        <f>HYPERLINK("https%3A%2F%2Fwww.webofscience.com%2Fwos%2Fwoscc%2Ffull-record%2FWOS:000609261200003","View Full Record in Web of Science")</f>
        <v>View Full Record in Web of Science</v>
      </c>
    </row>
    <row r="653" spans="1:71" x14ac:dyDescent="0.2">
      <c r="A653" t="s">
        <v>70</v>
      </c>
      <c r="B653" t="s">
        <v>16680</v>
      </c>
      <c r="C653" t="s">
        <v>72</v>
      </c>
      <c r="D653" t="s">
        <v>72</v>
      </c>
      <c r="E653" t="s">
        <v>72</v>
      </c>
      <c r="F653" t="s">
        <v>16681</v>
      </c>
      <c r="G653" t="s">
        <v>72</v>
      </c>
      <c r="H653" t="s">
        <v>72</v>
      </c>
      <c r="I653" t="s">
        <v>16682</v>
      </c>
      <c r="J653" t="s">
        <v>4643</v>
      </c>
      <c r="K653" t="s">
        <v>72</v>
      </c>
      <c r="L653" t="s">
        <v>72</v>
      </c>
      <c r="M653" t="s">
        <v>76</v>
      </c>
      <c r="N653" t="s">
        <v>77</v>
      </c>
      <c r="O653" t="s">
        <v>72</v>
      </c>
      <c r="P653" t="s">
        <v>72</v>
      </c>
      <c r="Q653" t="s">
        <v>72</v>
      </c>
      <c r="R653" t="s">
        <v>72</v>
      </c>
      <c r="S653" t="s">
        <v>72</v>
      </c>
      <c r="T653" t="s">
        <v>16683</v>
      </c>
      <c r="U653" t="s">
        <v>16684</v>
      </c>
      <c r="V653" t="s">
        <v>16685</v>
      </c>
      <c r="W653" t="s">
        <v>16686</v>
      </c>
      <c r="X653" t="s">
        <v>2020</v>
      </c>
      <c r="Y653" t="s">
        <v>16687</v>
      </c>
      <c r="Z653" t="s">
        <v>13807</v>
      </c>
      <c r="AA653" t="s">
        <v>16688</v>
      </c>
      <c r="AB653" t="s">
        <v>16689</v>
      </c>
      <c r="AC653" t="s">
        <v>72</v>
      </c>
      <c r="AD653" t="s">
        <v>72</v>
      </c>
      <c r="AE653" t="s">
        <v>72</v>
      </c>
      <c r="AF653" t="s">
        <v>72</v>
      </c>
      <c r="AG653">
        <v>71</v>
      </c>
      <c r="AH653">
        <v>6</v>
      </c>
      <c r="AI653">
        <v>6</v>
      </c>
      <c r="AJ653">
        <v>5</v>
      </c>
      <c r="AK653">
        <v>6</v>
      </c>
      <c r="AL653" t="s">
        <v>240</v>
      </c>
      <c r="AM653" t="s">
        <v>241</v>
      </c>
      <c r="AN653" t="s">
        <v>242</v>
      </c>
      <c r="AO653" t="s">
        <v>4652</v>
      </c>
      <c r="AP653" t="s">
        <v>4653</v>
      </c>
      <c r="AQ653" t="s">
        <v>72</v>
      </c>
      <c r="AR653" t="s">
        <v>4654</v>
      </c>
      <c r="AS653" t="s">
        <v>4655</v>
      </c>
      <c r="AT653" t="s">
        <v>776</v>
      </c>
      <c r="AU653">
        <v>2022</v>
      </c>
      <c r="AV653">
        <v>10</v>
      </c>
      <c r="AW653">
        <v>3</v>
      </c>
      <c r="AX653" t="s">
        <v>72</v>
      </c>
      <c r="AY653" t="s">
        <v>72</v>
      </c>
      <c r="AZ653" t="s">
        <v>72</v>
      </c>
      <c r="BA653" t="s">
        <v>72</v>
      </c>
      <c r="BB653">
        <v>524</v>
      </c>
      <c r="BC653">
        <v>544</v>
      </c>
      <c r="BD653" t="s">
        <v>72</v>
      </c>
      <c r="BE653" t="s">
        <v>16690</v>
      </c>
      <c r="BF653" t="str">
        <f>HYPERLINK("http://dx.doi.org/10.1017/psrm.2021.64","http://dx.doi.org/10.1017/psrm.2021.64")</f>
        <v>http://dx.doi.org/10.1017/psrm.2021.64</v>
      </c>
      <c r="BG653" t="s">
        <v>72</v>
      </c>
      <c r="BH653" t="s">
        <v>1792</v>
      </c>
      <c r="BI653">
        <v>21</v>
      </c>
      <c r="BJ653" t="s">
        <v>219</v>
      </c>
      <c r="BK653" s="1" t="s">
        <v>17619</v>
      </c>
      <c r="BL653" t="s">
        <v>13811</v>
      </c>
      <c r="BM653" t="s">
        <v>72</v>
      </c>
      <c r="BN653" t="s">
        <v>346</v>
      </c>
      <c r="BO653" t="s">
        <v>72</v>
      </c>
      <c r="BP653" t="s">
        <v>72</v>
      </c>
      <c r="BQ653" t="s">
        <v>100</v>
      </c>
      <c r="BR653" t="s">
        <v>16691</v>
      </c>
      <c r="BS653" t="str">
        <f>HYPERLINK("https%3A%2F%2Fwww.webofscience.com%2Fwos%2Fwoscc%2Ffull-record%2FWOS:000792311900001","View Full Record in Web of Science")</f>
        <v>View Full Record in Web of Science</v>
      </c>
    </row>
    <row r="654" spans="1:71" x14ac:dyDescent="0.2">
      <c r="A654" t="s">
        <v>70</v>
      </c>
      <c r="B654" t="s">
        <v>16737</v>
      </c>
      <c r="C654" t="s">
        <v>72</v>
      </c>
      <c r="D654" t="s">
        <v>72</v>
      </c>
      <c r="E654" t="s">
        <v>72</v>
      </c>
      <c r="F654" t="s">
        <v>16738</v>
      </c>
      <c r="G654" t="s">
        <v>72</v>
      </c>
      <c r="H654" t="s">
        <v>72</v>
      </c>
      <c r="I654" t="s">
        <v>16739</v>
      </c>
      <c r="J654" t="s">
        <v>9734</v>
      </c>
      <c r="K654" t="s">
        <v>72</v>
      </c>
      <c r="L654" t="s">
        <v>72</v>
      </c>
      <c r="M654" t="s">
        <v>76</v>
      </c>
      <c r="N654" t="s">
        <v>352</v>
      </c>
      <c r="O654" t="s">
        <v>72</v>
      </c>
      <c r="P654" t="s">
        <v>72</v>
      </c>
      <c r="Q654" t="s">
        <v>72</v>
      </c>
      <c r="R654" t="s">
        <v>72</v>
      </c>
      <c r="S654" t="s">
        <v>72</v>
      </c>
      <c r="T654" t="s">
        <v>16740</v>
      </c>
      <c r="U654" t="s">
        <v>16741</v>
      </c>
      <c r="V654" t="s">
        <v>16742</v>
      </c>
      <c r="W654" t="s">
        <v>16743</v>
      </c>
      <c r="X654" t="s">
        <v>1825</v>
      </c>
      <c r="Y654" t="s">
        <v>16744</v>
      </c>
      <c r="Z654" t="s">
        <v>16745</v>
      </c>
      <c r="AA654" t="s">
        <v>72</v>
      </c>
      <c r="AB654" t="s">
        <v>72</v>
      </c>
      <c r="AC654" t="s">
        <v>72</v>
      </c>
      <c r="AD654" t="s">
        <v>72</v>
      </c>
      <c r="AE654" t="s">
        <v>72</v>
      </c>
      <c r="AF654" t="s">
        <v>72</v>
      </c>
      <c r="AG654">
        <v>62</v>
      </c>
      <c r="AH654">
        <v>1</v>
      </c>
      <c r="AI654">
        <v>1</v>
      </c>
      <c r="AJ654">
        <v>2</v>
      </c>
      <c r="AK654">
        <v>3</v>
      </c>
      <c r="AL654" t="s">
        <v>190</v>
      </c>
      <c r="AM654" t="s">
        <v>191</v>
      </c>
      <c r="AN654" t="s">
        <v>192</v>
      </c>
      <c r="AO654" t="s">
        <v>9742</v>
      </c>
      <c r="AP654" t="s">
        <v>9743</v>
      </c>
      <c r="AQ654" t="s">
        <v>72</v>
      </c>
      <c r="AR654" t="s">
        <v>9744</v>
      </c>
      <c r="AS654" t="s">
        <v>9745</v>
      </c>
      <c r="AT654" t="s">
        <v>72</v>
      </c>
      <c r="AU654" t="s">
        <v>72</v>
      </c>
      <c r="AV654" t="s">
        <v>72</v>
      </c>
      <c r="AW654" t="s">
        <v>72</v>
      </c>
      <c r="AX654" t="s">
        <v>72</v>
      </c>
      <c r="AY654" t="s">
        <v>72</v>
      </c>
      <c r="AZ654" t="s">
        <v>72</v>
      </c>
      <c r="BA654" t="s">
        <v>72</v>
      </c>
      <c r="BB654" t="s">
        <v>72</v>
      </c>
      <c r="BC654" t="s">
        <v>72</v>
      </c>
      <c r="BD654">
        <v>1.0659129211045048E+16</v>
      </c>
      <c r="BE654" t="s">
        <v>16746</v>
      </c>
      <c r="BF654" t="str">
        <f>HYPERLINK("http://dx.doi.org/10.1177/10659129211045048","http://dx.doi.org/10.1177/10659129211045048")</f>
        <v>http://dx.doi.org/10.1177/10659129211045048</v>
      </c>
      <c r="BG654" t="s">
        <v>72</v>
      </c>
      <c r="BH654" t="s">
        <v>1212</v>
      </c>
      <c r="BI654">
        <v>15</v>
      </c>
      <c r="BJ654" t="s">
        <v>219</v>
      </c>
      <c r="BK654" s="1" t="s">
        <v>17619</v>
      </c>
      <c r="BL654" t="s">
        <v>16747</v>
      </c>
      <c r="BM654" t="s">
        <v>72</v>
      </c>
      <c r="BN654" t="s">
        <v>72</v>
      </c>
      <c r="BO654" t="s">
        <v>72</v>
      </c>
      <c r="BP654" t="s">
        <v>72</v>
      </c>
      <c r="BQ654" t="s">
        <v>100</v>
      </c>
      <c r="BR654" t="s">
        <v>16748</v>
      </c>
      <c r="BS654" t="str">
        <f>HYPERLINK("https%3A%2F%2Fwww.webofscience.com%2Fwos%2Fwoscc%2Ffull-record%2FWOS:000762829400001","View Full Record in Web of Science")</f>
        <v>View Full Record in Web of Science</v>
      </c>
    </row>
    <row r="655" spans="1:71" x14ac:dyDescent="0.2">
      <c r="A655" t="s">
        <v>70</v>
      </c>
      <c r="B655" t="s">
        <v>16864</v>
      </c>
      <c r="C655" t="s">
        <v>72</v>
      </c>
      <c r="D655" t="s">
        <v>72</v>
      </c>
      <c r="E655" t="s">
        <v>72</v>
      </c>
      <c r="F655" t="s">
        <v>16865</v>
      </c>
      <c r="G655" t="s">
        <v>72</v>
      </c>
      <c r="H655" t="s">
        <v>72</v>
      </c>
      <c r="I655" t="s">
        <v>16866</v>
      </c>
      <c r="J655" t="s">
        <v>9734</v>
      </c>
      <c r="K655" t="s">
        <v>72</v>
      </c>
      <c r="L655" t="s">
        <v>72</v>
      </c>
      <c r="M655" t="s">
        <v>76</v>
      </c>
      <c r="N655" t="s">
        <v>352</v>
      </c>
      <c r="O655" t="s">
        <v>72</v>
      </c>
      <c r="P655" t="s">
        <v>72</v>
      </c>
      <c r="Q655" t="s">
        <v>72</v>
      </c>
      <c r="R655" t="s">
        <v>72</v>
      </c>
      <c r="S655" t="s">
        <v>72</v>
      </c>
      <c r="T655" t="s">
        <v>16867</v>
      </c>
      <c r="U655" t="s">
        <v>16868</v>
      </c>
      <c r="V655" t="s">
        <v>16869</v>
      </c>
      <c r="W655" t="s">
        <v>16870</v>
      </c>
      <c r="X655" t="s">
        <v>12974</v>
      </c>
      <c r="Y655" t="s">
        <v>16871</v>
      </c>
      <c r="Z655" t="s">
        <v>16872</v>
      </c>
      <c r="AA655" t="s">
        <v>72</v>
      </c>
      <c r="AB655" t="s">
        <v>16873</v>
      </c>
      <c r="AC655" t="s">
        <v>16874</v>
      </c>
      <c r="AD655" t="s">
        <v>2696</v>
      </c>
      <c r="AE655" t="s">
        <v>16875</v>
      </c>
      <c r="AF655" t="s">
        <v>72</v>
      </c>
      <c r="AG655">
        <v>74</v>
      </c>
      <c r="AH655">
        <v>1</v>
      </c>
      <c r="AI655">
        <v>1</v>
      </c>
      <c r="AJ655">
        <v>0</v>
      </c>
      <c r="AK655">
        <v>0</v>
      </c>
      <c r="AL655" t="s">
        <v>190</v>
      </c>
      <c r="AM655" t="s">
        <v>191</v>
      </c>
      <c r="AN655" t="s">
        <v>192</v>
      </c>
      <c r="AO655" t="s">
        <v>9742</v>
      </c>
      <c r="AP655" t="s">
        <v>9743</v>
      </c>
      <c r="AQ655" t="s">
        <v>72</v>
      </c>
      <c r="AR655" t="s">
        <v>9744</v>
      </c>
      <c r="AS655" t="s">
        <v>9745</v>
      </c>
      <c r="AT655" t="s">
        <v>72</v>
      </c>
      <c r="AU655" t="s">
        <v>72</v>
      </c>
      <c r="AV655" t="s">
        <v>72</v>
      </c>
      <c r="AW655" t="s">
        <v>72</v>
      </c>
      <c r="AX655" t="s">
        <v>72</v>
      </c>
      <c r="AY655" t="s">
        <v>72</v>
      </c>
      <c r="AZ655" t="s">
        <v>72</v>
      </c>
      <c r="BA655" t="s">
        <v>72</v>
      </c>
      <c r="BB655" t="s">
        <v>72</v>
      </c>
      <c r="BC655" t="s">
        <v>72</v>
      </c>
      <c r="BD655" t="s">
        <v>72</v>
      </c>
      <c r="BE655" t="s">
        <v>16876</v>
      </c>
      <c r="BF655" t="str">
        <f>HYPERLINK("http://dx.doi.org/10.1177/10659129221119199","http://dx.doi.org/10.1177/10659129221119199")</f>
        <v>http://dx.doi.org/10.1177/10659129221119199</v>
      </c>
      <c r="BG655" t="s">
        <v>72</v>
      </c>
      <c r="BH655" t="s">
        <v>1072</v>
      </c>
      <c r="BI655">
        <v>14</v>
      </c>
      <c r="BJ655" t="s">
        <v>219</v>
      </c>
      <c r="BK655" s="1" t="s">
        <v>17619</v>
      </c>
      <c r="BL655" t="s">
        <v>16877</v>
      </c>
      <c r="BM655" t="s">
        <v>72</v>
      </c>
      <c r="BN655" t="s">
        <v>280</v>
      </c>
      <c r="BO655" t="s">
        <v>72</v>
      </c>
      <c r="BP655" t="s">
        <v>72</v>
      </c>
      <c r="BQ655" t="s">
        <v>100</v>
      </c>
      <c r="BR655" t="s">
        <v>16878</v>
      </c>
      <c r="BS655" t="str">
        <f>HYPERLINK("https%3A%2F%2Fwww.webofscience.com%2Fwos%2Fwoscc%2Ffull-record%2FWOS:000847546700001","View Full Record in Web of Science")</f>
        <v>View Full Record in Web of Science</v>
      </c>
    </row>
    <row r="656" spans="1:71" x14ac:dyDescent="0.2">
      <c r="A656" t="s">
        <v>70</v>
      </c>
      <c r="B656" t="s">
        <v>16879</v>
      </c>
      <c r="C656" t="s">
        <v>72</v>
      </c>
      <c r="D656" t="s">
        <v>72</v>
      </c>
      <c r="E656" t="s">
        <v>72</v>
      </c>
      <c r="F656" t="s">
        <v>16880</v>
      </c>
      <c r="G656" t="s">
        <v>72</v>
      </c>
      <c r="H656" t="s">
        <v>72</v>
      </c>
      <c r="I656" t="s">
        <v>16881</v>
      </c>
      <c r="J656" t="s">
        <v>11806</v>
      </c>
      <c r="K656" t="s">
        <v>72</v>
      </c>
      <c r="L656" t="s">
        <v>72</v>
      </c>
      <c r="M656" t="s">
        <v>76</v>
      </c>
      <c r="N656" t="s">
        <v>77</v>
      </c>
      <c r="O656" t="s">
        <v>72</v>
      </c>
      <c r="P656" t="s">
        <v>72</v>
      </c>
      <c r="Q656" t="s">
        <v>72</v>
      </c>
      <c r="R656" t="s">
        <v>72</v>
      </c>
      <c r="S656" t="s">
        <v>72</v>
      </c>
      <c r="T656" t="s">
        <v>72</v>
      </c>
      <c r="U656" t="s">
        <v>16882</v>
      </c>
      <c r="V656" t="s">
        <v>16883</v>
      </c>
      <c r="W656" t="s">
        <v>16884</v>
      </c>
      <c r="X656" t="s">
        <v>16885</v>
      </c>
      <c r="Y656" t="s">
        <v>16886</v>
      </c>
      <c r="Z656" t="s">
        <v>16887</v>
      </c>
      <c r="AA656" t="s">
        <v>72</v>
      </c>
      <c r="AB656" t="s">
        <v>72</v>
      </c>
      <c r="AC656" t="s">
        <v>72</v>
      </c>
      <c r="AD656" t="s">
        <v>72</v>
      </c>
      <c r="AE656" t="s">
        <v>72</v>
      </c>
      <c r="AF656" t="s">
        <v>72</v>
      </c>
      <c r="AG656">
        <v>37</v>
      </c>
      <c r="AH656">
        <v>17</v>
      </c>
      <c r="AI656">
        <v>17</v>
      </c>
      <c r="AJ656">
        <v>0</v>
      </c>
      <c r="AK656">
        <v>8</v>
      </c>
      <c r="AL656" t="s">
        <v>879</v>
      </c>
      <c r="AM656" t="s">
        <v>451</v>
      </c>
      <c r="AN656" t="s">
        <v>880</v>
      </c>
      <c r="AO656" t="s">
        <v>11815</v>
      </c>
      <c r="AP656" t="s">
        <v>11816</v>
      </c>
      <c r="AQ656" t="s">
        <v>72</v>
      </c>
      <c r="AR656" t="s">
        <v>11817</v>
      </c>
      <c r="AS656" t="s">
        <v>11818</v>
      </c>
      <c r="AT656" t="s">
        <v>299</v>
      </c>
      <c r="AU656">
        <v>2017</v>
      </c>
      <c r="AV656">
        <v>20</v>
      </c>
      <c r="AW656">
        <v>2</v>
      </c>
      <c r="AX656" t="s">
        <v>72</v>
      </c>
      <c r="AY656" t="s">
        <v>72</v>
      </c>
      <c r="AZ656" t="s">
        <v>478</v>
      </c>
      <c r="BA656" t="s">
        <v>72</v>
      </c>
      <c r="BB656">
        <v>391</v>
      </c>
      <c r="BC656">
        <v>417</v>
      </c>
      <c r="BD656" t="s">
        <v>72</v>
      </c>
      <c r="BE656" t="s">
        <v>16888</v>
      </c>
      <c r="BF656" t="str">
        <f>HYPERLINK("http://dx.doi.org/10.1093/jiel/jgx016","http://dx.doi.org/10.1093/jiel/jgx016")</f>
        <v>http://dx.doi.org/10.1093/jiel/jgx016</v>
      </c>
      <c r="BG656" t="s">
        <v>72</v>
      </c>
      <c r="BH656" t="s">
        <v>72</v>
      </c>
      <c r="BI656">
        <v>27</v>
      </c>
      <c r="BJ656" t="s">
        <v>3261</v>
      </c>
      <c r="BK656" s="1" t="s">
        <v>17619</v>
      </c>
      <c r="BL656" t="s">
        <v>16889</v>
      </c>
      <c r="BM656" t="s">
        <v>72</v>
      </c>
      <c r="BN656" t="s">
        <v>72</v>
      </c>
      <c r="BO656" t="s">
        <v>72</v>
      </c>
      <c r="BP656" t="s">
        <v>72</v>
      </c>
      <c r="BQ656" t="s">
        <v>100</v>
      </c>
      <c r="BR656" t="s">
        <v>16890</v>
      </c>
      <c r="BS656" t="str">
        <f>HYPERLINK("https%3A%2F%2Fwww.webofscience.com%2Fwos%2Fwoscc%2Ffull-record%2FWOS:000407291000008","View Full Record in Web of Science")</f>
        <v>View Full Record in Web of Science</v>
      </c>
    </row>
    <row r="657" spans="1:71" x14ac:dyDescent="0.2">
      <c r="A657" t="s">
        <v>70</v>
      </c>
      <c r="B657" t="s">
        <v>17169</v>
      </c>
      <c r="C657" t="s">
        <v>72</v>
      </c>
      <c r="D657" t="s">
        <v>72</v>
      </c>
      <c r="E657" t="s">
        <v>72</v>
      </c>
      <c r="F657" t="s">
        <v>17170</v>
      </c>
      <c r="G657" t="s">
        <v>72</v>
      </c>
      <c r="H657" t="s">
        <v>72</v>
      </c>
      <c r="I657" t="s">
        <v>17171</v>
      </c>
      <c r="J657" t="s">
        <v>17172</v>
      </c>
      <c r="K657" t="s">
        <v>72</v>
      </c>
      <c r="L657" t="s">
        <v>72</v>
      </c>
      <c r="M657" t="s">
        <v>76</v>
      </c>
      <c r="N657" t="s">
        <v>77</v>
      </c>
      <c r="O657" t="s">
        <v>72</v>
      </c>
      <c r="P657" t="s">
        <v>72</v>
      </c>
      <c r="Q657" t="s">
        <v>72</v>
      </c>
      <c r="R657" t="s">
        <v>72</v>
      </c>
      <c r="S657" t="s">
        <v>72</v>
      </c>
      <c r="T657" t="s">
        <v>17173</v>
      </c>
      <c r="U657" t="s">
        <v>17174</v>
      </c>
      <c r="V657" t="s">
        <v>17175</v>
      </c>
      <c r="W657" t="s">
        <v>17176</v>
      </c>
      <c r="X657" t="s">
        <v>17177</v>
      </c>
      <c r="Y657" t="s">
        <v>17178</v>
      </c>
      <c r="Z657" t="s">
        <v>17179</v>
      </c>
      <c r="AA657" t="s">
        <v>72</v>
      </c>
      <c r="AB657" t="s">
        <v>72</v>
      </c>
      <c r="AC657" t="s">
        <v>72</v>
      </c>
      <c r="AD657" t="s">
        <v>72</v>
      </c>
      <c r="AE657" t="s">
        <v>72</v>
      </c>
      <c r="AF657" t="s">
        <v>72</v>
      </c>
      <c r="AG657">
        <v>42</v>
      </c>
      <c r="AH657">
        <v>0</v>
      </c>
      <c r="AI657">
        <v>0</v>
      </c>
      <c r="AJ657">
        <v>1</v>
      </c>
      <c r="AK657">
        <v>1</v>
      </c>
      <c r="AL657" t="s">
        <v>17180</v>
      </c>
      <c r="AM657" t="s">
        <v>17181</v>
      </c>
      <c r="AN657" t="s">
        <v>17182</v>
      </c>
      <c r="AO657" t="s">
        <v>72</v>
      </c>
      <c r="AP657" t="s">
        <v>17183</v>
      </c>
      <c r="AQ657" t="s">
        <v>72</v>
      </c>
      <c r="AR657" t="s">
        <v>17184</v>
      </c>
      <c r="AS657" t="s">
        <v>17185</v>
      </c>
      <c r="AT657" t="s">
        <v>951</v>
      </c>
      <c r="AU657">
        <v>2021</v>
      </c>
      <c r="AV657">
        <v>13</v>
      </c>
      <c r="AW657">
        <v>2</v>
      </c>
      <c r="AX657" t="s">
        <v>72</v>
      </c>
      <c r="AY657" t="s">
        <v>72</v>
      </c>
      <c r="AZ657" t="s">
        <v>72</v>
      </c>
      <c r="BA657" t="s">
        <v>72</v>
      </c>
      <c r="BB657">
        <v>45</v>
      </c>
      <c r="BC657">
        <v>86</v>
      </c>
      <c r="BD657" t="s">
        <v>72</v>
      </c>
      <c r="BE657" t="s">
        <v>17186</v>
      </c>
      <c r="BF657" t="str">
        <f>HYPERLINK("http://dx.doi.org/10.2924/EJLS.2021.005","http://dx.doi.org/10.2924/EJLS.2021.005")</f>
        <v>http://dx.doi.org/10.2924/EJLS.2021.005</v>
      </c>
      <c r="BG657" t="s">
        <v>72</v>
      </c>
      <c r="BH657" t="s">
        <v>72</v>
      </c>
      <c r="BI657">
        <v>42</v>
      </c>
      <c r="BJ657" t="s">
        <v>3261</v>
      </c>
      <c r="BK657" s="1" t="s">
        <v>17619</v>
      </c>
      <c r="BL657" t="s">
        <v>17187</v>
      </c>
      <c r="BM657" t="s">
        <v>72</v>
      </c>
      <c r="BN657" t="s">
        <v>72</v>
      </c>
      <c r="BO657" t="s">
        <v>72</v>
      </c>
      <c r="BP657" t="s">
        <v>72</v>
      </c>
      <c r="BQ657" t="s">
        <v>100</v>
      </c>
      <c r="BR657" t="s">
        <v>17188</v>
      </c>
      <c r="BS657" t="str">
        <f>HYPERLINK("https%3A%2F%2Fwww.webofscience.com%2Fwos%2Fwoscc%2Ffull-record%2FWOS:000724972500004","View Full Record in Web of Science")</f>
        <v>View Full Record in Web of Science</v>
      </c>
    </row>
    <row r="658" spans="1:71" x14ac:dyDescent="0.2">
      <c r="A658" t="s">
        <v>70</v>
      </c>
      <c r="B658" t="s">
        <v>17371</v>
      </c>
      <c r="C658" t="s">
        <v>72</v>
      </c>
      <c r="D658" t="s">
        <v>72</v>
      </c>
      <c r="E658" t="s">
        <v>72</v>
      </c>
      <c r="F658" t="s">
        <v>17372</v>
      </c>
      <c r="G658" t="s">
        <v>72</v>
      </c>
      <c r="H658" t="s">
        <v>72</v>
      </c>
      <c r="I658" t="s">
        <v>17373</v>
      </c>
      <c r="J658" t="s">
        <v>17374</v>
      </c>
      <c r="K658" t="s">
        <v>72</v>
      </c>
      <c r="L658" t="s">
        <v>72</v>
      </c>
      <c r="M658" t="s">
        <v>2818</v>
      </c>
      <c r="N658" t="s">
        <v>77</v>
      </c>
      <c r="O658" t="s">
        <v>72</v>
      </c>
      <c r="P658" t="s">
        <v>72</v>
      </c>
      <c r="Q658" t="s">
        <v>72</v>
      </c>
      <c r="R658" t="s">
        <v>72</v>
      </c>
      <c r="S658" t="s">
        <v>72</v>
      </c>
      <c r="T658" t="s">
        <v>17375</v>
      </c>
      <c r="U658" t="s">
        <v>72</v>
      </c>
      <c r="V658" t="s">
        <v>17376</v>
      </c>
      <c r="W658" t="s">
        <v>17377</v>
      </c>
      <c r="X658" t="s">
        <v>13840</v>
      </c>
      <c r="Y658" t="s">
        <v>17378</v>
      </c>
      <c r="Z658" t="s">
        <v>17379</v>
      </c>
      <c r="AA658" t="s">
        <v>17380</v>
      </c>
      <c r="AB658" t="s">
        <v>72</v>
      </c>
      <c r="AC658" t="s">
        <v>72</v>
      </c>
      <c r="AD658" t="s">
        <v>72</v>
      </c>
      <c r="AE658" t="s">
        <v>72</v>
      </c>
      <c r="AF658" t="s">
        <v>72</v>
      </c>
      <c r="AG658">
        <v>14</v>
      </c>
      <c r="AH658">
        <v>4</v>
      </c>
      <c r="AI658">
        <v>5</v>
      </c>
      <c r="AJ658">
        <v>1</v>
      </c>
      <c r="AK658">
        <v>2</v>
      </c>
      <c r="AL658" t="s">
        <v>17381</v>
      </c>
      <c r="AM658" t="s">
        <v>11149</v>
      </c>
      <c r="AN658" t="s">
        <v>17382</v>
      </c>
      <c r="AO658" t="s">
        <v>17383</v>
      </c>
      <c r="AP658" t="s">
        <v>72</v>
      </c>
      <c r="AQ658" t="s">
        <v>72</v>
      </c>
      <c r="AR658" t="s">
        <v>17384</v>
      </c>
      <c r="AS658" t="s">
        <v>17385</v>
      </c>
      <c r="AT658" t="s">
        <v>72</v>
      </c>
      <c r="AU658">
        <v>2018</v>
      </c>
      <c r="AV658" t="s">
        <v>72</v>
      </c>
      <c r="AW658">
        <v>1</v>
      </c>
      <c r="AX658" t="s">
        <v>72</v>
      </c>
      <c r="AY658" t="s">
        <v>72</v>
      </c>
      <c r="AZ658" t="s">
        <v>72</v>
      </c>
      <c r="BA658" t="s">
        <v>72</v>
      </c>
      <c r="BB658">
        <v>26</v>
      </c>
      <c r="BC658">
        <v>44</v>
      </c>
      <c r="BD658" t="s">
        <v>72</v>
      </c>
      <c r="BE658" t="s">
        <v>17386</v>
      </c>
      <c r="BF658" t="str">
        <f>HYPERLINK("http://dx.doi.org/10.17323/2072-8166.2018.1.26.44","http://dx.doi.org/10.17323/2072-8166.2018.1.26.44")</f>
        <v>http://dx.doi.org/10.17323/2072-8166.2018.1.26.44</v>
      </c>
      <c r="BG658" t="s">
        <v>72</v>
      </c>
      <c r="BH658" t="s">
        <v>72</v>
      </c>
      <c r="BI658">
        <v>19</v>
      </c>
      <c r="BJ658" t="s">
        <v>3261</v>
      </c>
      <c r="BK658" s="1" t="s">
        <v>17619</v>
      </c>
      <c r="BL658" t="s">
        <v>17387</v>
      </c>
      <c r="BM658" t="s">
        <v>72</v>
      </c>
      <c r="BN658" t="s">
        <v>222</v>
      </c>
      <c r="BO658" t="s">
        <v>72</v>
      </c>
      <c r="BP658" t="s">
        <v>72</v>
      </c>
      <c r="BQ658" t="s">
        <v>100</v>
      </c>
      <c r="BR658" t="s">
        <v>17388</v>
      </c>
      <c r="BS658" t="str">
        <f>HYPERLINK("https%3A%2F%2Fwww.webofscience.com%2Fwos%2Fwoscc%2Ffull-record%2FWOS:000431967600002","View Full Record in Web of Science")</f>
        <v>View Full Record in Web of Science</v>
      </c>
    </row>
    <row r="659" spans="1:71" x14ac:dyDescent="0.2">
      <c r="A659" t="s">
        <v>70</v>
      </c>
      <c r="B659" t="s">
        <v>2796</v>
      </c>
      <c r="C659" t="s">
        <v>72</v>
      </c>
      <c r="D659" t="s">
        <v>72</v>
      </c>
      <c r="E659" t="s">
        <v>72</v>
      </c>
      <c r="F659" t="s">
        <v>2796</v>
      </c>
      <c r="G659" t="s">
        <v>72</v>
      </c>
      <c r="H659" t="s">
        <v>72</v>
      </c>
      <c r="I659" t="s">
        <v>2797</v>
      </c>
      <c r="J659" t="s">
        <v>2798</v>
      </c>
      <c r="K659" t="s">
        <v>72</v>
      </c>
      <c r="L659" t="s">
        <v>72</v>
      </c>
      <c r="M659" t="s">
        <v>76</v>
      </c>
      <c r="N659" t="s">
        <v>77</v>
      </c>
      <c r="O659" t="s">
        <v>72</v>
      </c>
      <c r="P659" t="s">
        <v>72</v>
      </c>
      <c r="Q659" t="s">
        <v>72</v>
      </c>
      <c r="R659" t="s">
        <v>72</v>
      </c>
      <c r="S659" t="s">
        <v>72</v>
      </c>
      <c r="T659" t="s">
        <v>2799</v>
      </c>
      <c r="U659" t="s">
        <v>2800</v>
      </c>
      <c r="V659" t="s">
        <v>2801</v>
      </c>
      <c r="W659" t="s">
        <v>2802</v>
      </c>
      <c r="X659" t="s">
        <v>406</v>
      </c>
      <c r="Y659" t="s">
        <v>2803</v>
      </c>
      <c r="Z659" t="s">
        <v>72</v>
      </c>
      <c r="AA659" t="s">
        <v>72</v>
      </c>
      <c r="AB659" t="s">
        <v>72</v>
      </c>
      <c r="AC659" t="s">
        <v>72</v>
      </c>
      <c r="AD659" t="s">
        <v>72</v>
      </c>
      <c r="AE659" t="s">
        <v>72</v>
      </c>
      <c r="AF659" t="s">
        <v>72</v>
      </c>
      <c r="AG659">
        <v>29</v>
      </c>
      <c r="AH659">
        <v>24</v>
      </c>
      <c r="AI659">
        <v>24</v>
      </c>
      <c r="AJ659">
        <v>1</v>
      </c>
      <c r="AK659">
        <v>8</v>
      </c>
      <c r="AL659" t="s">
        <v>2804</v>
      </c>
      <c r="AM659" t="s">
        <v>2805</v>
      </c>
      <c r="AN659" t="s">
        <v>2806</v>
      </c>
      <c r="AO659" t="s">
        <v>2807</v>
      </c>
      <c r="AP659" t="s">
        <v>72</v>
      </c>
      <c r="AQ659" t="s">
        <v>72</v>
      </c>
      <c r="AR659" t="s">
        <v>2808</v>
      </c>
      <c r="AS659" t="s">
        <v>2809</v>
      </c>
      <c r="AT659" t="s">
        <v>95</v>
      </c>
      <c r="AU659">
        <v>2000</v>
      </c>
      <c r="AV659">
        <v>21</v>
      </c>
      <c r="AW659">
        <v>3</v>
      </c>
      <c r="AX659" t="s">
        <v>72</v>
      </c>
      <c r="AY659" t="s">
        <v>72</v>
      </c>
      <c r="AZ659" t="s">
        <v>72</v>
      </c>
      <c r="BA659" t="s">
        <v>72</v>
      </c>
      <c r="BB659">
        <v>587</v>
      </c>
      <c r="BC659">
        <v>596</v>
      </c>
      <c r="BD659" t="s">
        <v>72</v>
      </c>
      <c r="BE659" t="s">
        <v>2810</v>
      </c>
      <c r="BF659" t="str">
        <f>HYPERLINK("http://dx.doi.org/10.1111/0162-895X.00206","http://dx.doi.org/10.1111/0162-895X.00206")</f>
        <v>http://dx.doi.org/10.1111/0162-895X.00206</v>
      </c>
      <c r="BG659" t="s">
        <v>72</v>
      </c>
      <c r="BH659" t="s">
        <v>72</v>
      </c>
      <c r="BI659">
        <v>10</v>
      </c>
      <c r="BJ659" t="s">
        <v>2811</v>
      </c>
      <c r="BK659" s="1" t="s">
        <v>17619</v>
      </c>
      <c r="BL659" t="s">
        <v>2812</v>
      </c>
      <c r="BM659" t="s">
        <v>72</v>
      </c>
      <c r="BN659" t="s">
        <v>72</v>
      </c>
      <c r="BO659" t="s">
        <v>72</v>
      </c>
      <c r="BP659" t="s">
        <v>72</v>
      </c>
      <c r="BQ659" t="s">
        <v>100</v>
      </c>
      <c r="BR659" t="s">
        <v>2813</v>
      </c>
      <c r="BS659" t="str">
        <f>HYPERLINK("https%3A%2F%2Fwww.webofscience.com%2Fwos%2Fwoscc%2Ffull-record%2FWOS:000088959400009","View Full Record in Web of Science")</f>
        <v>View Full Record in Web of Science</v>
      </c>
    </row>
    <row r="660" spans="1:71" x14ac:dyDescent="0.2">
      <c r="A660" t="s">
        <v>70</v>
      </c>
      <c r="B660" t="s">
        <v>3481</v>
      </c>
      <c r="C660" t="s">
        <v>72</v>
      </c>
      <c r="D660" t="s">
        <v>72</v>
      </c>
      <c r="E660" t="s">
        <v>72</v>
      </c>
      <c r="F660" t="s">
        <v>3482</v>
      </c>
      <c r="G660" t="s">
        <v>72</v>
      </c>
      <c r="H660" t="s">
        <v>72</v>
      </c>
      <c r="I660" t="s">
        <v>3483</v>
      </c>
      <c r="J660" t="s">
        <v>2798</v>
      </c>
      <c r="K660" t="s">
        <v>72</v>
      </c>
      <c r="L660" t="s">
        <v>72</v>
      </c>
      <c r="M660" t="s">
        <v>76</v>
      </c>
      <c r="N660" t="s">
        <v>77</v>
      </c>
      <c r="O660" t="s">
        <v>72</v>
      </c>
      <c r="P660" t="s">
        <v>72</v>
      </c>
      <c r="Q660" t="s">
        <v>72</v>
      </c>
      <c r="R660" t="s">
        <v>72</v>
      </c>
      <c r="S660" t="s">
        <v>72</v>
      </c>
      <c r="T660" t="s">
        <v>3484</v>
      </c>
      <c r="U660" t="s">
        <v>72</v>
      </c>
      <c r="V660" t="s">
        <v>3485</v>
      </c>
      <c r="W660" t="s">
        <v>3486</v>
      </c>
      <c r="X660" t="s">
        <v>3487</v>
      </c>
      <c r="Y660" t="s">
        <v>72</v>
      </c>
      <c r="Z660" t="s">
        <v>72</v>
      </c>
      <c r="AA660" t="s">
        <v>72</v>
      </c>
      <c r="AB660" t="s">
        <v>72</v>
      </c>
      <c r="AC660" t="s">
        <v>72</v>
      </c>
      <c r="AD660" t="s">
        <v>72</v>
      </c>
      <c r="AE660" t="s">
        <v>72</v>
      </c>
      <c r="AF660" t="s">
        <v>72</v>
      </c>
      <c r="AG660">
        <v>17</v>
      </c>
      <c r="AH660">
        <v>7</v>
      </c>
      <c r="AI660">
        <v>7</v>
      </c>
      <c r="AJ660">
        <v>0</v>
      </c>
      <c r="AK660">
        <v>5</v>
      </c>
      <c r="AL660" t="s">
        <v>963</v>
      </c>
      <c r="AM660" t="s">
        <v>964</v>
      </c>
      <c r="AN660" t="s">
        <v>965</v>
      </c>
      <c r="AO660" t="s">
        <v>2807</v>
      </c>
      <c r="AP660" t="s">
        <v>3488</v>
      </c>
      <c r="AQ660" t="s">
        <v>72</v>
      </c>
      <c r="AR660" t="s">
        <v>2808</v>
      </c>
      <c r="AS660" t="s">
        <v>2809</v>
      </c>
      <c r="AT660" t="s">
        <v>395</v>
      </c>
      <c r="AU660">
        <v>2014</v>
      </c>
      <c r="AV660">
        <v>35</v>
      </c>
      <c r="AW660">
        <v>5</v>
      </c>
      <c r="AX660" t="s">
        <v>72</v>
      </c>
      <c r="AY660" t="s">
        <v>72</v>
      </c>
      <c r="AZ660" t="s">
        <v>72</v>
      </c>
      <c r="BA660" t="s">
        <v>72</v>
      </c>
      <c r="BB660">
        <v>635</v>
      </c>
      <c r="BC660">
        <v>645</v>
      </c>
      <c r="BD660" t="s">
        <v>72</v>
      </c>
      <c r="BE660" t="s">
        <v>3489</v>
      </c>
      <c r="BF660" t="str">
        <f>HYPERLINK("http://dx.doi.org/10.1111/pops.12208","http://dx.doi.org/10.1111/pops.12208")</f>
        <v>http://dx.doi.org/10.1111/pops.12208</v>
      </c>
      <c r="BG660" t="s">
        <v>72</v>
      </c>
      <c r="BH660" t="s">
        <v>72</v>
      </c>
      <c r="BI660">
        <v>11</v>
      </c>
      <c r="BJ660" t="s">
        <v>2811</v>
      </c>
      <c r="BK660" s="1" t="s">
        <v>17619</v>
      </c>
      <c r="BL660" t="s">
        <v>3490</v>
      </c>
      <c r="BM660" t="s">
        <v>72</v>
      </c>
      <c r="BN660" t="s">
        <v>72</v>
      </c>
      <c r="BO660" t="s">
        <v>72</v>
      </c>
      <c r="BP660" t="s">
        <v>72</v>
      </c>
      <c r="BQ660" t="s">
        <v>100</v>
      </c>
      <c r="BR660" t="s">
        <v>3491</v>
      </c>
      <c r="BS660" t="str">
        <f>HYPERLINK("https%3A%2F%2Fwww.webofscience.com%2Fwos%2Fwoscc%2Ffull-record%2FWOS:000342628900004","View Full Record in Web of Science")</f>
        <v>View Full Record in Web of Science</v>
      </c>
    </row>
    <row r="661" spans="1:71" x14ac:dyDescent="0.2">
      <c r="A661" t="s">
        <v>70</v>
      </c>
      <c r="B661" t="s">
        <v>9215</v>
      </c>
      <c r="C661" t="s">
        <v>72</v>
      </c>
      <c r="D661" t="s">
        <v>72</v>
      </c>
      <c r="E661" t="s">
        <v>72</v>
      </c>
      <c r="F661" t="s">
        <v>9216</v>
      </c>
      <c r="G661" t="s">
        <v>72</v>
      </c>
      <c r="H661" t="s">
        <v>72</v>
      </c>
      <c r="I661" t="s">
        <v>9217</v>
      </c>
      <c r="J661" t="s">
        <v>2798</v>
      </c>
      <c r="K661" t="s">
        <v>72</v>
      </c>
      <c r="L661" t="s">
        <v>72</v>
      </c>
      <c r="M661" t="s">
        <v>76</v>
      </c>
      <c r="N661" t="s">
        <v>77</v>
      </c>
      <c r="O661" t="s">
        <v>72</v>
      </c>
      <c r="P661" t="s">
        <v>72</v>
      </c>
      <c r="Q661" t="s">
        <v>72</v>
      </c>
      <c r="R661" t="s">
        <v>72</v>
      </c>
      <c r="S661" t="s">
        <v>72</v>
      </c>
      <c r="T661" t="s">
        <v>9218</v>
      </c>
      <c r="U661" t="s">
        <v>9219</v>
      </c>
      <c r="V661" t="s">
        <v>9220</v>
      </c>
      <c r="W661" t="s">
        <v>9221</v>
      </c>
      <c r="X661" t="s">
        <v>9222</v>
      </c>
      <c r="Y661" t="s">
        <v>9223</v>
      </c>
      <c r="Z661" t="s">
        <v>9224</v>
      </c>
      <c r="AA661" t="s">
        <v>72</v>
      </c>
      <c r="AB661" t="s">
        <v>72</v>
      </c>
      <c r="AC661" t="s">
        <v>72</v>
      </c>
      <c r="AD661" t="s">
        <v>72</v>
      </c>
      <c r="AE661" t="s">
        <v>72</v>
      </c>
      <c r="AF661" t="s">
        <v>72</v>
      </c>
      <c r="AG661">
        <v>103</v>
      </c>
      <c r="AH661">
        <v>10</v>
      </c>
      <c r="AI661">
        <v>10</v>
      </c>
      <c r="AJ661">
        <v>1</v>
      </c>
      <c r="AK661">
        <v>18</v>
      </c>
      <c r="AL661" t="s">
        <v>1260</v>
      </c>
      <c r="AM661" t="s">
        <v>964</v>
      </c>
      <c r="AN661" t="s">
        <v>965</v>
      </c>
      <c r="AO661" t="s">
        <v>2807</v>
      </c>
      <c r="AP661" t="s">
        <v>3488</v>
      </c>
      <c r="AQ661" t="s">
        <v>72</v>
      </c>
      <c r="AR661" t="s">
        <v>2808</v>
      </c>
      <c r="AS661" t="s">
        <v>2809</v>
      </c>
      <c r="AT661" t="s">
        <v>929</v>
      </c>
      <c r="AU661">
        <v>2007</v>
      </c>
      <c r="AV661">
        <v>28</v>
      </c>
      <c r="AW661">
        <v>6</v>
      </c>
      <c r="AX661" t="s">
        <v>72</v>
      </c>
      <c r="AY661" t="s">
        <v>72</v>
      </c>
      <c r="AZ661" t="s">
        <v>72</v>
      </c>
      <c r="BA661" t="s">
        <v>72</v>
      </c>
      <c r="BB661">
        <v>747</v>
      </c>
      <c r="BC661">
        <v>776</v>
      </c>
      <c r="BD661" t="s">
        <v>72</v>
      </c>
      <c r="BE661" t="s">
        <v>9225</v>
      </c>
      <c r="BF661" t="str">
        <f>HYPERLINK("http://dx.doi.org/10.1111/j.1467-9221.2007.00602.x","http://dx.doi.org/10.1111/j.1467-9221.2007.00602.x")</f>
        <v>http://dx.doi.org/10.1111/j.1467-9221.2007.00602.x</v>
      </c>
      <c r="BG661" t="s">
        <v>72</v>
      </c>
      <c r="BH661" t="s">
        <v>72</v>
      </c>
      <c r="BI661">
        <v>30</v>
      </c>
      <c r="BJ661" t="s">
        <v>2811</v>
      </c>
      <c r="BK661" s="1" t="s">
        <v>17619</v>
      </c>
      <c r="BL661" t="s">
        <v>9226</v>
      </c>
      <c r="BM661" t="s">
        <v>72</v>
      </c>
      <c r="BN661" t="s">
        <v>72</v>
      </c>
      <c r="BO661" t="s">
        <v>72</v>
      </c>
      <c r="BP661" t="s">
        <v>72</v>
      </c>
      <c r="BQ661" t="s">
        <v>100</v>
      </c>
      <c r="BR661" t="s">
        <v>9227</v>
      </c>
      <c r="BS661" t="str">
        <f>HYPERLINK("https%3A%2F%2Fwww.webofscience.com%2Fwos%2Fwoscc%2Ffull-record%2FWOS:000250519900005","View Full Record in Web of Science")</f>
        <v>View Full Record in Web of Science</v>
      </c>
    </row>
    <row r="662" spans="1:71" x14ac:dyDescent="0.2">
      <c r="A662" t="s">
        <v>70</v>
      </c>
      <c r="B662" t="s">
        <v>9938</v>
      </c>
      <c r="C662" t="s">
        <v>72</v>
      </c>
      <c r="D662" t="s">
        <v>72</v>
      </c>
      <c r="E662" t="s">
        <v>72</v>
      </c>
      <c r="F662" t="s">
        <v>9938</v>
      </c>
      <c r="G662" t="s">
        <v>72</v>
      </c>
      <c r="H662" t="s">
        <v>72</v>
      </c>
      <c r="I662" t="s">
        <v>9939</v>
      </c>
      <c r="J662" t="s">
        <v>2798</v>
      </c>
      <c r="K662" t="s">
        <v>72</v>
      </c>
      <c r="L662" t="s">
        <v>72</v>
      </c>
      <c r="M662" t="s">
        <v>76</v>
      </c>
      <c r="N662" t="s">
        <v>77</v>
      </c>
      <c r="O662" t="s">
        <v>72</v>
      </c>
      <c r="P662" t="s">
        <v>72</v>
      </c>
      <c r="Q662" t="s">
        <v>72</v>
      </c>
      <c r="R662" t="s">
        <v>72</v>
      </c>
      <c r="S662" t="s">
        <v>72</v>
      </c>
      <c r="T662" t="s">
        <v>9940</v>
      </c>
      <c r="U662" t="s">
        <v>72</v>
      </c>
      <c r="V662" t="s">
        <v>9941</v>
      </c>
      <c r="W662" t="s">
        <v>9942</v>
      </c>
      <c r="X662" t="s">
        <v>406</v>
      </c>
      <c r="Y662" t="s">
        <v>9223</v>
      </c>
      <c r="Z662" t="s">
        <v>72</v>
      </c>
      <c r="AA662" t="s">
        <v>72</v>
      </c>
      <c r="AB662" t="s">
        <v>72</v>
      </c>
      <c r="AC662" t="s">
        <v>72</v>
      </c>
      <c r="AD662" t="s">
        <v>72</v>
      </c>
      <c r="AE662" t="s">
        <v>72</v>
      </c>
      <c r="AF662" t="s">
        <v>72</v>
      </c>
      <c r="AG662">
        <v>0</v>
      </c>
      <c r="AH662">
        <v>13</v>
      </c>
      <c r="AI662">
        <v>13</v>
      </c>
      <c r="AJ662">
        <v>0</v>
      </c>
      <c r="AK662">
        <v>6</v>
      </c>
      <c r="AL662" t="s">
        <v>2804</v>
      </c>
      <c r="AM662" t="s">
        <v>2805</v>
      </c>
      <c r="AN662" t="s">
        <v>2806</v>
      </c>
      <c r="AO662" t="s">
        <v>2807</v>
      </c>
      <c r="AP662" t="s">
        <v>72</v>
      </c>
      <c r="AQ662" t="s">
        <v>72</v>
      </c>
      <c r="AR662" t="s">
        <v>2808</v>
      </c>
      <c r="AS662" t="s">
        <v>2809</v>
      </c>
      <c r="AT662" t="s">
        <v>95</v>
      </c>
      <c r="AU662">
        <v>2000</v>
      </c>
      <c r="AV662">
        <v>21</v>
      </c>
      <c r="AW662">
        <v>3</v>
      </c>
      <c r="AX662" t="s">
        <v>72</v>
      </c>
      <c r="AY662" t="s">
        <v>72</v>
      </c>
      <c r="AZ662" t="s">
        <v>72</v>
      </c>
      <c r="BA662" t="s">
        <v>72</v>
      </c>
      <c r="BB662">
        <v>597</v>
      </c>
      <c r="BC662">
        <v>602</v>
      </c>
      <c r="BD662" t="s">
        <v>72</v>
      </c>
      <c r="BE662" t="s">
        <v>9943</v>
      </c>
      <c r="BF662" t="str">
        <f>HYPERLINK("http://dx.doi.org/10.1111/0162-895X.00207","http://dx.doi.org/10.1111/0162-895X.00207")</f>
        <v>http://dx.doi.org/10.1111/0162-895X.00207</v>
      </c>
      <c r="BG662" t="s">
        <v>72</v>
      </c>
      <c r="BH662" t="s">
        <v>72</v>
      </c>
      <c r="BI662">
        <v>6</v>
      </c>
      <c r="BJ662" t="s">
        <v>2811</v>
      </c>
      <c r="BK662" s="1" t="s">
        <v>17619</v>
      </c>
      <c r="BL662" t="s">
        <v>2812</v>
      </c>
      <c r="BM662" t="s">
        <v>72</v>
      </c>
      <c r="BN662" t="s">
        <v>72</v>
      </c>
      <c r="BO662" t="s">
        <v>72</v>
      </c>
      <c r="BP662" t="s">
        <v>72</v>
      </c>
      <c r="BQ662" t="s">
        <v>100</v>
      </c>
      <c r="BR662" t="s">
        <v>9944</v>
      </c>
      <c r="BS662" t="str">
        <f>HYPERLINK("https%3A%2F%2Fwww.webofscience.com%2Fwos%2Fwoscc%2Ffull-record%2FWOS:000088959400010","View Full Record in Web of Science")</f>
        <v>View Full Record in Web of Science</v>
      </c>
    </row>
    <row r="663" spans="1:71" x14ac:dyDescent="0.2">
      <c r="A663" t="s">
        <v>70</v>
      </c>
      <c r="B663" t="s">
        <v>14944</v>
      </c>
      <c r="C663" t="s">
        <v>72</v>
      </c>
      <c r="D663" t="s">
        <v>72</v>
      </c>
      <c r="E663" t="s">
        <v>72</v>
      </c>
      <c r="F663" t="s">
        <v>14945</v>
      </c>
      <c r="G663" t="s">
        <v>72</v>
      </c>
      <c r="H663" t="s">
        <v>72</v>
      </c>
      <c r="I663" t="s">
        <v>14946</v>
      </c>
      <c r="J663" t="s">
        <v>2798</v>
      </c>
      <c r="K663" t="s">
        <v>72</v>
      </c>
      <c r="L663" t="s">
        <v>72</v>
      </c>
      <c r="M663" t="s">
        <v>76</v>
      </c>
      <c r="N663" t="s">
        <v>77</v>
      </c>
      <c r="O663" t="s">
        <v>72</v>
      </c>
      <c r="P663" t="s">
        <v>72</v>
      </c>
      <c r="Q663" t="s">
        <v>72</v>
      </c>
      <c r="R663" t="s">
        <v>72</v>
      </c>
      <c r="S663" t="s">
        <v>72</v>
      </c>
      <c r="T663" t="s">
        <v>14947</v>
      </c>
      <c r="U663" t="s">
        <v>14948</v>
      </c>
      <c r="V663" t="s">
        <v>14949</v>
      </c>
      <c r="W663" t="s">
        <v>14950</v>
      </c>
      <c r="X663" t="s">
        <v>13805</v>
      </c>
      <c r="Y663" t="s">
        <v>14951</v>
      </c>
      <c r="Z663" t="s">
        <v>14952</v>
      </c>
      <c r="AA663" t="s">
        <v>72</v>
      </c>
      <c r="AB663" t="s">
        <v>14953</v>
      </c>
      <c r="AC663" t="s">
        <v>72</v>
      </c>
      <c r="AD663" t="s">
        <v>72</v>
      </c>
      <c r="AE663" t="s">
        <v>72</v>
      </c>
      <c r="AF663" t="s">
        <v>72</v>
      </c>
      <c r="AG663">
        <v>61</v>
      </c>
      <c r="AH663">
        <v>18</v>
      </c>
      <c r="AI663">
        <v>18</v>
      </c>
      <c r="AJ663">
        <v>5</v>
      </c>
      <c r="AK663">
        <v>26</v>
      </c>
      <c r="AL663" t="s">
        <v>1260</v>
      </c>
      <c r="AM663" t="s">
        <v>964</v>
      </c>
      <c r="AN663" t="s">
        <v>965</v>
      </c>
      <c r="AO663" t="s">
        <v>2807</v>
      </c>
      <c r="AP663" t="s">
        <v>3488</v>
      </c>
      <c r="AQ663" t="s">
        <v>72</v>
      </c>
      <c r="AR663" t="s">
        <v>2808</v>
      </c>
      <c r="AS663" t="s">
        <v>2809</v>
      </c>
      <c r="AT663" t="s">
        <v>1602</v>
      </c>
      <c r="AU663">
        <v>2021</v>
      </c>
      <c r="AV663">
        <v>42</v>
      </c>
      <c r="AW663">
        <v>1</v>
      </c>
      <c r="AX663" t="s">
        <v>72</v>
      </c>
      <c r="AY663" t="s">
        <v>72</v>
      </c>
      <c r="AZ663" t="s">
        <v>72</v>
      </c>
      <c r="BA663" t="s">
        <v>72</v>
      </c>
      <c r="BB663">
        <v>163</v>
      </c>
      <c r="BC663">
        <v>181</v>
      </c>
      <c r="BD663" t="s">
        <v>72</v>
      </c>
      <c r="BE663" t="s">
        <v>14954</v>
      </c>
      <c r="BF663" t="str">
        <f>HYPERLINK("http://dx.doi.org/10.1111/pops.12693","http://dx.doi.org/10.1111/pops.12693")</f>
        <v>http://dx.doi.org/10.1111/pops.12693</v>
      </c>
      <c r="BG663" t="s">
        <v>72</v>
      </c>
      <c r="BH663" t="s">
        <v>2703</v>
      </c>
      <c r="BI663">
        <v>19</v>
      </c>
      <c r="BJ663" t="s">
        <v>2811</v>
      </c>
      <c r="BK663" s="1" t="s">
        <v>17619</v>
      </c>
      <c r="BL663" t="s">
        <v>14955</v>
      </c>
      <c r="BM663" t="s">
        <v>72</v>
      </c>
      <c r="BN663" t="s">
        <v>72</v>
      </c>
      <c r="BO663" t="s">
        <v>72</v>
      </c>
      <c r="BP663" t="s">
        <v>72</v>
      </c>
      <c r="BQ663" t="s">
        <v>100</v>
      </c>
      <c r="BR663" t="s">
        <v>14956</v>
      </c>
      <c r="BS663" t="str">
        <f>HYPERLINK("https%3A%2F%2Fwww.webofscience.com%2Fwos%2Fwoscc%2Ffull-record%2FWOS:000572809700001","View Full Record in Web of Science")</f>
        <v>View Full Record in Web of Science</v>
      </c>
    </row>
    <row r="664" spans="1:71" x14ac:dyDescent="0.2">
      <c r="A664" t="s">
        <v>70</v>
      </c>
      <c r="B664" t="s">
        <v>14944</v>
      </c>
      <c r="C664" t="s">
        <v>72</v>
      </c>
      <c r="D664" t="s">
        <v>72</v>
      </c>
      <c r="E664" t="s">
        <v>72</v>
      </c>
      <c r="F664" t="s">
        <v>14945</v>
      </c>
      <c r="G664" t="s">
        <v>72</v>
      </c>
      <c r="H664" t="s">
        <v>72</v>
      </c>
      <c r="I664" t="s">
        <v>16670</v>
      </c>
      <c r="J664" t="s">
        <v>2798</v>
      </c>
      <c r="K664" t="s">
        <v>72</v>
      </c>
      <c r="L664" t="s">
        <v>72</v>
      </c>
      <c r="M664" t="s">
        <v>76</v>
      </c>
      <c r="N664" t="s">
        <v>77</v>
      </c>
      <c r="O664" t="s">
        <v>72</v>
      </c>
      <c r="P664" t="s">
        <v>72</v>
      </c>
      <c r="Q664" t="s">
        <v>72</v>
      </c>
      <c r="R664" t="s">
        <v>72</v>
      </c>
      <c r="S664" t="s">
        <v>72</v>
      </c>
      <c r="T664" t="s">
        <v>16671</v>
      </c>
      <c r="U664" t="s">
        <v>16672</v>
      </c>
      <c r="V664" t="s">
        <v>16673</v>
      </c>
      <c r="W664" t="s">
        <v>16674</v>
      </c>
      <c r="X664" t="s">
        <v>2644</v>
      </c>
      <c r="Y664" t="s">
        <v>16675</v>
      </c>
      <c r="Z664" t="s">
        <v>16676</v>
      </c>
      <c r="AA664" t="s">
        <v>72</v>
      </c>
      <c r="AB664" t="s">
        <v>14953</v>
      </c>
      <c r="AC664" t="s">
        <v>72</v>
      </c>
      <c r="AD664" t="s">
        <v>72</v>
      </c>
      <c r="AE664" t="s">
        <v>72</v>
      </c>
      <c r="AF664" t="s">
        <v>72</v>
      </c>
      <c r="AG664">
        <v>76</v>
      </c>
      <c r="AH664">
        <v>0</v>
      </c>
      <c r="AI664">
        <v>0</v>
      </c>
      <c r="AJ664">
        <v>11</v>
      </c>
      <c r="AK664">
        <v>13</v>
      </c>
      <c r="AL664" t="s">
        <v>1260</v>
      </c>
      <c r="AM664" t="s">
        <v>964</v>
      </c>
      <c r="AN664" t="s">
        <v>965</v>
      </c>
      <c r="AO664" t="s">
        <v>2807</v>
      </c>
      <c r="AP664" t="s">
        <v>3488</v>
      </c>
      <c r="AQ664" t="s">
        <v>72</v>
      </c>
      <c r="AR664" t="s">
        <v>2808</v>
      </c>
      <c r="AS664" t="s">
        <v>2809</v>
      </c>
      <c r="AT664" t="s">
        <v>395</v>
      </c>
      <c r="AU664">
        <v>2022</v>
      </c>
      <c r="AV664">
        <v>43</v>
      </c>
      <c r="AW664">
        <v>5</v>
      </c>
      <c r="AX664" t="s">
        <v>72</v>
      </c>
      <c r="AY664" t="s">
        <v>72</v>
      </c>
      <c r="AZ664" t="s">
        <v>478</v>
      </c>
      <c r="BA664" t="s">
        <v>72</v>
      </c>
      <c r="BB664">
        <v>827</v>
      </c>
      <c r="BC664">
        <v>850</v>
      </c>
      <c r="BD664" t="s">
        <v>72</v>
      </c>
      <c r="BE664" t="s">
        <v>16677</v>
      </c>
      <c r="BF664" t="str">
        <f>HYPERLINK("http://dx.doi.org/10.1111/pops.12831","http://dx.doi.org/10.1111/pops.12831")</f>
        <v>http://dx.doi.org/10.1111/pops.12831</v>
      </c>
      <c r="BG664" t="s">
        <v>72</v>
      </c>
      <c r="BH664" t="s">
        <v>1403</v>
      </c>
      <c r="BI664">
        <v>24</v>
      </c>
      <c r="BJ664" t="s">
        <v>2811</v>
      </c>
      <c r="BK664" s="1" t="s">
        <v>17619</v>
      </c>
      <c r="BL664" t="s">
        <v>16678</v>
      </c>
      <c r="BM664">
        <v>35941918</v>
      </c>
      <c r="BN664" t="s">
        <v>1128</v>
      </c>
      <c r="BO664" t="s">
        <v>72</v>
      </c>
      <c r="BP664" t="s">
        <v>72</v>
      </c>
      <c r="BQ664" t="s">
        <v>100</v>
      </c>
      <c r="BR664" t="s">
        <v>16679</v>
      </c>
      <c r="BS664" t="str">
        <f>HYPERLINK("https%3A%2F%2Fwww.webofscience.com%2Fwos%2Fwoscc%2Ffull-record%2FWOS:000792505100001","View Full Record in Web of Science")</f>
        <v>View Full Record in Web of Science</v>
      </c>
    </row>
    <row r="665" spans="1:71" x14ac:dyDescent="0.2">
      <c r="A665" t="s">
        <v>70</v>
      </c>
      <c r="B665" t="s">
        <v>348</v>
      </c>
      <c r="C665" t="s">
        <v>72</v>
      </c>
      <c r="D665" t="s">
        <v>72</v>
      </c>
      <c r="E665" t="s">
        <v>72</v>
      </c>
      <c r="F665" t="s">
        <v>349</v>
      </c>
      <c r="G665" t="s">
        <v>72</v>
      </c>
      <c r="H665" t="s">
        <v>72</v>
      </c>
      <c r="I665" t="s">
        <v>350</v>
      </c>
      <c r="J665" t="s">
        <v>351</v>
      </c>
      <c r="K665" t="s">
        <v>72</v>
      </c>
      <c r="L665" t="s">
        <v>72</v>
      </c>
      <c r="M665" t="s">
        <v>76</v>
      </c>
      <c r="N665" t="s">
        <v>352</v>
      </c>
      <c r="O665" t="s">
        <v>72</v>
      </c>
      <c r="P665" t="s">
        <v>72</v>
      </c>
      <c r="Q665" t="s">
        <v>72</v>
      </c>
      <c r="R665" t="s">
        <v>72</v>
      </c>
      <c r="S665" t="s">
        <v>72</v>
      </c>
      <c r="T665" t="s">
        <v>353</v>
      </c>
      <c r="U665" t="s">
        <v>72</v>
      </c>
      <c r="V665" t="s">
        <v>354</v>
      </c>
      <c r="W665" t="s">
        <v>355</v>
      </c>
      <c r="X665" t="s">
        <v>356</v>
      </c>
      <c r="Y665" t="s">
        <v>357</v>
      </c>
      <c r="Z665" t="s">
        <v>358</v>
      </c>
      <c r="AA665" t="s">
        <v>359</v>
      </c>
      <c r="AB665" t="s">
        <v>360</v>
      </c>
      <c r="AC665" t="s">
        <v>361</v>
      </c>
      <c r="AD665" t="s">
        <v>362</v>
      </c>
      <c r="AE665" t="s">
        <v>363</v>
      </c>
      <c r="AF665" t="s">
        <v>72</v>
      </c>
      <c r="AG665">
        <v>36</v>
      </c>
      <c r="AH665">
        <v>0</v>
      </c>
      <c r="AI665">
        <v>0</v>
      </c>
      <c r="AJ665">
        <v>1</v>
      </c>
      <c r="AK665">
        <v>1</v>
      </c>
      <c r="AL665" t="s">
        <v>364</v>
      </c>
      <c r="AM665" t="s">
        <v>365</v>
      </c>
      <c r="AN665" t="s">
        <v>366</v>
      </c>
      <c r="AO665" t="s">
        <v>367</v>
      </c>
      <c r="AP665" t="s">
        <v>368</v>
      </c>
      <c r="AQ665" t="s">
        <v>72</v>
      </c>
      <c r="AR665" t="s">
        <v>369</v>
      </c>
      <c r="AS665" t="s">
        <v>370</v>
      </c>
      <c r="AT665" t="s">
        <v>72</v>
      </c>
      <c r="AU665" t="s">
        <v>72</v>
      </c>
      <c r="AV665" t="s">
        <v>72</v>
      </c>
      <c r="AW665" t="s">
        <v>72</v>
      </c>
      <c r="AX665" t="s">
        <v>72</v>
      </c>
      <c r="AY665" t="s">
        <v>72</v>
      </c>
      <c r="AZ665" t="s">
        <v>72</v>
      </c>
      <c r="BA665" t="s">
        <v>72</v>
      </c>
      <c r="BB665" t="s">
        <v>72</v>
      </c>
      <c r="BC665" t="s">
        <v>72</v>
      </c>
      <c r="BD665" t="s">
        <v>72</v>
      </c>
      <c r="BE665" t="s">
        <v>371</v>
      </c>
      <c r="BF665" t="str">
        <f>HYPERLINK("http://dx.doi.org/10.1080/13501763.2022.2099956","http://dx.doi.org/10.1080/13501763.2022.2099956")</f>
        <v>http://dx.doi.org/10.1080/13501763.2022.2099956</v>
      </c>
      <c r="BG665" t="s">
        <v>72</v>
      </c>
      <c r="BH665" t="s">
        <v>372</v>
      </c>
      <c r="BI665">
        <v>23</v>
      </c>
      <c r="BJ665" t="s">
        <v>373</v>
      </c>
      <c r="BK665" s="1" t="s">
        <v>17619</v>
      </c>
      <c r="BL665" t="s">
        <v>374</v>
      </c>
      <c r="BM665" t="s">
        <v>72</v>
      </c>
      <c r="BN665" t="s">
        <v>280</v>
      </c>
      <c r="BO665" t="s">
        <v>72</v>
      </c>
      <c r="BP665" t="s">
        <v>72</v>
      </c>
      <c r="BQ665" t="s">
        <v>100</v>
      </c>
      <c r="BR665" t="s">
        <v>375</v>
      </c>
      <c r="BS665" t="str">
        <f>HYPERLINK("https%3A%2F%2Fwww.webofscience.com%2Fwos%2Fwoscc%2Ffull-record%2FWOS:000829916500001","View Full Record in Web of Science")</f>
        <v>View Full Record in Web of Science</v>
      </c>
    </row>
    <row r="666" spans="1:71" x14ac:dyDescent="0.2">
      <c r="A666" t="s">
        <v>70</v>
      </c>
      <c r="B666" t="s">
        <v>955</v>
      </c>
      <c r="C666" t="s">
        <v>72</v>
      </c>
      <c r="D666" t="s">
        <v>72</v>
      </c>
      <c r="E666" t="s">
        <v>72</v>
      </c>
      <c r="F666" t="s">
        <v>956</v>
      </c>
      <c r="G666" t="s">
        <v>72</v>
      </c>
      <c r="H666" t="s">
        <v>72</v>
      </c>
      <c r="I666" t="s">
        <v>957</v>
      </c>
      <c r="J666" t="s">
        <v>958</v>
      </c>
      <c r="K666" t="s">
        <v>72</v>
      </c>
      <c r="L666" t="s">
        <v>72</v>
      </c>
      <c r="M666" t="s">
        <v>76</v>
      </c>
      <c r="N666" t="s">
        <v>442</v>
      </c>
      <c r="O666" t="s">
        <v>72</v>
      </c>
      <c r="P666" t="s">
        <v>72</v>
      </c>
      <c r="Q666" t="s">
        <v>72</v>
      </c>
      <c r="R666" t="s">
        <v>72</v>
      </c>
      <c r="S666" t="s">
        <v>72</v>
      </c>
      <c r="T666" t="s">
        <v>72</v>
      </c>
      <c r="U666" t="s">
        <v>959</v>
      </c>
      <c r="V666" t="s">
        <v>72</v>
      </c>
      <c r="W666" t="s">
        <v>960</v>
      </c>
      <c r="X666" t="s">
        <v>164</v>
      </c>
      <c r="Y666" t="s">
        <v>961</v>
      </c>
      <c r="Z666" t="s">
        <v>72</v>
      </c>
      <c r="AA666" t="s">
        <v>72</v>
      </c>
      <c r="AB666" t="s">
        <v>962</v>
      </c>
      <c r="AC666" t="s">
        <v>72</v>
      </c>
      <c r="AD666" t="s">
        <v>72</v>
      </c>
      <c r="AE666" t="s">
        <v>72</v>
      </c>
      <c r="AF666" t="s">
        <v>72</v>
      </c>
      <c r="AG666">
        <v>6</v>
      </c>
      <c r="AH666">
        <v>1</v>
      </c>
      <c r="AI666">
        <v>1</v>
      </c>
      <c r="AJ666">
        <v>0</v>
      </c>
      <c r="AK666">
        <v>26</v>
      </c>
      <c r="AL666" t="s">
        <v>963</v>
      </c>
      <c r="AM666" t="s">
        <v>964</v>
      </c>
      <c r="AN666" t="s">
        <v>965</v>
      </c>
      <c r="AO666" t="s">
        <v>966</v>
      </c>
      <c r="AP666" t="s">
        <v>967</v>
      </c>
      <c r="AQ666" t="s">
        <v>72</v>
      </c>
      <c r="AR666" t="s">
        <v>968</v>
      </c>
      <c r="AS666" t="s">
        <v>969</v>
      </c>
      <c r="AT666" t="s">
        <v>555</v>
      </c>
      <c r="AU666">
        <v>2016</v>
      </c>
      <c r="AV666">
        <v>94</v>
      </c>
      <c r="AW666">
        <v>1</v>
      </c>
      <c r="AX666" t="s">
        <v>72</v>
      </c>
      <c r="AY666" t="s">
        <v>72</v>
      </c>
      <c r="AZ666" t="s">
        <v>478</v>
      </c>
      <c r="BA666" t="s">
        <v>72</v>
      </c>
      <c r="BB666">
        <v>278</v>
      </c>
      <c r="BC666" t="s">
        <v>970</v>
      </c>
      <c r="BD666" t="s">
        <v>72</v>
      </c>
      <c r="BE666" t="s">
        <v>971</v>
      </c>
      <c r="BF666" t="str">
        <f>HYPERLINK("http://dx.doi.org/10.1111/padm.12231","http://dx.doi.org/10.1111/padm.12231")</f>
        <v>http://dx.doi.org/10.1111/padm.12231</v>
      </c>
      <c r="BG666" t="s">
        <v>72</v>
      </c>
      <c r="BH666" t="s">
        <v>72</v>
      </c>
      <c r="BI666">
        <v>3</v>
      </c>
      <c r="BJ666" t="s">
        <v>373</v>
      </c>
      <c r="BK666" s="1" t="s">
        <v>17619</v>
      </c>
      <c r="BL666" t="s">
        <v>972</v>
      </c>
      <c r="BM666" t="s">
        <v>72</v>
      </c>
      <c r="BN666" t="s">
        <v>72</v>
      </c>
      <c r="BO666" t="s">
        <v>72</v>
      </c>
      <c r="BP666" t="s">
        <v>72</v>
      </c>
      <c r="BQ666" t="s">
        <v>100</v>
      </c>
      <c r="BR666" t="s">
        <v>973</v>
      </c>
      <c r="BS666" t="str">
        <f>HYPERLINK("https%3A%2F%2Fwww.webofscience.com%2Fwos%2Fwoscc%2Ffull-record%2FWOS:000372350600018","View Full Record in Web of Science")</f>
        <v>View Full Record in Web of Science</v>
      </c>
    </row>
    <row r="667" spans="1:71" x14ac:dyDescent="0.2">
      <c r="A667" t="s">
        <v>70</v>
      </c>
      <c r="B667" t="s">
        <v>1353</v>
      </c>
      <c r="C667" t="s">
        <v>72</v>
      </c>
      <c r="D667" t="s">
        <v>72</v>
      </c>
      <c r="E667" t="s">
        <v>72</v>
      </c>
      <c r="F667" t="s">
        <v>1354</v>
      </c>
      <c r="G667" t="s">
        <v>72</v>
      </c>
      <c r="H667" t="s">
        <v>72</v>
      </c>
      <c r="I667" t="s">
        <v>1355</v>
      </c>
      <c r="J667" t="s">
        <v>351</v>
      </c>
      <c r="K667" t="s">
        <v>72</v>
      </c>
      <c r="L667" t="s">
        <v>72</v>
      </c>
      <c r="M667" t="s">
        <v>76</v>
      </c>
      <c r="N667" t="s">
        <v>77</v>
      </c>
      <c r="O667" t="s">
        <v>72</v>
      </c>
      <c r="P667" t="s">
        <v>72</v>
      </c>
      <c r="Q667" t="s">
        <v>72</v>
      </c>
      <c r="R667" t="s">
        <v>72</v>
      </c>
      <c r="S667" t="s">
        <v>72</v>
      </c>
      <c r="T667" t="s">
        <v>1356</v>
      </c>
      <c r="U667" t="s">
        <v>1357</v>
      </c>
      <c r="V667" t="s">
        <v>1358</v>
      </c>
      <c r="W667" t="s">
        <v>1359</v>
      </c>
      <c r="X667" t="s">
        <v>1360</v>
      </c>
      <c r="Y667" t="s">
        <v>1361</v>
      </c>
      <c r="Z667" t="s">
        <v>1362</v>
      </c>
      <c r="AA667" t="s">
        <v>72</v>
      </c>
      <c r="AB667" t="s">
        <v>72</v>
      </c>
      <c r="AC667" t="s">
        <v>72</v>
      </c>
      <c r="AD667" t="s">
        <v>72</v>
      </c>
      <c r="AE667" t="s">
        <v>72</v>
      </c>
      <c r="AF667" t="s">
        <v>72</v>
      </c>
      <c r="AG667">
        <v>31</v>
      </c>
      <c r="AH667">
        <v>7</v>
      </c>
      <c r="AI667">
        <v>7</v>
      </c>
      <c r="AJ667">
        <v>0</v>
      </c>
      <c r="AK667">
        <v>9</v>
      </c>
      <c r="AL667" t="s">
        <v>364</v>
      </c>
      <c r="AM667" t="s">
        <v>365</v>
      </c>
      <c r="AN667" t="s">
        <v>1363</v>
      </c>
      <c r="AO667" t="s">
        <v>367</v>
      </c>
      <c r="AP667" t="s">
        <v>72</v>
      </c>
      <c r="AQ667" t="s">
        <v>72</v>
      </c>
      <c r="AR667" t="s">
        <v>369</v>
      </c>
      <c r="AS667" t="s">
        <v>370</v>
      </c>
      <c r="AT667" t="s">
        <v>72</v>
      </c>
      <c r="AU667">
        <v>2012</v>
      </c>
      <c r="AV667">
        <v>19</v>
      </c>
      <c r="AW667">
        <v>9</v>
      </c>
      <c r="AX667" t="s">
        <v>72</v>
      </c>
      <c r="AY667" t="s">
        <v>72</v>
      </c>
      <c r="AZ667" t="s">
        <v>72</v>
      </c>
      <c r="BA667" t="s">
        <v>72</v>
      </c>
      <c r="BB667">
        <v>1336</v>
      </c>
      <c r="BC667">
        <v>1356</v>
      </c>
      <c r="BD667" t="s">
        <v>72</v>
      </c>
      <c r="BE667" t="s">
        <v>1364</v>
      </c>
      <c r="BF667" t="str">
        <f>HYPERLINK("http://dx.doi.org/10.1080/13501763.2012.662072","http://dx.doi.org/10.1080/13501763.2012.662072")</f>
        <v>http://dx.doi.org/10.1080/13501763.2012.662072</v>
      </c>
      <c r="BG667" t="s">
        <v>72</v>
      </c>
      <c r="BH667" t="s">
        <v>72</v>
      </c>
      <c r="BI667">
        <v>21</v>
      </c>
      <c r="BJ667" t="s">
        <v>373</v>
      </c>
      <c r="BK667" s="1" t="s">
        <v>17619</v>
      </c>
      <c r="BL667" t="s">
        <v>1365</v>
      </c>
      <c r="BM667" t="s">
        <v>72</v>
      </c>
      <c r="BN667" t="s">
        <v>72</v>
      </c>
      <c r="BO667" t="s">
        <v>72</v>
      </c>
      <c r="BP667" t="s">
        <v>72</v>
      </c>
      <c r="BQ667" t="s">
        <v>100</v>
      </c>
      <c r="BR667" t="s">
        <v>1366</v>
      </c>
      <c r="BS667" t="str">
        <f>HYPERLINK("https%3A%2F%2Fwww.webofscience.com%2Fwos%2Fwoscc%2Ffull-record%2FWOS:000310591500003","View Full Record in Web of Science")</f>
        <v>View Full Record in Web of Science</v>
      </c>
    </row>
    <row r="668" spans="1:71" x14ac:dyDescent="0.2">
      <c r="A668" t="s">
        <v>70</v>
      </c>
      <c r="B668" t="s">
        <v>2434</v>
      </c>
      <c r="C668" t="s">
        <v>72</v>
      </c>
      <c r="D668" t="s">
        <v>72</v>
      </c>
      <c r="E668" t="s">
        <v>72</v>
      </c>
      <c r="F668" t="s">
        <v>2435</v>
      </c>
      <c r="G668" t="s">
        <v>72</v>
      </c>
      <c r="H668" t="s">
        <v>72</v>
      </c>
      <c r="I668" t="s">
        <v>2436</v>
      </c>
      <c r="J668" t="s">
        <v>2437</v>
      </c>
      <c r="K668" t="s">
        <v>72</v>
      </c>
      <c r="L668" t="s">
        <v>72</v>
      </c>
      <c r="M668" t="s">
        <v>76</v>
      </c>
      <c r="N668" t="s">
        <v>77</v>
      </c>
      <c r="O668" t="s">
        <v>72</v>
      </c>
      <c r="P668" t="s">
        <v>72</v>
      </c>
      <c r="Q668" t="s">
        <v>72</v>
      </c>
      <c r="R668" t="s">
        <v>72</v>
      </c>
      <c r="S668" t="s">
        <v>72</v>
      </c>
      <c r="T668" t="s">
        <v>2438</v>
      </c>
      <c r="U668" t="s">
        <v>2439</v>
      </c>
      <c r="V668" t="s">
        <v>2440</v>
      </c>
      <c r="W668" t="s">
        <v>2441</v>
      </c>
      <c r="X668" t="s">
        <v>2442</v>
      </c>
      <c r="Y668" t="s">
        <v>2443</v>
      </c>
      <c r="Z668" t="s">
        <v>2444</v>
      </c>
      <c r="AA668" t="s">
        <v>72</v>
      </c>
      <c r="AB668" t="s">
        <v>72</v>
      </c>
      <c r="AC668" t="s">
        <v>2445</v>
      </c>
      <c r="AD668" t="s">
        <v>2446</v>
      </c>
      <c r="AE668" t="s">
        <v>2447</v>
      </c>
      <c r="AF668" t="s">
        <v>72</v>
      </c>
      <c r="AG668">
        <v>41</v>
      </c>
      <c r="AH668">
        <v>32</v>
      </c>
      <c r="AI668">
        <v>32</v>
      </c>
      <c r="AJ668">
        <v>3</v>
      </c>
      <c r="AK668">
        <v>58</v>
      </c>
      <c r="AL668" t="s">
        <v>240</v>
      </c>
      <c r="AM668" t="s">
        <v>241</v>
      </c>
      <c r="AN668" t="s">
        <v>242</v>
      </c>
      <c r="AO668" t="s">
        <v>2448</v>
      </c>
      <c r="AP668" t="s">
        <v>2449</v>
      </c>
      <c r="AQ668" t="s">
        <v>72</v>
      </c>
      <c r="AR668" t="s">
        <v>2450</v>
      </c>
      <c r="AS668" t="s">
        <v>2451</v>
      </c>
      <c r="AT668" t="s">
        <v>639</v>
      </c>
      <c r="AU668">
        <v>2015</v>
      </c>
      <c r="AV668">
        <v>35</v>
      </c>
      <c r="AW668">
        <v>2</v>
      </c>
      <c r="AX668" t="s">
        <v>72</v>
      </c>
      <c r="AY668" t="s">
        <v>72</v>
      </c>
      <c r="AZ668" t="s">
        <v>72</v>
      </c>
      <c r="BA668" t="s">
        <v>72</v>
      </c>
      <c r="BB668">
        <v>223</v>
      </c>
      <c r="BC668">
        <v>244</v>
      </c>
      <c r="BD668" t="s">
        <v>72</v>
      </c>
      <c r="BE668" t="s">
        <v>2452</v>
      </c>
      <c r="BF668" t="str">
        <f>HYPERLINK("http://dx.doi.org/10.1017/S0143814X14000294","http://dx.doi.org/10.1017/S0143814X14000294")</f>
        <v>http://dx.doi.org/10.1017/S0143814X14000294</v>
      </c>
      <c r="BG668" t="s">
        <v>72</v>
      </c>
      <c r="BH668" t="s">
        <v>72</v>
      </c>
      <c r="BI668">
        <v>22</v>
      </c>
      <c r="BJ668" t="s">
        <v>373</v>
      </c>
      <c r="BK668" s="1" t="s">
        <v>17619</v>
      </c>
      <c r="BL668" t="s">
        <v>2453</v>
      </c>
      <c r="BM668" t="s">
        <v>72</v>
      </c>
      <c r="BN668" t="s">
        <v>72</v>
      </c>
      <c r="BO668" t="s">
        <v>72</v>
      </c>
      <c r="BP668" t="s">
        <v>72</v>
      </c>
      <c r="BQ668" t="s">
        <v>100</v>
      </c>
      <c r="BR668" t="s">
        <v>2454</v>
      </c>
      <c r="BS668" t="str">
        <f>HYPERLINK("https%3A%2F%2Fwww.webofscience.com%2Fwos%2Fwoscc%2Ffull-record%2FWOS:000356925300003","View Full Record in Web of Science")</f>
        <v>View Full Record in Web of Science</v>
      </c>
    </row>
    <row r="669" spans="1:71" x14ac:dyDescent="0.2">
      <c r="A669" t="s">
        <v>70</v>
      </c>
      <c r="B669" t="s">
        <v>2636</v>
      </c>
      <c r="C669" t="s">
        <v>72</v>
      </c>
      <c r="D669" t="s">
        <v>72</v>
      </c>
      <c r="E669" t="s">
        <v>72</v>
      </c>
      <c r="F669" t="s">
        <v>2637</v>
      </c>
      <c r="G669" t="s">
        <v>72</v>
      </c>
      <c r="H669" t="s">
        <v>72</v>
      </c>
      <c r="I669" t="s">
        <v>2638</v>
      </c>
      <c r="J669" t="s">
        <v>2639</v>
      </c>
      <c r="K669" t="s">
        <v>72</v>
      </c>
      <c r="L669" t="s">
        <v>72</v>
      </c>
      <c r="M669" t="s">
        <v>76</v>
      </c>
      <c r="N669" t="s">
        <v>77</v>
      </c>
      <c r="O669" t="s">
        <v>72</v>
      </c>
      <c r="P669" t="s">
        <v>72</v>
      </c>
      <c r="Q669" t="s">
        <v>72</v>
      </c>
      <c r="R669" t="s">
        <v>72</v>
      </c>
      <c r="S669" t="s">
        <v>72</v>
      </c>
      <c r="T669" t="s">
        <v>2640</v>
      </c>
      <c r="U669" t="s">
        <v>2641</v>
      </c>
      <c r="V669" t="s">
        <v>2642</v>
      </c>
      <c r="W669" t="s">
        <v>2643</v>
      </c>
      <c r="X669" t="s">
        <v>2644</v>
      </c>
      <c r="Y669" t="s">
        <v>2645</v>
      </c>
      <c r="Z669" t="s">
        <v>2646</v>
      </c>
      <c r="AA669" t="s">
        <v>72</v>
      </c>
      <c r="AB669" t="s">
        <v>2647</v>
      </c>
      <c r="AC669" t="s">
        <v>2648</v>
      </c>
      <c r="AD669" t="s">
        <v>2649</v>
      </c>
      <c r="AE669" t="s">
        <v>2650</v>
      </c>
      <c r="AF669" t="s">
        <v>72</v>
      </c>
      <c r="AG669">
        <v>52</v>
      </c>
      <c r="AH669">
        <v>2</v>
      </c>
      <c r="AI669">
        <v>2</v>
      </c>
      <c r="AJ669">
        <v>4</v>
      </c>
      <c r="AK669">
        <v>20</v>
      </c>
      <c r="AL669" t="s">
        <v>1260</v>
      </c>
      <c r="AM669" t="s">
        <v>964</v>
      </c>
      <c r="AN669" t="s">
        <v>965</v>
      </c>
      <c r="AO669" t="s">
        <v>2651</v>
      </c>
      <c r="AP669" t="s">
        <v>2652</v>
      </c>
      <c r="AQ669" t="s">
        <v>72</v>
      </c>
      <c r="AR669" t="s">
        <v>2653</v>
      </c>
      <c r="AS669" t="s">
        <v>2654</v>
      </c>
      <c r="AT669" t="s">
        <v>395</v>
      </c>
      <c r="AU669">
        <v>2021</v>
      </c>
      <c r="AV669">
        <v>15</v>
      </c>
      <c r="AW669">
        <v>4</v>
      </c>
      <c r="AX669" t="s">
        <v>72</v>
      </c>
      <c r="AY669" t="s">
        <v>72</v>
      </c>
      <c r="AZ669" t="s">
        <v>72</v>
      </c>
      <c r="BA669" t="s">
        <v>72</v>
      </c>
      <c r="BB669">
        <v>1436</v>
      </c>
      <c r="BC669">
        <v>1453</v>
      </c>
      <c r="BD669" t="s">
        <v>72</v>
      </c>
      <c r="BE669" t="s">
        <v>2655</v>
      </c>
      <c r="BF669" t="str">
        <f>HYPERLINK("http://dx.doi.org/10.1111/rego.12312","http://dx.doi.org/10.1111/rego.12312")</f>
        <v>http://dx.doi.org/10.1111/rego.12312</v>
      </c>
      <c r="BG669" t="s">
        <v>72</v>
      </c>
      <c r="BH669" t="s">
        <v>2656</v>
      </c>
      <c r="BI669">
        <v>18</v>
      </c>
      <c r="BJ669" t="s">
        <v>2657</v>
      </c>
      <c r="BK669" s="1" t="s">
        <v>17619</v>
      </c>
      <c r="BL669" t="s">
        <v>2658</v>
      </c>
      <c r="BM669" t="s">
        <v>72</v>
      </c>
      <c r="BN669" t="s">
        <v>72</v>
      </c>
      <c r="BO669" t="s">
        <v>72</v>
      </c>
      <c r="BP669" t="s">
        <v>72</v>
      </c>
      <c r="BQ669" t="s">
        <v>100</v>
      </c>
      <c r="BR669" t="s">
        <v>2659</v>
      </c>
      <c r="BS669" t="str">
        <f>HYPERLINK("https%3A%2F%2Fwww.webofscience.com%2Fwos%2Fwoscc%2Ffull-record%2FWOS:000528779600001","View Full Record in Web of Science")</f>
        <v>View Full Record in Web of Science</v>
      </c>
    </row>
    <row r="670" spans="1:71" x14ac:dyDescent="0.2">
      <c r="A670" t="s">
        <v>70</v>
      </c>
      <c r="B670" t="s">
        <v>485</v>
      </c>
      <c r="C670" t="s">
        <v>72</v>
      </c>
      <c r="D670" t="s">
        <v>72</v>
      </c>
      <c r="E670" t="s">
        <v>72</v>
      </c>
      <c r="F670" t="s">
        <v>486</v>
      </c>
      <c r="G670" t="s">
        <v>72</v>
      </c>
      <c r="H670" t="s">
        <v>72</v>
      </c>
      <c r="I670" t="s">
        <v>2965</v>
      </c>
      <c r="J670" t="s">
        <v>351</v>
      </c>
      <c r="K670" t="s">
        <v>72</v>
      </c>
      <c r="L670" t="s">
        <v>72</v>
      </c>
      <c r="M670" t="s">
        <v>76</v>
      </c>
      <c r="N670" t="s">
        <v>77</v>
      </c>
      <c r="O670" t="s">
        <v>72</v>
      </c>
      <c r="P670" t="s">
        <v>72</v>
      </c>
      <c r="Q670" t="s">
        <v>72</v>
      </c>
      <c r="R670" t="s">
        <v>72</v>
      </c>
      <c r="S670" t="s">
        <v>72</v>
      </c>
      <c r="T670" t="s">
        <v>2966</v>
      </c>
      <c r="U670" t="s">
        <v>2967</v>
      </c>
      <c r="V670" t="s">
        <v>2968</v>
      </c>
      <c r="W670" t="s">
        <v>2969</v>
      </c>
      <c r="X670" t="s">
        <v>1360</v>
      </c>
      <c r="Y670" t="s">
        <v>2970</v>
      </c>
      <c r="Z670" t="s">
        <v>2971</v>
      </c>
      <c r="AA670" t="s">
        <v>72</v>
      </c>
      <c r="AB670" t="s">
        <v>72</v>
      </c>
      <c r="AC670" t="s">
        <v>72</v>
      </c>
      <c r="AD670" t="s">
        <v>72</v>
      </c>
      <c r="AE670" t="s">
        <v>72</v>
      </c>
      <c r="AF670" t="s">
        <v>72</v>
      </c>
      <c r="AG670">
        <v>42</v>
      </c>
      <c r="AH670">
        <v>53</v>
      </c>
      <c r="AI670">
        <v>54</v>
      </c>
      <c r="AJ670">
        <v>1</v>
      </c>
      <c r="AK670">
        <v>57</v>
      </c>
      <c r="AL670" t="s">
        <v>364</v>
      </c>
      <c r="AM670" t="s">
        <v>365</v>
      </c>
      <c r="AN670" t="s">
        <v>1363</v>
      </c>
      <c r="AO670" t="s">
        <v>367</v>
      </c>
      <c r="AP670" t="s">
        <v>72</v>
      </c>
      <c r="AQ670" t="s">
        <v>72</v>
      </c>
      <c r="AR670" t="s">
        <v>369</v>
      </c>
      <c r="AS670" t="s">
        <v>370</v>
      </c>
      <c r="AT670" t="s">
        <v>72</v>
      </c>
      <c r="AU670">
        <v>2013</v>
      </c>
      <c r="AV670">
        <v>20</v>
      </c>
      <c r="AW670">
        <v>1</v>
      </c>
      <c r="AX670" t="s">
        <v>72</v>
      </c>
      <c r="AY670" t="s">
        <v>72</v>
      </c>
      <c r="AZ670" t="s">
        <v>72</v>
      </c>
      <c r="BA670" t="s">
        <v>72</v>
      </c>
      <c r="BB670">
        <v>59</v>
      </c>
      <c r="BC670">
        <v>76</v>
      </c>
      <c r="BD670" t="s">
        <v>72</v>
      </c>
      <c r="BE670" t="s">
        <v>2972</v>
      </c>
      <c r="BF670" t="str">
        <f>HYPERLINK("http://dx.doi.org/10.1080/13501763.2012.699661","http://dx.doi.org/10.1080/13501763.2012.699661")</f>
        <v>http://dx.doi.org/10.1080/13501763.2012.699661</v>
      </c>
      <c r="BG670" t="s">
        <v>72</v>
      </c>
      <c r="BH670" t="s">
        <v>72</v>
      </c>
      <c r="BI670">
        <v>18</v>
      </c>
      <c r="BJ670" t="s">
        <v>373</v>
      </c>
      <c r="BK670" s="1" t="s">
        <v>17619</v>
      </c>
      <c r="BL670" t="s">
        <v>2973</v>
      </c>
      <c r="BM670" t="s">
        <v>72</v>
      </c>
      <c r="BN670" t="s">
        <v>72</v>
      </c>
      <c r="BO670" t="s">
        <v>72</v>
      </c>
      <c r="BP670" t="s">
        <v>72</v>
      </c>
      <c r="BQ670" t="s">
        <v>100</v>
      </c>
      <c r="BR670" t="s">
        <v>2974</v>
      </c>
      <c r="BS670" t="str">
        <f>HYPERLINK("https%3A%2F%2Fwww.webofscience.com%2Fwos%2Fwoscc%2Ffull-record%2FWOS:000311538200004","View Full Record in Web of Science")</f>
        <v>View Full Record in Web of Science</v>
      </c>
    </row>
    <row r="671" spans="1:71" x14ac:dyDescent="0.2">
      <c r="A671" t="s">
        <v>70</v>
      </c>
      <c r="B671" t="s">
        <v>3504</v>
      </c>
      <c r="C671" t="s">
        <v>72</v>
      </c>
      <c r="D671" t="s">
        <v>72</v>
      </c>
      <c r="E671" t="s">
        <v>72</v>
      </c>
      <c r="F671" t="s">
        <v>3505</v>
      </c>
      <c r="G671" t="s">
        <v>72</v>
      </c>
      <c r="H671" t="s">
        <v>72</v>
      </c>
      <c r="I671" t="s">
        <v>3506</v>
      </c>
      <c r="J671" t="s">
        <v>3507</v>
      </c>
      <c r="K671" t="s">
        <v>72</v>
      </c>
      <c r="L671" t="s">
        <v>72</v>
      </c>
      <c r="M671" t="s">
        <v>76</v>
      </c>
      <c r="N671" t="s">
        <v>1503</v>
      </c>
      <c r="O671" t="s">
        <v>72</v>
      </c>
      <c r="P671" t="s">
        <v>72</v>
      </c>
      <c r="Q671" t="s">
        <v>72</v>
      </c>
      <c r="R671" t="s">
        <v>72</v>
      </c>
      <c r="S671" t="s">
        <v>72</v>
      </c>
      <c r="T671" t="s">
        <v>72</v>
      </c>
      <c r="U671" t="s">
        <v>3508</v>
      </c>
      <c r="V671" t="s">
        <v>3509</v>
      </c>
      <c r="W671" t="s">
        <v>3510</v>
      </c>
      <c r="X671" t="s">
        <v>3511</v>
      </c>
      <c r="Y671" t="s">
        <v>3512</v>
      </c>
      <c r="Z671" t="s">
        <v>3513</v>
      </c>
      <c r="AA671" t="s">
        <v>3514</v>
      </c>
      <c r="AB671" t="s">
        <v>3515</v>
      </c>
      <c r="AC671" t="s">
        <v>72</v>
      </c>
      <c r="AD671" t="s">
        <v>72</v>
      </c>
      <c r="AE671" t="s">
        <v>72</v>
      </c>
      <c r="AF671" t="s">
        <v>72</v>
      </c>
      <c r="AG671">
        <v>43</v>
      </c>
      <c r="AH671">
        <v>23</v>
      </c>
      <c r="AI671">
        <v>23</v>
      </c>
      <c r="AJ671">
        <v>13</v>
      </c>
      <c r="AK671">
        <v>58</v>
      </c>
      <c r="AL671" t="s">
        <v>879</v>
      </c>
      <c r="AM671" t="s">
        <v>451</v>
      </c>
      <c r="AN671" t="s">
        <v>880</v>
      </c>
      <c r="AO671" t="s">
        <v>3516</v>
      </c>
      <c r="AP671" t="s">
        <v>3517</v>
      </c>
      <c r="AQ671" t="s">
        <v>72</v>
      </c>
      <c r="AR671" t="s">
        <v>3518</v>
      </c>
      <c r="AS671" t="s">
        <v>3519</v>
      </c>
      <c r="AT671" t="s">
        <v>776</v>
      </c>
      <c r="AU671">
        <v>2019</v>
      </c>
      <c r="AV671">
        <v>29</v>
      </c>
      <c r="AW671">
        <v>3</v>
      </c>
      <c r="AX671" t="s">
        <v>72</v>
      </c>
      <c r="AY671" t="s">
        <v>72</v>
      </c>
      <c r="AZ671" t="s">
        <v>72</v>
      </c>
      <c r="BA671" t="s">
        <v>72</v>
      </c>
      <c r="BB671">
        <v>474</v>
      </c>
      <c r="BC671">
        <v>490</v>
      </c>
      <c r="BD671" t="s">
        <v>72</v>
      </c>
      <c r="BE671" t="s">
        <v>3520</v>
      </c>
      <c r="BF671" t="str">
        <f>HYPERLINK("http://dx.doi.org/10.1093/jopart/muy045","http://dx.doi.org/10.1093/jopart/muy045")</f>
        <v>http://dx.doi.org/10.1093/jopart/muy045</v>
      </c>
      <c r="BG671" t="s">
        <v>72</v>
      </c>
      <c r="BH671" t="s">
        <v>72</v>
      </c>
      <c r="BI671">
        <v>17</v>
      </c>
      <c r="BJ671" t="s">
        <v>373</v>
      </c>
      <c r="BK671" s="1" t="s">
        <v>17619</v>
      </c>
      <c r="BL671" t="s">
        <v>3521</v>
      </c>
      <c r="BM671" t="s">
        <v>72</v>
      </c>
      <c r="BN671" t="s">
        <v>72</v>
      </c>
      <c r="BO671" t="s">
        <v>72</v>
      </c>
      <c r="BP671" t="s">
        <v>72</v>
      </c>
      <c r="BQ671" t="s">
        <v>100</v>
      </c>
      <c r="BR671" t="s">
        <v>3522</v>
      </c>
      <c r="BS671" t="str">
        <f>HYPERLINK("https%3A%2F%2Fwww.webofscience.com%2Fwos%2Fwoscc%2Ffull-record%2FWOS:000493048900007","View Full Record in Web of Science")</f>
        <v>View Full Record in Web of Science</v>
      </c>
    </row>
    <row r="672" spans="1:71" x14ac:dyDescent="0.2">
      <c r="A672" t="s">
        <v>70</v>
      </c>
      <c r="B672" t="s">
        <v>3693</v>
      </c>
      <c r="C672" t="s">
        <v>72</v>
      </c>
      <c r="D672" t="s">
        <v>72</v>
      </c>
      <c r="E672" t="s">
        <v>72</v>
      </c>
      <c r="F672" t="s">
        <v>3694</v>
      </c>
      <c r="G672" t="s">
        <v>72</v>
      </c>
      <c r="H672" t="s">
        <v>72</v>
      </c>
      <c r="I672" t="s">
        <v>3695</v>
      </c>
      <c r="J672" t="s">
        <v>3696</v>
      </c>
      <c r="K672" t="s">
        <v>72</v>
      </c>
      <c r="L672" t="s">
        <v>72</v>
      </c>
      <c r="M672" t="s">
        <v>76</v>
      </c>
      <c r="N672" t="s">
        <v>77</v>
      </c>
      <c r="O672" t="s">
        <v>72</v>
      </c>
      <c r="P672" t="s">
        <v>72</v>
      </c>
      <c r="Q672" t="s">
        <v>72</v>
      </c>
      <c r="R672" t="s">
        <v>72</v>
      </c>
      <c r="S672" t="s">
        <v>72</v>
      </c>
      <c r="T672" t="s">
        <v>3697</v>
      </c>
      <c r="U672" t="s">
        <v>3698</v>
      </c>
      <c r="V672" t="s">
        <v>3699</v>
      </c>
      <c r="W672" t="s">
        <v>3700</v>
      </c>
      <c r="X672" t="s">
        <v>3701</v>
      </c>
      <c r="Y672" t="s">
        <v>3702</v>
      </c>
      <c r="Z672" t="s">
        <v>72</v>
      </c>
      <c r="AA672" t="s">
        <v>72</v>
      </c>
      <c r="AB672" t="s">
        <v>72</v>
      </c>
      <c r="AC672" t="s">
        <v>72</v>
      </c>
      <c r="AD672" t="s">
        <v>72</v>
      </c>
      <c r="AE672" t="s">
        <v>72</v>
      </c>
      <c r="AF672" t="s">
        <v>72</v>
      </c>
      <c r="AG672">
        <v>57</v>
      </c>
      <c r="AH672">
        <v>28</v>
      </c>
      <c r="AI672">
        <v>28</v>
      </c>
      <c r="AJ672">
        <v>10</v>
      </c>
      <c r="AK672">
        <v>57</v>
      </c>
      <c r="AL672" t="s">
        <v>1260</v>
      </c>
      <c r="AM672" t="s">
        <v>964</v>
      </c>
      <c r="AN672" t="s">
        <v>965</v>
      </c>
      <c r="AO672" t="s">
        <v>3703</v>
      </c>
      <c r="AP672" t="s">
        <v>3704</v>
      </c>
      <c r="AQ672" t="s">
        <v>72</v>
      </c>
      <c r="AR672" t="s">
        <v>3705</v>
      </c>
      <c r="AS672" t="s">
        <v>3706</v>
      </c>
      <c r="AT672" t="s">
        <v>639</v>
      </c>
      <c r="AU672">
        <v>2016</v>
      </c>
      <c r="AV672">
        <v>44</v>
      </c>
      <c r="AW672">
        <v>3</v>
      </c>
      <c r="AX672" t="s">
        <v>72</v>
      </c>
      <c r="AY672" t="s">
        <v>72</v>
      </c>
      <c r="AZ672" t="s">
        <v>72</v>
      </c>
      <c r="BA672" t="s">
        <v>72</v>
      </c>
      <c r="BB672">
        <v>309</v>
      </c>
      <c r="BC672">
        <v>331</v>
      </c>
      <c r="BD672" t="s">
        <v>72</v>
      </c>
      <c r="BE672" t="s">
        <v>3707</v>
      </c>
      <c r="BF672" t="str">
        <f>HYPERLINK("http://dx.doi.org/10.1111/psj.12110","http://dx.doi.org/10.1111/psj.12110")</f>
        <v>http://dx.doi.org/10.1111/psj.12110</v>
      </c>
      <c r="BG672" t="s">
        <v>72</v>
      </c>
      <c r="BH672" t="s">
        <v>72</v>
      </c>
      <c r="BI672">
        <v>23</v>
      </c>
      <c r="BJ672" t="s">
        <v>373</v>
      </c>
      <c r="BK672" s="1" t="s">
        <v>17619</v>
      </c>
      <c r="BL672" t="s">
        <v>3708</v>
      </c>
      <c r="BM672" t="s">
        <v>72</v>
      </c>
      <c r="BN672" t="s">
        <v>72</v>
      </c>
      <c r="BO672" t="s">
        <v>72</v>
      </c>
      <c r="BP672" t="s">
        <v>72</v>
      </c>
      <c r="BQ672" t="s">
        <v>100</v>
      </c>
      <c r="BR672" t="s">
        <v>3709</v>
      </c>
      <c r="BS672" t="str">
        <f>HYPERLINK("https%3A%2F%2Fwww.webofscience.com%2Fwos%2Fwoscc%2Ffull-record%2FWOS:000388292000003","View Full Record in Web of Science")</f>
        <v>View Full Record in Web of Science</v>
      </c>
    </row>
    <row r="673" spans="1:71" x14ac:dyDescent="0.2">
      <c r="A673" t="s">
        <v>70</v>
      </c>
      <c r="B673" t="s">
        <v>5192</v>
      </c>
      <c r="C673" t="s">
        <v>72</v>
      </c>
      <c r="D673" t="s">
        <v>72</v>
      </c>
      <c r="E673" t="s">
        <v>72</v>
      </c>
      <c r="F673" t="s">
        <v>5193</v>
      </c>
      <c r="G673" t="s">
        <v>72</v>
      </c>
      <c r="H673" t="s">
        <v>72</v>
      </c>
      <c r="I673" t="s">
        <v>5194</v>
      </c>
      <c r="J673" t="s">
        <v>351</v>
      </c>
      <c r="K673" t="s">
        <v>72</v>
      </c>
      <c r="L673" t="s">
        <v>72</v>
      </c>
      <c r="M673" t="s">
        <v>76</v>
      </c>
      <c r="N673" t="s">
        <v>77</v>
      </c>
      <c r="O673" t="s">
        <v>72</v>
      </c>
      <c r="P673" t="s">
        <v>72</v>
      </c>
      <c r="Q673" t="s">
        <v>72</v>
      </c>
      <c r="R673" t="s">
        <v>72</v>
      </c>
      <c r="S673" t="s">
        <v>72</v>
      </c>
      <c r="T673" t="s">
        <v>5195</v>
      </c>
      <c r="U673" t="s">
        <v>5196</v>
      </c>
      <c r="V673" t="s">
        <v>5197</v>
      </c>
      <c r="W673" t="s">
        <v>5198</v>
      </c>
      <c r="X673" t="s">
        <v>5199</v>
      </c>
      <c r="Y673" t="s">
        <v>5200</v>
      </c>
      <c r="Z673" t="s">
        <v>5201</v>
      </c>
      <c r="AA673" t="s">
        <v>72</v>
      </c>
      <c r="AB673" t="s">
        <v>5202</v>
      </c>
      <c r="AC673" t="s">
        <v>72</v>
      </c>
      <c r="AD673" t="s">
        <v>72</v>
      </c>
      <c r="AE673" t="s">
        <v>72</v>
      </c>
      <c r="AF673" t="s">
        <v>72</v>
      </c>
      <c r="AG673">
        <v>52</v>
      </c>
      <c r="AH673">
        <v>4</v>
      </c>
      <c r="AI673">
        <v>4</v>
      </c>
      <c r="AJ673">
        <v>2</v>
      </c>
      <c r="AK673">
        <v>10</v>
      </c>
      <c r="AL673" t="s">
        <v>364</v>
      </c>
      <c r="AM673" t="s">
        <v>365</v>
      </c>
      <c r="AN673" t="s">
        <v>366</v>
      </c>
      <c r="AO673" t="s">
        <v>367</v>
      </c>
      <c r="AP673" t="s">
        <v>368</v>
      </c>
      <c r="AQ673" t="s">
        <v>72</v>
      </c>
      <c r="AR673" t="s">
        <v>369</v>
      </c>
      <c r="AS673" t="s">
        <v>370</v>
      </c>
      <c r="AT673" t="s">
        <v>5203</v>
      </c>
      <c r="AU673">
        <v>2020</v>
      </c>
      <c r="AV673">
        <v>27</v>
      </c>
      <c r="AW673">
        <v>11</v>
      </c>
      <c r="AX673" t="s">
        <v>72</v>
      </c>
      <c r="AY673" t="s">
        <v>72</v>
      </c>
      <c r="AZ673" t="s">
        <v>478</v>
      </c>
      <c r="BA673" t="s">
        <v>72</v>
      </c>
      <c r="BB673">
        <v>1698</v>
      </c>
      <c r="BC673">
        <v>1717</v>
      </c>
      <c r="BD673" t="s">
        <v>72</v>
      </c>
      <c r="BE673" t="s">
        <v>5204</v>
      </c>
      <c r="BF673" t="str">
        <f>HYPERLINK("http://dx.doi.org/10.1080/13501763.2020.1817132","http://dx.doi.org/10.1080/13501763.2020.1817132")</f>
        <v>http://dx.doi.org/10.1080/13501763.2020.1817132</v>
      </c>
      <c r="BG673" t="s">
        <v>72</v>
      </c>
      <c r="BH673" t="s">
        <v>72</v>
      </c>
      <c r="BI673">
        <v>20</v>
      </c>
      <c r="BJ673" t="s">
        <v>373</v>
      </c>
      <c r="BK673" s="1" t="s">
        <v>17619</v>
      </c>
      <c r="BL673" t="s">
        <v>5205</v>
      </c>
      <c r="BM673" t="s">
        <v>72</v>
      </c>
      <c r="BN673" t="s">
        <v>559</v>
      </c>
      <c r="BO673" t="s">
        <v>72</v>
      </c>
      <c r="BP673" t="s">
        <v>72</v>
      </c>
      <c r="BQ673" t="s">
        <v>100</v>
      </c>
      <c r="BR673" t="s">
        <v>5206</v>
      </c>
      <c r="BS673" t="str">
        <f>HYPERLINK("https%3A%2F%2Fwww.webofscience.com%2Fwos%2Fwoscc%2Ffull-record%2FWOS:000589840500006","View Full Record in Web of Science")</f>
        <v>View Full Record in Web of Science</v>
      </c>
    </row>
    <row r="674" spans="1:71" x14ac:dyDescent="0.2">
      <c r="A674" t="s">
        <v>70</v>
      </c>
      <c r="B674" t="s">
        <v>5343</v>
      </c>
      <c r="C674" t="s">
        <v>72</v>
      </c>
      <c r="D674" t="s">
        <v>72</v>
      </c>
      <c r="E674" t="s">
        <v>72</v>
      </c>
      <c r="F674" t="s">
        <v>5344</v>
      </c>
      <c r="G674" t="s">
        <v>72</v>
      </c>
      <c r="H674" t="s">
        <v>72</v>
      </c>
      <c r="I674" t="s">
        <v>5345</v>
      </c>
      <c r="J674" t="s">
        <v>5346</v>
      </c>
      <c r="K674" t="s">
        <v>72</v>
      </c>
      <c r="L674" t="s">
        <v>72</v>
      </c>
      <c r="M674" t="s">
        <v>76</v>
      </c>
      <c r="N674" t="s">
        <v>77</v>
      </c>
      <c r="O674" t="s">
        <v>72</v>
      </c>
      <c r="P674" t="s">
        <v>72</v>
      </c>
      <c r="Q674" t="s">
        <v>72</v>
      </c>
      <c r="R674" t="s">
        <v>72</v>
      </c>
      <c r="S674" t="s">
        <v>72</v>
      </c>
      <c r="T674" t="s">
        <v>72</v>
      </c>
      <c r="U674" t="s">
        <v>5347</v>
      </c>
      <c r="V674" t="s">
        <v>5348</v>
      </c>
      <c r="W674" t="s">
        <v>5349</v>
      </c>
      <c r="X674" t="s">
        <v>2644</v>
      </c>
      <c r="Y674" t="s">
        <v>5350</v>
      </c>
      <c r="Z674" t="s">
        <v>2646</v>
      </c>
      <c r="AA674" t="s">
        <v>72</v>
      </c>
      <c r="AB674" t="s">
        <v>5351</v>
      </c>
      <c r="AC674" t="s">
        <v>5352</v>
      </c>
      <c r="AD674" t="s">
        <v>5353</v>
      </c>
      <c r="AE674" t="s">
        <v>5354</v>
      </c>
      <c r="AF674" t="s">
        <v>72</v>
      </c>
      <c r="AG674">
        <v>49</v>
      </c>
      <c r="AH674">
        <v>7</v>
      </c>
      <c r="AI674">
        <v>7</v>
      </c>
      <c r="AJ674">
        <v>2</v>
      </c>
      <c r="AK674">
        <v>11</v>
      </c>
      <c r="AL674" t="s">
        <v>1260</v>
      </c>
      <c r="AM674" t="s">
        <v>964</v>
      </c>
      <c r="AN674" t="s">
        <v>965</v>
      </c>
      <c r="AO674" t="s">
        <v>5355</v>
      </c>
      <c r="AP674" t="s">
        <v>5356</v>
      </c>
      <c r="AQ674" t="s">
        <v>72</v>
      </c>
      <c r="AR674" t="s">
        <v>5357</v>
      </c>
      <c r="AS674" t="s">
        <v>5358</v>
      </c>
      <c r="AT674" t="s">
        <v>776</v>
      </c>
      <c r="AU674">
        <v>2021</v>
      </c>
      <c r="AV674">
        <v>34</v>
      </c>
      <c r="AW674">
        <v>3</v>
      </c>
      <c r="AX674" t="s">
        <v>72</v>
      </c>
      <c r="AY674" t="s">
        <v>72</v>
      </c>
      <c r="AZ674" t="s">
        <v>478</v>
      </c>
      <c r="BA674" t="s">
        <v>72</v>
      </c>
      <c r="BB674">
        <v>707</v>
      </c>
      <c r="BC674">
        <v>726</v>
      </c>
      <c r="BD674" t="s">
        <v>72</v>
      </c>
      <c r="BE674" t="s">
        <v>5359</v>
      </c>
      <c r="BF674" t="str">
        <f>HYPERLINK("http://dx.doi.org/10.1111/gove.12525","http://dx.doi.org/10.1111/gove.12525")</f>
        <v>http://dx.doi.org/10.1111/gove.12525</v>
      </c>
      <c r="BG674" t="s">
        <v>72</v>
      </c>
      <c r="BH674" t="s">
        <v>5360</v>
      </c>
      <c r="BI674">
        <v>20</v>
      </c>
      <c r="BJ674" t="s">
        <v>373</v>
      </c>
      <c r="BK674" s="1" t="s">
        <v>17619</v>
      </c>
      <c r="BL674" t="s">
        <v>5361</v>
      </c>
      <c r="BM674" t="s">
        <v>72</v>
      </c>
      <c r="BN674" t="s">
        <v>72</v>
      </c>
      <c r="BO674" t="s">
        <v>72</v>
      </c>
      <c r="BP674" t="s">
        <v>72</v>
      </c>
      <c r="BQ674" t="s">
        <v>100</v>
      </c>
      <c r="BR674" t="s">
        <v>5362</v>
      </c>
      <c r="BS674" t="str">
        <f>HYPERLINK("https%3A%2F%2Fwww.webofscience.com%2Fwos%2Fwoscc%2Ffull-record%2FWOS:000556811200001","View Full Record in Web of Science")</f>
        <v>View Full Record in Web of Science</v>
      </c>
    </row>
    <row r="675" spans="1:71" x14ac:dyDescent="0.2">
      <c r="A675" t="s">
        <v>70</v>
      </c>
      <c r="B675" t="s">
        <v>5965</v>
      </c>
      <c r="C675" t="s">
        <v>72</v>
      </c>
      <c r="D675" t="s">
        <v>72</v>
      </c>
      <c r="E675" t="s">
        <v>72</v>
      </c>
      <c r="F675" t="s">
        <v>5966</v>
      </c>
      <c r="G675" t="s">
        <v>72</v>
      </c>
      <c r="H675" t="s">
        <v>72</v>
      </c>
      <c r="I675" t="s">
        <v>5967</v>
      </c>
      <c r="J675" t="s">
        <v>351</v>
      </c>
      <c r="K675" t="s">
        <v>72</v>
      </c>
      <c r="L675" t="s">
        <v>72</v>
      </c>
      <c r="M675" t="s">
        <v>76</v>
      </c>
      <c r="N675" t="s">
        <v>77</v>
      </c>
      <c r="O675" t="s">
        <v>72</v>
      </c>
      <c r="P675" t="s">
        <v>72</v>
      </c>
      <c r="Q675" t="s">
        <v>72</v>
      </c>
      <c r="R675" t="s">
        <v>72</v>
      </c>
      <c r="S675" t="s">
        <v>72</v>
      </c>
      <c r="T675" t="s">
        <v>5968</v>
      </c>
      <c r="U675" t="s">
        <v>5969</v>
      </c>
      <c r="V675" t="s">
        <v>5970</v>
      </c>
      <c r="W675" t="s">
        <v>5971</v>
      </c>
      <c r="X675" t="s">
        <v>5972</v>
      </c>
      <c r="Y675" t="s">
        <v>5973</v>
      </c>
      <c r="Z675" t="s">
        <v>5974</v>
      </c>
      <c r="AA675" t="s">
        <v>5975</v>
      </c>
      <c r="AB675" t="s">
        <v>5976</v>
      </c>
      <c r="AC675" t="s">
        <v>5977</v>
      </c>
      <c r="AD675" t="s">
        <v>5978</v>
      </c>
      <c r="AE675" t="s">
        <v>5979</v>
      </c>
      <c r="AF675" t="s">
        <v>72</v>
      </c>
      <c r="AG675">
        <v>40</v>
      </c>
      <c r="AH675">
        <v>18</v>
      </c>
      <c r="AI675">
        <v>18</v>
      </c>
      <c r="AJ675">
        <v>0</v>
      </c>
      <c r="AK675">
        <v>8</v>
      </c>
      <c r="AL675" t="s">
        <v>364</v>
      </c>
      <c r="AM675" t="s">
        <v>365</v>
      </c>
      <c r="AN675" t="s">
        <v>366</v>
      </c>
      <c r="AO675" t="s">
        <v>367</v>
      </c>
      <c r="AP675" t="s">
        <v>368</v>
      </c>
      <c r="AQ675" t="s">
        <v>72</v>
      </c>
      <c r="AR675" t="s">
        <v>369</v>
      </c>
      <c r="AS675" t="s">
        <v>370</v>
      </c>
      <c r="AT675" t="s">
        <v>2960</v>
      </c>
      <c r="AU675">
        <v>2020</v>
      </c>
      <c r="AV675">
        <v>27</v>
      </c>
      <c r="AW675">
        <v>3</v>
      </c>
      <c r="AX675" t="s">
        <v>72</v>
      </c>
      <c r="AY675" t="s">
        <v>72</v>
      </c>
      <c r="AZ675" t="s">
        <v>478</v>
      </c>
      <c r="BA675" t="s">
        <v>72</v>
      </c>
      <c r="BB675">
        <v>400</v>
      </c>
      <c r="BC675">
        <v>418</v>
      </c>
      <c r="BD675" t="s">
        <v>72</v>
      </c>
      <c r="BE675" t="s">
        <v>5980</v>
      </c>
      <c r="BF675" t="str">
        <f>HYPERLINK("http://dx.doi.org/10.1080/13501763.2020.1712457","http://dx.doi.org/10.1080/13501763.2020.1712457")</f>
        <v>http://dx.doi.org/10.1080/13501763.2020.1712457</v>
      </c>
      <c r="BG675" t="s">
        <v>72</v>
      </c>
      <c r="BH675" t="s">
        <v>72</v>
      </c>
      <c r="BI675">
        <v>19</v>
      </c>
      <c r="BJ675" t="s">
        <v>373</v>
      </c>
      <c r="BK675" s="1" t="s">
        <v>17619</v>
      </c>
      <c r="BL675" t="s">
        <v>5981</v>
      </c>
      <c r="BM675" t="s">
        <v>72</v>
      </c>
      <c r="BN675" t="s">
        <v>280</v>
      </c>
      <c r="BO675" t="s">
        <v>72</v>
      </c>
      <c r="BP675" t="s">
        <v>72</v>
      </c>
      <c r="BQ675" t="s">
        <v>100</v>
      </c>
      <c r="BR675" t="s">
        <v>5982</v>
      </c>
      <c r="BS675" t="str">
        <f>HYPERLINK("https%3A%2F%2Fwww.webofscience.com%2Fwos%2Fwoscc%2Ffull-record%2FWOS:000515794300005","View Full Record in Web of Science")</f>
        <v>View Full Record in Web of Science</v>
      </c>
    </row>
    <row r="676" spans="1:71" x14ac:dyDescent="0.2">
      <c r="A676" t="s">
        <v>70</v>
      </c>
      <c r="B676" t="s">
        <v>6363</v>
      </c>
      <c r="C676" t="s">
        <v>72</v>
      </c>
      <c r="D676" t="s">
        <v>72</v>
      </c>
      <c r="E676" t="s">
        <v>72</v>
      </c>
      <c r="F676" t="s">
        <v>6364</v>
      </c>
      <c r="G676" t="s">
        <v>72</v>
      </c>
      <c r="H676" t="s">
        <v>72</v>
      </c>
      <c r="I676" t="s">
        <v>6365</v>
      </c>
      <c r="J676" t="s">
        <v>2639</v>
      </c>
      <c r="K676" t="s">
        <v>72</v>
      </c>
      <c r="L676" t="s">
        <v>72</v>
      </c>
      <c r="M676" t="s">
        <v>76</v>
      </c>
      <c r="N676" t="s">
        <v>77</v>
      </c>
      <c r="O676" t="s">
        <v>72</v>
      </c>
      <c r="P676" t="s">
        <v>72</v>
      </c>
      <c r="Q676" t="s">
        <v>72</v>
      </c>
      <c r="R676" t="s">
        <v>72</v>
      </c>
      <c r="S676" t="s">
        <v>72</v>
      </c>
      <c r="T676" t="s">
        <v>6366</v>
      </c>
      <c r="U676" t="s">
        <v>6367</v>
      </c>
      <c r="V676" t="s">
        <v>6368</v>
      </c>
      <c r="W676" t="s">
        <v>6369</v>
      </c>
      <c r="X676" t="s">
        <v>6370</v>
      </c>
      <c r="Y676" t="s">
        <v>6371</v>
      </c>
      <c r="Z676" t="s">
        <v>5201</v>
      </c>
      <c r="AA676" t="s">
        <v>72</v>
      </c>
      <c r="AB676" t="s">
        <v>6372</v>
      </c>
      <c r="AC676" t="s">
        <v>72</v>
      </c>
      <c r="AD676" t="s">
        <v>72</v>
      </c>
      <c r="AE676" t="s">
        <v>72</v>
      </c>
      <c r="AF676" t="s">
        <v>72</v>
      </c>
      <c r="AG676">
        <v>66</v>
      </c>
      <c r="AH676">
        <v>0</v>
      </c>
      <c r="AI676">
        <v>0</v>
      </c>
      <c r="AJ676">
        <v>4</v>
      </c>
      <c r="AK676">
        <v>7</v>
      </c>
      <c r="AL676" t="s">
        <v>1260</v>
      </c>
      <c r="AM676" t="s">
        <v>964</v>
      </c>
      <c r="AN676" t="s">
        <v>965</v>
      </c>
      <c r="AO676" t="s">
        <v>2651</v>
      </c>
      <c r="AP676" t="s">
        <v>2652</v>
      </c>
      <c r="AQ676" t="s">
        <v>72</v>
      </c>
      <c r="AR676" t="s">
        <v>2653</v>
      </c>
      <c r="AS676" t="s">
        <v>2654</v>
      </c>
      <c r="AT676" t="s">
        <v>776</v>
      </c>
      <c r="AU676">
        <v>2021</v>
      </c>
      <c r="AV676">
        <v>15</v>
      </c>
      <c r="AW676">
        <v>3</v>
      </c>
      <c r="AX676" t="s">
        <v>72</v>
      </c>
      <c r="AY676" t="s">
        <v>72</v>
      </c>
      <c r="AZ676" t="s">
        <v>478</v>
      </c>
      <c r="BA676" t="s">
        <v>72</v>
      </c>
      <c r="BB676">
        <v>933</v>
      </c>
      <c r="BC676">
        <v>951</v>
      </c>
      <c r="BD676" t="s">
        <v>72</v>
      </c>
      <c r="BE676" t="s">
        <v>6373</v>
      </c>
      <c r="BF676" t="str">
        <f>HYPERLINK("http://dx.doi.org/10.1111/rego.12346","http://dx.doi.org/10.1111/rego.12346")</f>
        <v>http://dx.doi.org/10.1111/rego.12346</v>
      </c>
      <c r="BG676" t="s">
        <v>72</v>
      </c>
      <c r="BH676" t="s">
        <v>480</v>
      </c>
      <c r="BI676">
        <v>19</v>
      </c>
      <c r="BJ676" t="s">
        <v>2657</v>
      </c>
      <c r="BK676" s="1" t="s">
        <v>17619</v>
      </c>
      <c r="BL676" t="s">
        <v>6374</v>
      </c>
      <c r="BM676" t="s">
        <v>72</v>
      </c>
      <c r="BN676" t="s">
        <v>6375</v>
      </c>
      <c r="BO676" t="s">
        <v>72</v>
      </c>
      <c r="BP676" t="s">
        <v>72</v>
      </c>
      <c r="BQ676" t="s">
        <v>100</v>
      </c>
      <c r="BR676" t="s">
        <v>6376</v>
      </c>
      <c r="BS676" t="str">
        <f>HYPERLINK("https%3A%2F%2Fwww.webofscience.com%2Fwos%2Fwoscc%2Ffull-record%2FWOS:000549388200001","View Full Record in Web of Science")</f>
        <v>View Full Record in Web of Science</v>
      </c>
    </row>
    <row r="677" spans="1:71" x14ac:dyDescent="0.2">
      <c r="A677" t="s">
        <v>70</v>
      </c>
      <c r="B677" t="s">
        <v>7210</v>
      </c>
      <c r="C677" t="s">
        <v>72</v>
      </c>
      <c r="D677" t="s">
        <v>72</v>
      </c>
      <c r="E677" t="s">
        <v>72</v>
      </c>
      <c r="F677" t="s">
        <v>7211</v>
      </c>
      <c r="G677" t="s">
        <v>72</v>
      </c>
      <c r="H677" t="s">
        <v>72</v>
      </c>
      <c r="I677" t="s">
        <v>7212</v>
      </c>
      <c r="J677" t="s">
        <v>7213</v>
      </c>
      <c r="K677" t="s">
        <v>72</v>
      </c>
      <c r="L677" t="s">
        <v>72</v>
      </c>
      <c r="M677" t="s">
        <v>76</v>
      </c>
      <c r="N677" t="s">
        <v>77</v>
      </c>
      <c r="O677" t="s">
        <v>72</v>
      </c>
      <c r="P677" t="s">
        <v>72</v>
      </c>
      <c r="Q677" t="s">
        <v>72</v>
      </c>
      <c r="R677" t="s">
        <v>72</v>
      </c>
      <c r="S677" t="s">
        <v>72</v>
      </c>
      <c r="T677" t="s">
        <v>7214</v>
      </c>
      <c r="U677" t="s">
        <v>7215</v>
      </c>
      <c r="V677" t="s">
        <v>7216</v>
      </c>
      <c r="W677" t="s">
        <v>7217</v>
      </c>
      <c r="X677" t="s">
        <v>7218</v>
      </c>
      <c r="Y677" t="s">
        <v>7219</v>
      </c>
      <c r="Z677" t="s">
        <v>7220</v>
      </c>
      <c r="AA677" t="s">
        <v>72</v>
      </c>
      <c r="AB677" t="s">
        <v>7221</v>
      </c>
      <c r="AC677" t="s">
        <v>72</v>
      </c>
      <c r="AD677" t="s">
        <v>72</v>
      </c>
      <c r="AE677" t="s">
        <v>72</v>
      </c>
      <c r="AF677" t="s">
        <v>72</v>
      </c>
      <c r="AG677">
        <v>53</v>
      </c>
      <c r="AH677">
        <v>3</v>
      </c>
      <c r="AI677">
        <v>3</v>
      </c>
      <c r="AJ677">
        <v>0</v>
      </c>
      <c r="AK677">
        <v>9</v>
      </c>
      <c r="AL677" t="s">
        <v>7222</v>
      </c>
      <c r="AM677" t="s">
        <v>7223</v>
      </c>
      <c r="AN677" t="s">
        <v>7224</v>
      </c>
      <c r="AO677" t="s">
        <v>7225</v>
      </c>
      <c r="AP677" t="s">
        <v>7226</v>
      </c>
      <c r="AQ677" t="s">
        <v>72</v>
      </c>
      <c r="AR677" t="s">
        <v>7227</v>
      </c>
      <c r="AS677" t="s">
        <v>7228</v>
      </c>
      <c r="AT677" t="s">
        <v>247</v>
      </c>
      <c r="AU677">
        <v>2019</v>
      </c>
      <c r="AV677">
        <v>17</v>
      </c>
      <c r="AW677">
        <v>1</v>
      </c>
      <c r="AX677" t="s">
        <v>72</v>
      </c>
      <c r="AY677" t="s">
        <v>72</v>
      </c>
      <c r="AZ677" t="s">
        <v>72</v>
      </c>
      <c r="BA677" t="s">
        <v>72</v>
      </c>
      <c r="BB677">
        <v>179</v>
      </c>
      <c r="BC677">
        <v>199</v>
      </c>
      <c r="BD677" t="s">
        <v>72</v>
      </c>
      <c r="BE677" t="s">
        <v>7229</v>
      </c>
      <c r="BF677" t="str">
        <f>HYPERLINK("http://dx.doi.org/10.4335/17.1.179-199(2019)","http://dx.doi.org/10.4335/17.1.179-199(2019)")</f>
        <v>http://dx.doi.org/10.4335/17.1.179-199(2019)</v>
      </c>
      <c r="BG677" t="s">
        <v>72</v>
      </c>
      <c r="BH677" t="s">
        <v>72</v>
      </c>
      <c r="BI677">
        <v>21</v>
      </c>
      <c r="BJ677" t="s">
        <v>373</v>
      </c>
      <c r="BK677" s="1" t="s">
        <v>17619</v>
      </c>
      <c r="BL677" t="s">
        <v>7230</v>
      </c>
      <c r="BM677" t="s">
        <v>72</v>
      </c>
      <c r="BN677" t="s">
        <v>251</v>
      </c>
      <c r="BO677" t="s">
        <v>72</v>
      </c>
      <c r="BP677" t="s">
        <v>72</v>
      </c>
      <c r="BQ677" t="s">
        <v>100</v>
      </c>
      <c r="BR677" t="s">
        <v>7231</v>
      </c>
      <c r="BS677" t="str">
        <f>HYPERLINK("https%3A%2F%2Fwww.webofscience.com%2Fwos%2Fwoscc%2Ffull-record%2FWOS:000456819000010","View Full Record in Web of Science")</f>
        <v>View Full Record in Web of Science</v>
      </c>
    </row>
    <row r="678" spans="1:71" x14ac:dyDescent="0.2">
      <c r="A678" t="s">
        <v>70</v>
      </c>
      <c r="B678" t="s">
        <v>8711</v>
      </c>
      <c r="C678" t="s">
        <v>72</v>
      </c>
      <c r="D678" t="s">
        <v>72</v>
      </c>
      <c r="E678" t="s">
        <v>72</v>
      </c>
      <c r="F678" t="s">
        <v>8712</v>
      </c>
      <c r="G678" t="s">
        <v>72</v>
      </c>
      <c r="H678" t="s">
        <v>72</v>
      </c>
      <c r="I678" t="s">
        <v>8713</v>
      </c>
      <c r="J678" t="s">
        <v>8714</v>
      </c>
      <c r="K678" t="s">
        <v>72</v>
      </c>
      <c r="L678" t="s">
        <v>72</v>
      </c>
      <c r="M678" t="s">
        <v>76</v>
      </c>
      <c r="N678" t="s">
        <v>77</v>
      </c>
      <c r="O678" t="s">
        <v>72</v>
      </c>
      <c r="P678" t="s">
        <v>72</v>
      </c>
      <c r="Q678" t="s">
        <v>72</v>
      </c>
      <c r="R678" t="s">
        <v>72</v>
      </c>
      <c r="S678" t="s">
        <v>72</v>
      </c>
      <c r="T678" t="s">
        <v>8715</v>
      </c>
      <c r="U678" t="s">
        <v>8716</v>
      </c>
      <c r="V678" t="s">
        <v>8717</v>
      </c>
      <c r="W678" t="s">
        <v>8718</v>
      </c>
      <c r="X678" t="s">
        <v>8719</v>
      </c>
      <c r="Y678" t="s">
        <v>8720</v>
      </c>
      <c r="Z678" t="s">
        <v>8721</v>
      </c>
      <c r="AA678" t="s">
        <v>72</v>
      </c>
      <c r="AB678" t="s">
        <v>8722</v>
      </c>
      <c r="AC678" t="s">
        <v>72</v>
      </c>
      <c r="AD678" t="s">
        <v>72</v>
      </c>
      <c r="AE678" t="s">
        <v>72</v>
      </c>
      <c r="AF678" t="s">
        <v>72</v>
      </c>
      <c r="AG678">
        <v>31</v>
      </c>
      <c r="AH678">
        <v>8</v>
      </c>
      <c r="AI678">
        <v>8</v>
      </c>
      <c r="AJ678">
        <v>1</v>
      </c>
      <c r="AK678">
        <v>3</v>
      </c>
      <c r="AL678" t="s">
        <v>1260</v>
      </c>
      <c r="AM678" t="s">
        <v>964</v>
      </c>
      <c r="AN678" t="s">
        <v>965</v>
      </c>
      <c r="AO678" t="s">
        <v>72</v>
      </c>
      <c r="AP678" t="s">
        <v>8723</v>
      </c>
      <c r="AQ678" t="s">
        <v>72</v>
      </c>
      <c r="AR678" t="s">
        <v>8724</v>
      </c>
      <c r="AS678" t="s">
        <v>8725</v>
      </c>
      <c r="AT678" t="s">
        <v>299</v>
      </c>
      <c r="AU678">
        <v>2021</v>
      </c>
      <c r="AV678">
        <v>7</v>
      </c>
      <c r="AW678">
        <v>1</v>
      </c>
      <c r="AX678" t="s">
        <v>72</v>
      </c>
      <c r="AY678" t="s">
        <v>72</v>
      </c>
      <c r="AZ678" t="s">
        <v>72</v>
      </c>
      <c r="BA678" t="s">
        <v>72</v>
      </c>
      <c r="BB678">
        <v>226</v>
      </c>
      <c r="BC678">
        <v>239</v>
      </c>
      <c r="BD678" t="s">
        <v>72</v>
      </c>
      <c r="BE678" t="s">
        <v>8726</v>
      </c>
      <c r="BF678" t="str">
        <f>HYPERLINK("http://dx.doi.org/10.1002/epa2.1086","http://dx.doi.org/10.1002/epa2.1086")</f>
        <v>http://dx.doi.org/10.1002/epa2.1086</v>
      </c>
      <c r="BG678" t="s">
        <v>72</v>
      </c>
      <c r="BH678" t="s">
        <v>72</v>
      </c>
      <c r="BI678">
        <v>14</v>
      </c>
      <c r="BJ678" t="s">
        <v>373</v>
      </c>
      <c r="BK678" s="1" t="s">
        <v>17619</v>
      </c>
      <c r="BL678" t="s">
        <v>8727</v>
      </c>
      <c r="BM678" t="s">
        <v>72</v>
      </c>
      <c r="BN678" t="s">
        <v>72</v>
      </c>
      <c r="BO678" t="s">
        <v>72</v>
      </c>
      <c r="BP678" t="s">
        <v>72</v>
      </c>
      <c r="BQ678" t="s">
        <v>100</v>
      </c>
      <c r="BR678" t="s">
        <v>8728</v>
      </c>
      <c r="BS678" t="str">
        <f>HYPERLINK("https%3A%2F%2Fwww.webofscience.com%2Fwos%2Fwoscc%2Ffull-record%2FWOS:000656595900006","View Full Record in Web of Science")</f>
        <v>View Full Record in Web of Science</v>
      </c>
    </row>
    <row r="679" spans="1:71" x14ac:dyDescent="0.2">
      <c r="A679" t="s">
        <v>70</v>
      </c>
      <c r="B679" t="s">
        <v>8738</v>
      </c>
      <c r="C679" t="s">
        <v>72</v>
      </c>
      <c r="D679" t="s">
        <v>72</v>
      </c>
      <c r="E679" t="s">
        <v>72</v>
      </c>
      <c r="F679" t="s">
        <v>8739</v>
      </c>
      <c r="G679" t="s">
        <v>72</v>
      </c>
      <c r="H679" t="s">
        <v>72</v>
      </c>
      <c r="I679" t="s">
        <v>8740</v>
      </c>
      <c r="J679" t="s">
        <v>351</v>
      </c>
      <c r="K679" t="s">
        <v>72</v>
      </c>
      <c r="L679" t="s">
        <v>72</v>
      </c>
      <c r="M679" t="s">
        <v>76</v>
      </c>
      <c r="N679" t="s">
        <v>77</v>
      </c>
      <c r="O679" t="s">
        <v>72</v>
      </c>
      <c r="P679" t="s">
        <v>72</v>
      </c>
      <c r="Q679" t="s">
        <v>72</v>
      </c>
      <c r="R679" t="s">
        <v>72</v>
      </c>
      <c r="S679" t="s">
        <v>72</v>
      </c>
      <c r="T679" t="s">
        <v>8741</v>
      </c>
      <c r="U679" t="s">
        <v>8742</v>
      </c>
      <c r="V679" t="s">
        <v>8743</v>
      </c>
      <c r="W679" t="s">
        <v>8744</v>
      </c>
      <c r="X679" t="s">
        <v>8745</v>
      </c>
      <c r="Y679" t="s">
        <v>8746</v>
      </c>
      <c r="Z679" t="s">
        <v>8747</v>
      </c>
      <c r="AA679" t="s">
        <v>72</v>
      </c>
      <c r="AB679" t="s">
        <v>72</v>
      </c>
      <c r="AC679" t="s">
        <v>2445</v>
      </c>
      <c r="AD679" t="s">
        <v>2446</v>
      </c>
      <c r="AE679" t="s">
        <v>8748</v>
      </c>
      <c r="AF679" t="s">
        <v>72</v>
      </c>
      <c r="AG679">
        <v>37</v>
      </c>
      <c r="AH679">
        <v>54</v>
      </c>
      <c r="AI679">
        <v>54</v>
      </c>
      <c r="AJ679">
        <v>2</v>
      </c>
      <c r="AK679">
        <v>43</v>
      </c>
      <c r="AL679" t="s">
        <v>364</v>
      </c>
      <c r="AM679" t="s">
        <v>365</v>
      </c>
      <c r="AN679" t="s">
        <v>366</v>
      </c>
      <c r="AO679" t="s">
        <v>367</v>
      </c>
      <c r="AP679" t="s">
        <v>368</v>
      </c>
      <c r="AQ679" t="s">
        <v>72</v>
      </c>
      <c r="AR679" t="s">
        <v>369</v>
      </c>
      <c r="AS679" t="s">
        <v>370</v>
      </c>
      <c r="AT679" t="s">
        <v>8749</v>
      </c>
      <c r="AU679">
        <v>2015</v>
      </c>
      <c r="AV679">
        <v>22</v>
      </c>
      <c r="AW679">
        <v>4</v>
      </c>
      <c r="AX679" t="s">
        <v>72</v>
      </c>
      <c r="AY679" t="s">
        <v>72</v>
      </c>
      <c r="AZ679" t="s">
        <v>478</v>
      </c>
      <c r="BA679" t="s">
        <v>72</v>
      </c>
      <c r="BB679">
        <v>481</v>
      </c>
      <c r="BC679">
        <v>498</v>
      </c>
      <c r="BD679" t="s">
        <v>72</v>
      </c>
      <c r="BE679" t="s">
        <v>8750</v>
      </c>
      <c r="BF679" t="str">
        <f>HYPERLINK("http://dx.doi.org/10.1080/13501763.2015.1008550","http://dx.doi.org/10.1080/13501763.2015.1008550")</f>
        <v>http://dx.doi.org/10.1080/13501763.2015.1008550</v>
      </c>
      <c r="BG679" t="s">
        <v>72</v>
      </c>
      <c r="BH679" t="s">
        <v>72</v>
      </c>
      <c r="BI679">
        <v>18</v>
      </c>
      <c r="BJ679" t="s">
        <v>373</v>
      </c>
      <c r="BK679" s="1" t="s">
        <v>17619</v>
      </c>
      <c r="BL679" t="s">
        <v>8751</v>
      </c>
      <c r="BM679" t="s">
        <v>72</v>
      </c>
      <c r="BN679" t="s">
        <v>72</v>
      </c>
      <c r="BO679" t="s">
        <v>72</v>
      </c>
      <c r="BP679" t="s">
        <v>72</v>
      </c>
      <c r="BQ679" t="s">
        <v>100</v>
      </c>
      <c r="BR679" t="s">
        <v>8752</v>
      </c>
      <c r="BS679" t="str">
        <f>HYPERLINK("https%3A%2F%2Fwww.webofscience.com%2Fwos%2Fwoscc%2Ffull-record%2FWOS:000350107500003","View Full Record in Web of Science")</f>
        <v>View Full Record in Web of Science</v>
      </c>
    </row>
    <row r="680" spans="1:71" x14ac:dyDescent="0.2">
      <c r="A680" t="s">
        <v>70</v>
      </c>
      <c r="B680" t="s">
        <v>10086</v>
      </c>
      <c r="C680" t="s">
        <v>72</v>
      </c>
      <c r="D680" t="s">
        <v>72</v>
      </c>
      <c r="E680" t="s">
        <v>72</v>
      </c>
      <c r="F680" t="s">
        <v>10087</v>
      </c>
      <c r="G680" t="s">
        <v>72</v>
      </c>
      <c r="H680" t="s">
        <v>72</v>
      </c>
      <c r="I680" t="s">
        <v>10088</v>
      </c>
      <c r="J680" t="s">
        <v>351</v>
      </c>
      <c r="K680" t="s">
        <v>72</v>
      </c>
      <c r="L680" t="s">
        <v>72</v>
      </c>
      <c r="M680" t="s">
        <v>76</v>
      </c>
      <c r="N680" t="s">
        <v>77</v>
      </c>
      <c r="O680" t="s">
        <v>72</v>
      </c>
      <c r="P680" t="s">
        <v>72</v>
      </c>
      <c r="Q680" t="s">
        <v>72</v>
      </c>
      <c r="R680" t="s">
        <v>72</v>
      </c>
      <c r="S680" t="s">
        <v>72</v>
      </c>
      <c r="T680" t="s">
        <v>10089</v>
      </c>
      <c r="U680" t="s">
        <v>10090</v>
      </c>
      <c r="V680" t="s">
        <v>10091</v>
      </c>
      <c r="W680" t="s">
        <v>10092</v>
      </c>
      <c r="X680" t="s">
        <v>10093</v>
      </c>
      <c r="Y680" t="s">
        <v>10094</v>
      </c>
      <c r="Z680" t="s">
        <v>10095</v>
      </c>
      <c r="AA680" t="s">
        <v>72</v>
      </c>
      <c r="AB680" t="s">
        <v>10096</v>
      </c>
      <c r="AC680" t="s">
        <v>10097</v>
      </c>
      <c r="AD680" t="s">
        <v>362</v>
      </c>
      <c r="AE680" t="s">
        <v>10098</v>
      </c>
      <c r="AF680" t="s">
        <v>72</v>
      </c>
      <c r="AG680">
        <v>90</v>
      </c>
      <c r="AH680">
        <v>12</v>
      </c>
      <c r="AI680">
        <v>12</v>
      </c>
      <c r="AJ680">
        <v>2</v>
      </c>
      <c r="AK680">
        <v>2</v>
      </c>
      <c r="AL680" t="s">
        <v>364</v>
      </c>
      <c r="AM680" t="s">
        <v>365</v>
      </c>
      <c r="AN680" t="s">
        <v>366</v>
      </c>
      <c r="AO680" t="s">
        <v>367</v>
      </c>
      <c r="AP680" t="s">
        <v>368</v>
      </c>
      <c r="AQ680" t="s">
        <v>72</v>
      </c>
      <c r="AR680" t="s">
        <v>369</v>
      </c>
      <c r="AS680" t="s">
        <v>370</v>
      </c>
      <c r="AT680" t="s">
        <v>3100</v>
      </c>
      <c r="AU680">
        <v>2020</v>
      </c>
      <c r="AV680">
        <v>27</v>
      </c>
      <c r="AW680">
        <v>10</v>
      </c>
      <c r="AX680" t="s">
        <v>72</v>
      </c>
      <c r="AY680" t="s">
        <v>72</v>
      </c>
      <c r="AZ680" t="s">
        <v>72</v>
      </c>
      <c r="BA680" t="s">
        <v>72</v>
      </c>
      <c r="BB680">
        <v>1463</v>
      </c>
      <c r="BC680">
        <v>1486</v>
      </c>
      <c r="BD680" t="s">
        <v>72</v>
      </c>
      <c r="BE680" t="s">
        <v>10099</v>
      </c>
      <c r="BF680" t="str">
        <f>HYPERLINK("http://dx.doi.org/10.1080/13501763.2019.1670231","http://dx.doi.org/10.1080/13501763.2019.1670231")</f>
        <v>http://dx.doi.org/10.1080/13501763.2019.1670231</v>
      </c>
      <c r="BG680" t="s">
        <v>72</v>
      </c>
      <c r="BH680" t="s">
        <v>72</v>
      </c>
      <c r="BI680">
        <v>24</v>
      </c>
      <c r="BJ680" t="s">
        <v>373</v>
      </c>
      <c r="BK680" s="1" t="s">
        <v>17619</v>
      </c>
      <c r="BL680" t="s">
        <v>10100</v>
      </c>
      <c r="BM680" t="s">
        <v>72</v>
      </c>
      <c r="BN680" t="s">
        <v>72</v>
      </c>
      <c r="BO680" t="s">
        <v>72</v>
      </c>
      <c r="BP680" t="s">
        <v>72</v>
      </c>
      <c r="BQ680" t="s">
        <v>100</v>
      </c>
      <c r="BR680" t="s">
        <v>10101</v>
      </c>
      <c r="BS680" t="str">
        <f>HYPERLINK("https%3A%2F%2Fwww.webofscience.com%2Fwos%2Fwoscc%2Ffull-record%2FWOS:000592946300001","View Full Record in Web of Science")</f>
        <v>View Full Record in Web of Science</v>
      </c>
    </row>
    <row r="681" spans="1:71" x14ac:dyDescent="0.2">
      <c r="A681" t="s">
        <v>70</v>
      </c>
      <c r="B681" t="s">
        <v>10950</v>
      </c>
      <c r="C681" t="s">
        <v>72</v>
      </c>
      <c r="D681" t="s">
        <v>72</v>
      </c>
      <c r="E681" t="s">
        <v>72</v>
      </c>
      <c r="F681" t="s">
        <v>10951</v>
      </c>
      <c r="G681" t="s">
        <v>72</v>
      </c>
      <c r="H681" t="s">
        <v>72</v>
      </c>
      <c r="I681" t="s">
        <v>10952</v>
      </c>
      <c r="J681" t="s">
        <v>3696</v>
      </c>
      <c r="K681" t="s">
        <v>72</v>
      </c>
      <c r="L681" t="s">
        <v>72</v>
      </c>
      <c r="M681" t="s">
        <v>76</v>
      </c>
      <c r="N681" t="s">
        <v>77</v>
      </c>
      <c r="O681" t="s">
        <v>72</v>
      </c>
      <c r="P681" t="s">
        <v>72</v>
      </c>
      <c r="Q681" t="s">
        <v>72</v>
      </c>
      <c r="R681" t="s">
        <v>72</v>
      </c>
      <c r="S681" t="s">
        <v>72</v>
      </c>
      <c r="T681" t="s">
        <v>10953</v>
      </c>
      <c r="U681" t="s">
        <v>10954</v>
      </c>
      <c r="V681" t="s">
        <v>10955</v>
      </c>
      <c r="W681" t="s">
        <v>10956</v>
      </c>
      <c r="X681" t="s">
        <v>10957</v>
      </c>
      <c r="Y681" t="s">
        <v>10958</v>
      </c>
      <c r="Z681" t="s">
        <v>72</v>
      </c>
      <c r="AA681" t="s">
        <v>72</v>
      </c>
      <c r="AB681" t="s">
        <v>72</v>
      </c>
      <c r="AC681" t="s">
        <v>72</v>
      </c>
      <c r="AD681" t="s">
        <v>72</v>
      </c>
      <c r="AE681" t="s">
        <v>72</v>
      </c>
      <c r="AF681" t="s">
        <v>72</v>
      </c>
      <c r="AG681">
        <v>88</v>
      </c>
      <c r="AH681">
        <v>22</v>
      </c>
      <c r="AI681">
        <v>22</v>
      </c>
      <c r="AJ681">
        <v>4</v>
      </c>
      <c r="AK681">
        <v>31</v>
      </c>
      <c r="AL681" t="s">
        <v>1260</v>
      </c>
      <c r="AM681" t="s">
        <v>964</v>
      </c>
      <c r="AN681" t="s">
        <v>965</v>
      </c>
      <c r="AO681" t="s">
        <v>3703</v>
      </c>
      <c r="AP681" t="s">
        <v>3704</v>
      </c>
      <c r="AQ681" t="s">
        <v>72</v>
      </c>
      <c r="AR681" t="s">
        <v>3705</v>
      </c>
      <c r="AS681" t="s">
        <v>3706</v>
      </c>
      <c r="AT681" t="s">
        <v>639</v>
      </c>
      <c r="AU681">
        <v>2019</v>
      </c>
      <c r="AV681">
        <v>47</v>
      </c>
      <c r="AW681">
        <v>3</v>
      </c>
      <c r="AX681" t="s">
        <v>72</v>
      </c>
      <c r="AY681" t="s">
        <v>72</v>
      </c>
      <c r="AZ681" t="s">
        <v>478</v>
      </c>
      <c r="BA681" t="s">
        <v>72</v>
      </c>
      <c r="BB681">
        <v>735</v>
      </c>
      <c r="BC681">
        <v>773</v>
      </c>
      <c r="BD681" t="s">
        <v>72</v>
      </c>
      <c r="BE681" t="s">
        <v>10959</v>
      </c>
      <c r="BF681" t="str">
        <f>HYPERLINK("http://dx.doi.org/10.1111/psj.12284","http://dx.doi.org/10.1111/psj.12284")</f>
        <v>http://dx.doi.org/10.1111/psj.12284</v>
      </c>
      <c r="BG681" t="s">
        <v>72</v>
      </c>
      <c r="BH681" t="s">
        <v>72</v>
      </c>
      <c r="BI681">
        <v>39</v>
      </c>
      <c r="BJ681" t="s">
        <v>373</v>
      </c>
      <c r="BK681" s="1" t="s">
        <v>17619</v>
      </c>
      <c r="BL681" t="s">
        <v>10960</v>
      </c>
      <c r="BM681" t="s">
        <v>72</v>
      </c>
      <c r="BN681" t="s">
        <v>72</v>
      </c>
      <c r="BO681" t="s">
        <v>72</v>
      </c>
      <c r="BP681" t="s">
        <v>72</v>
      </c>
      <c r="BQ681" t="s">
        <v>100</v>
      </c>
      <c r="BR681" t="s">
        <v>10961</v>
      </c>
      <c r="BS681" t="str">
        <f>HYPERLINK("https%3A%2F%2Fwww.webofscience.com%2Fwos%2Fwoscc%2Ffull-record%2FWOS:000481439300010","View Full Record in Web of Science")</f>
        <v>View Full Record in Web of Science</v>
      </c>
    </row>
    <row r="682" spans="1:71" x14ac:dyDescent="0.2">
      <c r="A682" t="s">
        <v>70</v>
      </c>
      <c r="B682" t="s">
        <v>11013</v>
      </c>
      <c r="C682" t="s">
        <v>72</v>
      </c>
      <c r="D682" t="s">
        <v>72</v>
      </c>
      <c r="E682" t="s">
        <v>72</v>
      </c>
      <c r="F682" t="s">
        <v>11014</v>
      </c>
      <c r="G682" t="s">
        <v>72</v>
      </c>
      <c r="H682" t="s">
        <v>72</v>
      </c>
      <c r="I682" t="s">
        <v>11015</v>
      </c>
      <c r="J682" t="s">
        <v>958</v>
      </c>
      <c r="K682" t="s">
        <v>72</v>
      </c>
      <c r="L682" t="s">
        <v>72</v>
      </c>
      <c r="M682" t="s">
        <v>76</v>
      </c>
      <c r="N682" t="s">
        <v>352</v>
      </c>
      <c r="O682" t="s">
        <v>72</v>
      </c>
      <c r="P682" t="s">
        <v>72</v>
      </c>
      <c r="Q682" t="s">
        <v>72</v>
      </c>
      <c r="R682" t="s">
        <v>72</v>
      </c>
      <c r="S682" t="s">
        <v>72</v>
      </c>
      <c r="T682" t="s">
        <v>72</v>
      </c>
      <c r="U682" t="s">
        <v>11016</v>
      </c>
      <c r="V682" t="s">
        <v>11017</v>
      </c>
      <c r="W682" t="s">
        <v>11018</v>
      </c>
      <c r="X682" t="s">
        <v>11019</v>
      </c>
      <c r="Y682" t="s">
        <v>11020</v>
      </c>
      <c r="Z682" t="s">
        <v>11021</v>
      </c>
      <c r="AA682" t="s">
        <v>72</v>
      </c>
      <c r="AB682" t="s">
        <v>11022</v>
      </c>
      <c r="AC682" t="s">
        <v>2227</v>
      </c>
      <c r="AD682" t="s">
        <v>2227</v>
      </c>
      <c r="AE682" t="s">
        <v>11023</v>
      </c>
      <c r="AF682" t="s">
        <v>72</v>
      </c>
      <c r="AG682">
        <v>62</v>
      </c>
      <c r="AH682">
        <v>6</v>
      </c>
      <c r="AI682">
        <v>6</v>
      </c>
      <c r="AJ682">
        <v>7</v>
      </c>
      <c r="AK682">
        <v>16</v>
      </c>
      <c r="AL682" t="s">
        <v>1260</v>
      </c>
      <c r="AM682" t="s">
        <v>964</v>
      </c>
      <c r="AN682" t="s">
        <v>965</v>
      </c>
      <c r="AO682" t="s">
        <v>966</v>
      </c>
      <c r="AP682" t="s">
        <v>967</v>
      </c>
      <c r="AQ682" t="s">
        <v>72</v>
      </c>
      <c r="AR682" t="s">
        <v>968</v>
      </c>
      <c r="AS682" t="s">
        <v>969</v>
      </c>
      <c r="AT682" t="s">
        <v>72</v>
      </c>
      <c r="AU682" t="s">
        <v>72</v>
      </c>
      <c r="AV682" t="s">
        <v>72</v>
      </c>
      <c r="AW682" t="s">
        <v>72</v>
      </c>
      <c r="AX682" t="s">
        <v>72</v>
      </c>
      <c r="AY682" t="s">
        <v>72</v>
      </c>
      <c r="AZ682" t="s">
        <v>72</v>
      </c>
      <c r="BA682" t="s">
        <v>72</v>
      </c>
      <c r="BB682" t="s">
        <v>72</v>
      </c>
      <c r="BC682" t="s">
        <v>72</v>
      </c>
      <c r="BD682" t="s">
        <v>72</v>
      </c>
      <c r="BE682" t="s">
        <v>11024</v>
      </c>
      <c r="BF682" t="str">
        <f>HYPERLINK("http://dx.doi.org/10.1111/padm.12747","http://dx.doi.org/10.1111/padm.12747")</f>
        <v>http://dx.doi.org/10.1111/padm.12747</v>
      </c>
      <c r="BG682" t="s">
        <v>72</v>
      </c>
      <c r="BH682" t="s">
        <v>4075</v>
      </c>
      <c r="BI682">
        <v>20</v>
      </c>
      <c r="BJ682" t="s">
        <v>373</v>
      </c>
      <c r="BK682" s="1" t="s">
        <v>17619</v>
      </c>
      <c r="BL682" t="s">
        <v>11025</v>
      </c>
      <c r="BM682" t="s">
        <v>72</v>
      </c>
      <c r="BN682" t="s">
        <v>2403</v>
      </c>
      <c r="BO682" t="s">
        <v>72</v>
      </c>
      <c r="BP682" t="s">
        <v>72</v>
      </c>
      <c r="BQ682" t="s">
        <v>100</v>
      </c>
      <c r="BR682" t="s">
        <v>11026</v>
      </c>
      <c r="BS682" t="str">
        <f>HYPERLINK("https%3A%2F%2Fwww.webofscience.com%2Fwos%2Fwoscc%2Ffull-record%2FWOS:000648992000001","View Full Record in Web of Science")</f>
        <v>View Full Record in Web of Science</v>
      </c>
    </row>
    <row r="683" spans="1:71" x14ac:dyDescent="0.2">
      <c r="A683" t="s">
        <v>70</v>
      </c>
      <c r="B683" t="s">
        <v>12344</v>
      </c>
      <c r="C683" t="s">
        <v>72</v>
      </c>
      <c r="D683" t="s">
        <v>72</v>
      </c>
      <c r="E683" t="s">
        <v>72</v>
      </c>
      <c r="F683" t="s">
        <v>12345</v>
      </c>
      <c r="G683" t="s">
        <v>72</v>
      </c>
      <c r="H683" t="s">
        <v>72</v>
      </c>
      <c r="I683" t="s">
        <v>12346</v>
      </c>
      <c r="J683" t="s">
        <v>3696</v>
      </c>
      <c r="K683" t="s">
        <v>72</v>
      </c>
      <c r="L683" t="s">
        <v>72</v>
      </c>
      <c r="M683" t="s">
        <v>76</v>
      </c>
      <c r="N683" t="s">
        <v>77</v>
      </c>
      <c r="O683" t="s">
        <v>72</v>
      </c>
      <c r="P683" t="s">
        <v>72</v>
      </c>
      <c r="Q683" t="s">
        <v>72</v>
      </c>
      <c r="R683" t="s">
        <v>72</v>
      </c>
      <c r="S683" t="s">
        <v>72</v>
      </c>
      <c r="T683" t="s">
        <v>12347</v>
      </c>
      <c r="U683" t="s">
        <v>12348</v>
      </c>
      <c r="V683" t="s">
        <v>12349</v>
      </c>
      <c r="W683" t="s">
        <v>12350</v>
      </c>
      <c r="X683" t="s">
        <v>12351</v>
      </c>
      <c r="Y683" t="s">
        <v>12352</v>
      </c>
      <c r="Z683" t="s">
        <v>72</v>
      </c>
      <c r="AA683" t="s">
        <v>72</v>
      </c>
      <c r="AB683" t="s">
        <v>12353</v>
      </c>
      <c r="AC683" t="s">
        <v>72</v>
      </c>
      <c r="AD683" t="s">
        <v>72</v>
      </c>
      <c r="AE683" t="s">
        <v>72</v>
      </c>
      <c r="AF683" t="s">
        <v>72</v>
      </c>
      <c r="AG683">
        <v>92</v>
      </c>
      <c r="AH683">
        <v>5</v>
      </c>
      <c r="AI683">
        <v>5</v>
      </c>
      <c r="AJ683">
        <v>1</v>
      </c>
      <c r="AK683">
        <v>18</v>
      </c>
      <c r="AL683" t="s">
        <v>1260</v>
      </c>
      <c r="AM683" t="s">
        <v>964</v>
      </c>
      <c r="AN683" t="s">
        <v>965</v>
      </c>
      <c r="AO683" t="s">
        <v>3703</v>
      </c>
      <c r="AP683" t="s">
        <v>3704</v>
      </c>
      <c r="AQ683" t="s">
        <v>72</v>
      </c>
      <c r="AR683" t="s">
        <v>3705</v>
      </c>
      <c r="AS683" t="s">
        <v>3706</v>
      </c>
      <c r="AT683" t="s">
        <v>197</v>
      </c>
      <c r="AU683">
        <v>2017</v>
      </c>
      <c r="AV683">
        <v>45</v>
      </c>
      <c r="AW683">
        <v>2</v>
      </c>
      <c r="AX683" t="s">
        <v>72</v>
      </c>
      <c r="AY683" t="s">
        <v>72</v>
      </c>
      <c r="AZ683" t="s">
        <v>72</v>
      </c>
      <c r="BA683" t="s">
        <v>72</v>
      </c>
      <c r="BB683">
        <v>337</v>
      </c>
      <c r="BC683">
        <v>358</v>
      </c>
      <c r="BD683" t="s">
        <v>72</v>
      </c>
      <c r="BE683" t="s">
        <v>12354</v>
      </c>
      <c r="BF683" t="str">
        <f>HYPERLINK("http://dx.doi.org/10.1111/psj.12119","http://dx.doi.org/10.1111/psj.12119")</f>
        <v>http://dx.doi.org/10.1111/psj.12119</v>
      </c>
      <c r="BG683" t="s">
        <v>72</v>
      </c>
      <c r="BH683" t="s">
        <v>72</v>
      </c>
      <c r="BI683">
        <v>22</v>
      </c>
      <c r="BJ683" t="s">
        <v>373</v>
      </c>
      <c r="BK683" s="1" t="s">
        <v>17619</v>
      </c>
      <c r="BL683" t="s">
        <v>12355</v>
      </c>
      <c r="BM683" t="s">
        <v>72</v>
      </c>
      <c r="BN683" t="s">
        <v>559</v>
      </c>
      <c r="BO683" t="s">
        <v>72</v>
      </c>
      <c r="BP683" t="s">
        <v>72</v>
      </c>
      <c r="BQ683" t="s">
        <v>100</v>
      </c>
      <c r="BR683" t="s">
        <v>12356</v>
      </c>
      <c r="BS683" t="str">
        <f>HYPERLINK("https%3A%2F%2Fwww.webofscience.com%2Fwos%2Fwoscc%2Ffull-record%2FWOS:000401553700006","View Full Record in Web of Science")</f>
        <v>View Full Record in Web of Science</v>
      </c>
    </row>
    <row r="684" spans="1:71" x14ac:dyDescent="0.2">
      <c r="A684" t="s">
        <v>70</v>
      </c>
      <c r="B684" t="s">
        <v>6120</v>
      </c>
      <c r="C684" t="s">
        <v>72</v>
      </c>
      <c r="D684" t="s">
        <v>72</v>
      </c>
      <c r="E684" t="s">
        <v>72</v>
      </c>
      <c r="F684" t="s">
        <v>6121</v>
      </c>
      <c r="G684" t="s">
        <v>72</v>
      </c>
      <c r="H684" t="s">
        <v>72</v>
      </c>
      <c r="I684" t="s">
        <v>6122</v>
      </c>
      <c r="J684" t="s">
        <v>6123</v>
      </c>
      <c r="K684" t="s">
        <v>72</v>
      </c>
      <c r="L684" t="s">
        <v>72</v>
      </c>
      <c r="M684" t="s">
        <v>76</v>
      </c>
      <c r="N684" t="s">
        <v>77</v>
      </c>
      <c r="O684" t="s">
        <v>72</v>
      </c>
      <c r="P684" t="s">
        <v>72</v>
      </c>
      <c r="Q684" t="s">
        <v>72</v>
      </c>
      <c r="R684" t="s">
        <v>72</v>
      </c>
      <c r="S684" t="s">
        <v>72</v>
      </c>
      <c r="T684" t="s">
        <v>72</v>
      </c>
      <c r="U684" t="s">
        <v>6124</v>
      </c>
      <c r="V684" t="s">
        <v>6125</v>
      </c>
      <c r="W684" t="s">
        <v>6126</v>
      </c>
      <c r="X684" t="s">
        <v>6127</v>
      </c>
      <c r="Y684" t="s">
        <v>6128</v>
      </c>
      <c r="Z684" t="s">
        <v>6129</v>
      </c>
      <c r="AA684" t="s">
        <v>72</v>
      </c>
      <c r="AB684" t="s">
        <v>72</v>
      </c>
      <c r="AC684" t="s">
        <v>72</v>
      </c>
      <c r="AD684" t="s">
        <v>72</v>
      </c>
      <c r="AE684" t="s">
        <v>72</v>
      </c>
      <c r="AF684" t="s">
        <v>72</v>
      </c>
      <c r="AG684">
        <v>55</v>
      </c>
      <c r="AH684">
        <v>2</v>
      </c>
      <c r="AI684">
        <v>2</v>
      </c>
      <c r="AJ684">
        <v>3</v>
      </c>
      <c r="AK684">
        <v>22</v>
      </c>
      <c r="AL684" t="s">
        <v>240</v>
      </c>
      <c r="AM684" t="s">
        <v>707</v>
      </c>
      <c r="AN684" t="s">
        <v>1205</v>
      </c>
      <c r="AO684" t="s">
        <v>6130</v>
      </c>
      <c r="AP684" t="s">
        <v>6131</v>
      </c>
      <c r="AQ684" t="s">
        <v>72</v>
      </c>
      <c r="AR684" t="s">
        <v>6132</v>
      </c>
      <c r="AS684" t="s">
        <v>6133</v>
      </c>
      <c r="AT684" t="s">
        <v>299</v>
      </c>
      <c r="AU684">
        <v>2018</v>
      </c>
      <c r="AV684">
        <v>11</v>
      </c>
      <c r="AW684">
        <v>2</v>
      </c>
      <c r="AX684" t="s">
        <v>72</v>
      </c>
      <c r="AY684" t="s">
        <v>72</v>
      </c>
      <c r="AZ684" t="s">
        <v>72</v>
      </c>
      <c r="BA684" t="s">
        <v>72</v>
      </c>
      <c r="BB684">
        <v>281</v>
      </c>
      <c r="BC684">
        <v>308</v>
      </c>
      <c r="BD684" t="s">
        <v>72</v>
      </c>
      <c r="BE684" t="s">
        <v>6134</v>
      </c>
      <c r="BF684" t="str">
        <f>HYPERLINK("http://dx.doi.org/10.1017/S1755048317000530","http://dx.doi.org/10.1017/S1755048317000530")</f>
        <v>http://dx.doi.org/10.1017/S1755048317000530</v>
      </c>
      <c r="BG684" t="s">
        <v>72</v>
      </c>
      <c r="BH684" t="s">
        <v>72</v>
      </c>
      <c r="BI684">
        <v>28</v>
      </c>
      <c r="BJ684" t="s">
        <v>6135</v>
      </c>
      <c r="BK684" s="1" t="s">
        <v>17619</v>
      </c>
      <c r="BL684" t="s">
        <v>6136</v>
      </c>
      <c r="BM684" t="s">
        <v>72</v>
      </c>
      <c r="BN684" t="s">
        <v>72</v>
      </c>
      <c r="BO684" t="s">
        <v>72</v>
      </c>
      <c r="BP684" t="s">
        <v>72</v>
      </c>
      <c r="BQ684" t="s">
        <v>100</v>
      </c>
      <c r="BR684" t="s">
        <v>6137</v>
      </c>
      <c r="BS684" t="str">
        <f>HYPERLINK("https%3A%2F%2Fwww.webofscience.com%2Fwos%2Fwoscc%2Ffull-record%2FWOS:000432595700003","View Full Record in Web of Science")</f>
        <v>View Full Record in Web of Science</v>
      </c>
    </row>
    <row r="685" spans="1:71" x14ac:dyDescent="0.2">
      <c r="A685" t="s">
        <v>70</v>
      </c>
      <c r="B685" t="s">
        <v>2196</v>
      </c>
      <c r="C685" t="s">
        <v>72</v>
      </c>
      <c r="D685" t="s">
        <v>72</v>
      </c>
      <c r="E685" t="s">
        <v>72</v>
      </c>
      <c r="F685" t="s">
        <v>2197</v>
      </c>
      <c r="G685" t="s">
        <v>72</v>
      </c>
      <c r="H685" t="s">
        <v>72</v>
      </c>
      <c r="I685" t="s">
        <v>2198</v>
      </c>
      <c r="J685" t="s">
        <v>2199</v>
      </c>
      <c r="K685" t="s">
        <v>72</v>
      </c>
      <c r="L685" t="s">
        <v>72</v>
      </c>
      <c r="M685" t="s">
        <v>76</v>
      </c>
      <c r="N685" t="s">
        <v>77</v>
      </c>
      <c r="O685" t="s">
        <v>72</v>
      </c>
      <c r="P685" t="s">
        <v>72</v>
      </c>
      <c r="Q685" t="s">
        <v>72</v>
      </c>
      <c r="R685" t="s">
        <v>72</v>
      </c>
      <c r="S685" t="s">
        <v>72</v>
      </c>
      <c r="T685" t="s">
        <v>2200</v>
      </c>
      <c r="U685" t="s">
        <v>72</v>
      </c>
      <c r="V685" t="s">
        <v>2201</v>
      </c>
      <c r="W685" t="s">
        <v>2202</v>
      </c>
      <c r="X685" t="s">
        <v>545</v>
      </c>
      <c r="Y685" t="s">
        <v>2203</v>
      </c>
      <c r="Z685" t="s">
        <v>2204</v>
      </c>
      <c r="AA685" t="s">
        <v>72</v>
      </c>
      <c r="AB685" t="s">
        <v>2205</v>
      </c>
      <c r="AC685" t="s">
        <v>72</v>
      </c>
      <c r="AD685" t="s">
        <v>72</v>
      </c>
      <c r="AE685" t="s">
        <v>72</v>
      </c>
      <c r="AF685" t="s">
        <v>72</v>
      </c>
      <c r="AG685">
        <v>56</v>
      </c>
      <c r="AH685">
        <v>0</v>
      </c>
      <c r="AI685">
        <v>0</v>
      </c>
      <c r="AJ685">
        <v>1</v>
      </c>
      <c r="AK685">
        <v>2</v>
      </c>
      <c r="AL685" t="s">
        <v>364</v>
      </c>
      <c r="AM685" t="s">
        <v>365</v>
      </c>
      <c r="AN685" t="s">
        <v>366</v>
      </c>
      <c r="AO685" t="s">
        <v>2206</v>
      </c>
      <c r="AP685" t="s">
        <v>2207</v>
      </c>
      <c r="AQ685" t="s">
        <v>72</v>
      </c>
      <c r="AR685" t="s">
        <v>2208</v>
      </c>
      <c r="AS685" t="s">
        <v>2209</v>
      </c>
      <c r="AT685" t="s">
        <v>276</v>
      </c>
      <c r="AU685">
        <v>2021</v>
      </c>
      <c r="AV685">
        <v>26</v>
      </c>
      <c r="AW685">
        <v>3</v>
      </c>
      <c r="AX685" t="s">
        <v>72</v>
      </c>
      <c r="AY685" t="s">
        <v>72</v>
      </c>
      <c r="AZ685" t="s">
        <v>72</v>
      </c>
      <c r="BA685" t="s">
        <v>72</v>
      </c>
      <c r="BB685">
        <v>329</v>
      </c>
      <c r="BC685">
        <v>353</v>
      </c>
      <c r="BD685" t="s">
        <v>72</v>
      </c>
      <c r="BE685" t="s">
        <v>2210</v>
      </c>
      <c r="BF685" t="str">
        <f>HYPERLINK("http://dx.doi.org/10.1080/13608746.2022.2043073","http://dx.doi.org/10.1080/13608746.2022.2043073")</f>
        <v>http://dx.doi.org/10.1080/13608746.2022.2043073</v>
      </c>
      <c r="BG685" t="s">
        <v>72</v>
      </c>
      <c r="BH685" t="s">
        <v>2211</v>
      </c>
      <c r="BI685">
        <v>25</v>
      </c>
      <c r="BJ685" t="s">
        <v>2212</v>
      </c>
      <c r="BK685" s="1" t="s">
        <v>17619</v>
      </c>
      <c r="BL685" t="s">
        <v>2213</v>
      </c>
      <c r="BM685" t="s">
        <v>72</v>
      </c>
      <c r="BN685" t="s">
        <v>72</v>
      </c>
      <c r="BO685" t="s">
        <v>72</v>
      </c>
      <c r="BP685" t="s">
        <v>72</v>
      </c>
      <c r="BQ685" t="s">
        <v>100</v>
      </c>
      <c r="BR685" t="s">
        <v>2214</v>
      </c>
      <c r="BS685" t="str">
        <f>HYPERLINK("https%3A%2F%2Fwww.webofscience.com%2Fwos%2Fwoscc%2Ffull-record%2FWOS:000767658400001","View Full Record in Web of Science")</f>
        <v>View Full Record in Web of Science</v>
      </c>
    </row>
    <row r="686" spans="1:71" x14ac:dyDescent="0.2">
      <c r="A686" t="s">
        <v>70</v>
      </c>
      <c r="B686" t="s">
        <v>9790</v>
      </c>
      <c r="C686" t="s">
        <v>72</v>
      </c>
      <c r="D686" t="s">
        <v>72</v>
      </c>
      <c r="E686" t="s">
        <v>72</v>
      </c>
      <c r="F686" t="s">
        <v>9791</v>
      </c>
      <c r="G686" t="s">
        <v>72</v>
      </c>
      <c r="H686" t="s">
        <v>72</v>
      </c>
      <c r="I686" t="s">
        <v>9792</v>
      </c>
      <c r="J686" t="s">
        <v>9793</v>
      </c>
      <c r="K686" t="s">
        <v>72</v>
      </c>
      <c r="L686" t="s">
        <v>72</v>
      </c>
      <c r="M686" t="s">
        <v>76</v>
      </c>
      <c r="N686" t="s">
        <v>77</v>
      </c>
      <c r="O686" t="s">
        <v>72</v>
      </c>
      <c r="P686" t="s">
        <v>72</v>
      </c>
      <c r="Q686" t="s">
        <v>72</v>
      </c>
      <c r="R686" t="s">
        <v>72</v>
      </c>
      <c r="S686" t="s">
        <v>72</v>
      </c>
      <c r="T686" t="s">
        <v>9794</v>
      </c>
      <c r="U686" t="s">
        <v>9795</v>
      </c>
      <c r="V686" t="s">
        <v>9796</v>
      </c>
      <c r="W686" t="s">
        <v>9797</v>
      </c>
      <c r="X686" t="s">
        <v>9798</v>
      </c>
      <c r="Y686" t="s">
        <v>9799</v>
      </c>
      <c r="Z686" t="s">
        <v>72</v>
      </c>
      <c r="AA686" t="s">
        <v>9800</v>
      </c>
      <c r="AB686" t="s">
        <v>9801</v>
      </c>
      <c r="AC686" t="s">
        <v>72</v>
      </c>
      <c r="AD686" t="s">
        <v>72</v>
      </c>
      <c r="AE686" t="s">
        <v>72</v>
      </c>
      <c r="AF686" t="s">
        <v>72</v>
      </c>
      <c r="AG686">
        <v>30</v>
      </c>
      <c r="AH686">
        <v>51</v>
      </c>
      <c r="AI686">
        <v>52</v>
      </c>
      <c r="AJ686">
        <v>1</v>
      </c>
      <c r="AK686">
        <v>63</v>
      </c>
      <c r="AL686" t="s">
        <v>190</v>
      </c>
      <c r="AM686" t="s">
        <v>191</v>
      </c>
      <c r="AN686" t="s">
        <v>192</v>
      </c>
      <c r="AO686" t="s">
        <v>9802</v>
      </c>
      <c r="AP686" t="s">
        <v>9803</v>
      </c>
      <c r="AQ686" t="s">
        <v>72</v>
      </c>
      <c r="AR686" t="s">
        <v>9804</v>
      </c>
      <c r="AS686" t="s">
        <v>9805</v>
      </c>
      <c r="AT686" t="s">
        <v>197</v>
      </c>
      <c r="AU686">
        <v>2015</v>
      </c>
      <c r="AV686">
        <v>659</v>
      </c>
      <c r="AW686">
        <v>1</v>
      </c>
      <c r="AX686" t="s">
        <v>72</v>
      </c>
      <c r="AY686" t="s">
        <v>72</v>
      </c>
      <c r="AZ686" t="s">
        <v>72</v>
      </c>
      <c r="BA686" t="s">
        <v>72</v>
      </c>
      <c r="BB686">
        <v>95</v>
      </c>
      <c r="BC686">
        <v>107</v>
      </c>
      <c r="BD686" t="s">
        <v>72</v>
      </c>
      <c r="BE686" t="s">
        <v>9806</v>
      </c>
      <c r="BF686" t="str">
        <f>HYPERLINK("http://dx.doi.org/10.1177/0002716215569192","http://dx.doi.org/10.1177/0002716215569192")</f>
        <v>http://dx.doi.org/10.1177/0002716215569192</v>
      </c>
      <c r="BG686" t="s">
        <v>72</v>
      </c>
      <c r="BH686" t="s">
        <v>72</v>
      </c>
      <c r="BI686">
        <v>13</v>
      </c>
      <c r="BJ686" t="s">
        <v>9807</v>
      </c>
      <c r="BK686" s="1" t="s">
        <v>17619</v>
      </c>
      <c r="BL686" t="s">
        <v>9808</v>
      </c>
      <c r="BM686" t="s">
        <v>72</v>
      </c>
      <c r="BN686" t="s">
        <v>72</v>
      </c>
      <c r="BO686" t="s">
        <v>72</v>
      </c>
      <c r="BP686" t="s">
        <v>72</v>
      </c>
      <c r="BQ686" t="s">
        <v>100</v>
      </c>
      <c r="BR686" t="s">
        <v>9809</v>
      </c>
      <c r="BS686" t="str">
        <f>HYPERLINK("https%3A%2F%2Fwww.webofscience.com%2Fwos%2Fwoscc%2Ffull-record%2FWOS:000352789600007","View Full Record in Web of Science")</f>
        <v>View Full Record in Web of Science</v>
      </c>
    </row>
    <row r="687" spans="1:71" x14ac:dyDescent="0.2">
      <c r="A687" t="s">
        <v>70</v>
      </c>
      <c r="B687" t="s">
        <v>4697</v>
      </c>
      <c r="C687" t="s">
        <v>72</v>
      </c>
      <c r="D687" t="s">
        <v>72</v>
      </c>
      <c r="E687" t="s">
        <v>72</v>
      </c>
      <c r="F687" t="s">
        <v>4698</v>
      </c>
      <c r="G687" t="s">
        <v>72</v>
      </c>
      <c r="H687" t="s">
        <v>72</v>
      </c>
      <c r="I687" t="s">
        <v>4699</v>
      </c>
      <c r="J687" t="s">
        <v>4700</v>
      </c>
      <c r="K687" t="s">
        <v>72</v>
      </c>
      <c r="L687" t="s">
        <v>72</v>
      </c>
      <c r="M687" t="s">
        <v>76</v>
      </c>
      <c r="N687" t="s">
        <v>77</v>
      </c>
      <c r="O687" t="s">
        <v>72</v>
      </c>
      <c r="P687" t="s">
        <v>72</v>
      </c>
      <c r="Q687" t="s">
        <v>72</v>
      </c>
      <c r="R687" t="s">
        <v>72</v>
      </c>
      <c r="S687" t="s">
        <v>72</v>
      </c>
      <c r="T687" t="s">
        <v>72</v>
      </c>
      <c r="U687" t="s">
        <v>4701</v>
      </c>
      <c r="V687" t="s">
        <v>4702</v>
      </c>
      <c r="W687" t="s">
        <v>4703</v>
      </c>
      <c r="X687" t="s">
        <v>4704</v>
      </c>
      <c r="Y687" t="s">
        <v>4705</v>
      </c>
      <c r="Z687" t="s">
        <v>4706</v>
      </c>
      <c r="AA687" t="s">
        <v>72</v>
      </c>
      <c r="AB687" t="s">
        <v>72</v>
      </c>
      <c r="AC687" t="s">
        <v>4707</v>
      </c>
      <c r="AD687" t="s">
        <v>4708</v>
      </c>
      <c r="AE687" t="s">
        <v>4709</v>
      </c>
      <c r="AF687" t="s">
        <v>72</v>
      </c>
      <c r="AG687">
        <v>30</v>
      </c>
      <c r="AH687">
        <v>2</v>
      </c>
      <c r="AI687">
        <v>2</v>
      </c>
      <c r="AJ687">
        <v>0</v>
      </c>
      <c r="AK687">
        <v>18</v>
      </c>
      <c r="AL687" t="s">
        <v>1260</v>
      </c>
      <c r="AM687" t="s">
        <v>964</v>
      </c>
      <c r="AN687" t="s">
        <v>965</v>
      </c>
      <c r="AO687" t="s">
        <v>4710</v>
      </c>
      <c r="AP687" t="s">
        <v>4711</v>
      </c>
      <c r="AQ687" t="s">
        <v>72</v>
      </c>
      <c r="AR687" t="s">
        <v>4712</v>
      </c>
      <c r="AS687" t="s">
        <v>4713</v>
      </c>
      <c r="AT687" t="s">
        <v>95</v>
      </c>
      <c r="AU687">
        <v>2017</v>
      </c>
      <c r="AV687">
        <v>98</v>
      </c>
      <c r="AW687">
        <v>3</v>
      </c>
      <c r="AX687" t="s">
        <v>72</v>
      </c>
      <c r="AY687" t="s">
        <v>72</v>
      </c>
      <c r="AZ687" t="s">
        <v>478</v>
      </c>
      <c r="BA687" t="s">
        <v>72</v>
      </c>
      <c r="BB687">
        <v>976</v>
      </c>
      <c r="BC687">
        <v>992</v>
      </c>
      <c r="BD687" t="s">
        <v>72</v>
      </c>
      <c r="BE687" t="s">
        <v>4714</v>
      </c>
      <c r="BF687" t="str">
        <f>HYPERLINK("http://dx.doi.org/10.1111/ssqu.12441","http://dx.doi.org/10.1111/ssqu.12441")</f>
        <v>http://dx.doi.org/10.1111/ssqu.12441</v>
      </c>
      <c r="BG687" t="s">
        <v>72</v>
      </c>
      <c r="BH687" t="s">
        <v>72</v>
      </c>
      <c r="BI687">
        <v>17</v>
      </c>
      <c r="BJ687" t="s">
        <v>4715</v>
      </c>
      <c r="BK687" s="1" t="s">
        <v>17619</v>
      </c>
      <c r="BL687" t="s">
        <v>4716</v>
      </c>
      <c r="BM687" t="s">
        <v>72</v>
      </c>
      <c r="BN687" t="s">
        <v>72</v>
      </c>
      <c r="BO687" t="s">
        <v>72</v>
      </c>
      <c r="BP687" t="s">
        <v>72</v>
      </c>
      <c r="BQ687" t="s">
        <v>100</v>
      </c>
      <c r="BR687" t="s">
        <v>4717</v>
      </c>
      <c r="BS687" t="str">
        <f>HYPERLINK("https%3A%2F%2Fwww.webofscience.com%2Fwos%2Fwoscc%2Ffull-record%2FWOS:000408759700013","View Full Record in Web of Science")</f>
        <v>View Full Record in Web of Science</v>
      </c>
    </row>
    <row r="688" spans="1:71" x14ac:dyDescent="0.2">
      <c r="A688" t="s">
        <v>70</v>
      </c>
      <c r="B688" t="s">
        <v>4838</v>
      </c>
      <c r="C688" t="s">
        <v>72</v>
      </c>
      <c r="D688" t="s">
        <v>72</v>
      </c>
      <c r="E688" t="s">
        <v>72</v>
      </c>
      <c r="F688" t="s">
        <v>9779</v>
      </c>
      <c r="G688" t="s">
        <v>72</v>
      </c>
      <c r="H688" t="s">
        <v>72</v>
      </c>
      <c r="I688" t="s">
        <v>9780</v>
      </c>
      <c r="J688" t="s">
        <v>4700</v>
      </c>
      <c r="K688" t="s">
        <v>72</v>
      </c>
      <c r="L688" t="s">
        <v>72</v>
      </c>
      <c r="M688" t="s">
        <v>76</v>
      </c>
      <c r="N688" t="s">
        <v>77</v>
      </c>
      <c r="O688" t="s">
        <v>72</v>
      </c>
      <c r="P688" t="s">
        <v>72</v>
      </c>
      <c r="Q688" t="s">
        <v>72</v>
      </c>
      <c r="R688" t="s">
        <v>72</v>
      </c>
      <c r="S688" t="s">
        <v>72</v>
      </c>
      <c r="T688" t="s">
        <v>72</v>
      </c>
      <c r="U688" t="s">
        <v>9781</v>
      </c>
      <c r="V688" t="s">
        <v>9782</v>
      </c>
      <c r="W688" t="s">
        <v>9783</v>
      </c>
      <c r="X688" t="s">
        <v>9784</v>
      </c>
      <c r="Y688" t="s">
        <v>9785</v>
      </c>
      <c r="Z688" t="s">
        <v>9786</v>
      </c>
      <c r="AA688" t="s">
        <v>72</v>
      </c>
      <c r="AB688" t="s">
        <v>9787</v>
      </c>
      <c r="AC688" t="s">
        <v>72</v>
      </c>
      <c r="AD688" t="s">
        <v>72</v>
      </c>
      <c r="AE688" t="s">
        <v>72</v>
      </c>
      <c r="AF688" t="s">
        <v>72</v>
      </c>
      <c r="AG688">
        <v>56</v>
      </c>
      <c r="AH688">
        <v>4</v>
      </c>
      <c r="AI688">
        <v>4</v>
      </c>
      <c r="AJ688">
        <v>1</v>
      </c>
      <c r="AK688">
        <v>17</v>
      </c>
      <c r="AL688" t="s">
        <v>1260</v>
      </c>
      <c r="AM688" t="s">
        <v>964</v>
      </c>
      <c r="AN688" t="s">
        <v>965</v>
      </c>
      <c r="AO688" t="s">
        <v>4710</v>
      </c>
      <c r="AP688" t="s">
        <v>4711</v>
      </c>
      <c r="AQ688" t="s">
        <v>72</v>
      </c>
      <c r="AR688" t="s">
        <v>4712</v>
      </c>
      <c r="AS688" t="s">
        <v>4713</v>
      </c>
      <c r="AT688" t="s">
        <v>95</v>
      </c>
      <c r="AU688">
        <v>2017</v>
      </c>
      <c r="AV688">
        <v>98</v>
      </c>
      <c r="AW688">
        <v>3</v>
      </c>
      <c r="AX688" t="s">
        <v>72</v>
      </c>
      <c r="AY688" t="s">
        <v>72</v>
      </c>
      <c r="AZ688" t="s">
        <v>478</v>
      </c>
      <c r="BA688" t="s">
        <v>72</v>
      </c>
      <c r="BB688">
        <v>1045</v>
      </c>
      <c r="BC688">
        <v>1060</v>
      </c>
      <c r="BD688" t="s">
        <v>72</v>
      </c>
      <c r="BE688" t="s">
        <v>9788</v>
      </c>
      <c r="BF688" t="str">
        <f>HYPERLINK("http://dx.doi.org/10.1111/ssqu.12437","http://dx.doi.org/10.1111/ssqu.12437")</f>
        <v>http://dx.doi.org/10.1111/ssqu.12437</v>
      </c>
      <c r="BG688" t="s">
        <v>72</v>
      </c>
      <c r="BH688" t="s">
        <v>72</v>
      </c>
      <c r="BI688">
        <v>16</v>
      </c>
      <c r="BJ688" t="s">
        <v>4715</v>
      </c>
      <c r="BK688" s="1" t="s">
        <v>17619</v>
      </c>
      <c r="BL688" t="s">
        <v>4716</v>
      </c>
      <c r="BM688" t="s">
        <v>72</v>
      </c>
      <c r="BN688" t="s">
        <v>251</v>
      </c>
      <c r="BO688" t="s">
        <v>72</v>
      </c>
      <c r="BP688" t="s">
        <v>72</v>
      </c>
      <c r="BQ688" t="s">
        <v>100</v>
      </c>
      <c r="BR688" t="s">
        <v>9789</v>
      </c>
      <c r="BS688" t="str">
        <f>HYPERLINK("https%3A%2F%2Fwww.webofscience.com%2Fwos%2Fwoscc%2Ffull-record%2FWOS:000408759700017","View Full Record in Web of Science")</f>
        <v>View Full Record in Web of Science</v>
      </c>
    </row>
    <row r="689" spans="1:71" x14ac:dyDescent="0.2">
      <c r="A689" t="s">
        <v>70</v>
      </c>
      <c r="B689" t="s">
        <v>11915</v>
      </c>
      <c r="C689" t="s">
        <v>72</v>
      </c>
      <c r="D689" t="s">
        <v>72</v>
      </c>
      <c r="E689" t="s">
        <v>72</v>
      </c>
      <c r="F689" t="s">
        <v>11916</v>
      </c>
      <c r="G689" t="s">
        <v>72</v>
      </c>
      <c r="H689" t="s">
        <v>72</v>
      </c>
      <c r="I689" t="s">
        <v>11917</v>
      </c>
      <c r="J689" t="s">
        <v>4700</v>
      </c>
      <c r="K689" t="s">
        <v>72</v>
      </c>
      <c r="L689" t="s">
        <v>72</v>
      </c>
      <c r="M689" t="s">
        <v>76</v>
      </c>
      <c r="N689" t="s">
        <v>77</v>
      </c>
      <c r="O689" t="s">
        <v>72</v>
      </c>
      <c r="P689" t="s">
        <v>72</v>
      </c>
      <c r="Q689" t="s">
        <v>72</v>
      </c>
      <c r="R689" t="s">
        <v>72</v>
      </c>
      <c r="S689" t="s">
        <v>72</v>
      </c>
      <c r="T689" t="s">
        <v>11918</v>
      </c>
      <c r="U689" t="s">
        <v>72</v>
      </c>
      <c r="V689" t="s">
        <v>11919</v>
      </c>
      <c r="W689" t="s">
        <v>11920</v>
      </c>
      <c r="X689" t="s">
        <v>11921</v>
      </c>
      <c r="Y689" t="s">
        <v>11922</v>
      </c>
      <c r="Z689" t="s">
        <v>11923</v>
      </c>
      <c r="AA689" t="s">
        <v>11924</v>
      </c>
      <c r="AB689" t="s">
        <v>11925</v>
      </c>
      <c r="AC689" t="s">
        <v>11926</v>
      </c>
      <c r="AD689" t="s">
        <v>11927</v>
      </c>
      <c r="AE689" t="s">
        <v>11928</v>
      </c>
      <c r="AF689" t="s">
        <v>72</v>
      </c>
      <c r="AG689">
        <v>19</v>
      </c>
      <c r="AH689">
        <v>3</v>
      </c>
      <c r="AI689">
        <v>3</v>
      </c>
      <c r="AJ689">
        <v>2</v>
      </c>
      <c r="AK689">
        <v>6</v>
      </c>
      <c r="AL689" t="s">
        <v>1260</v>
      </c>
      <c r="AM689" t="s">
        <v>964</v>
      </c>
      <c r="AN689" t="s">
        <v>965</v>
      </c>
      <c r="AO689" t="s">
        <v>4710</v>
      </c>
      <c r="AP689" t="s">
        <v>4711</v>
      </c>
      <c r="AQ689" t="s">
        <v>72</v>
      </c>
      <c r="AR689" t="s">
        <v>4712</v>
      </c>
      <c r="AS689" t="s">
        <v>4713</v>
      </c>
      <c r="AT689" t="s">
        <v>95</v>
      </c>
      <c r="AU689">
        <v>2021</v>
      </c>
      <c r="AV689">
        <v>102</v>
      </c>
      <c r="AW689">
        <v>5</v>
      </c>
      <c r="AX689" t="s">
        <v>72</v>
      </c>
      <c r="AY689" t="s">
        <v>72</v>
      </c>
      <c r="AZ689" t="s">
        <v>478</v>
      </c>
      <c r="BA689" t="s">
        <v>72</v>
      </c>
      <c r="BB689">
        <v>2170</v>
      </c>
      <c r="BC689">
        <v>2183</v>
      </c>
      <c r="BD689" t="s">
        <v>72</v>
      </c>
      <c r="BE689" t="s">
        <v>11929</v>
      </c>
      <c r="BF689" t="str">
        <f>HYPERLINK("http://dx.doi.org/10.1111/ssqu.13036","http://dx.doi.org/10.1111/ssqu.13036")</f>
        <v>http://dx.doi.org/10.1111/ssqu.13036</v>
      </c>
      <c r="BG689" t="s">
        <v>72</v>
      </c>
      <c r="BH689" t="s">
        <v>4769</v>
      </c>
      <c r="BI689">
        <v>14</v>
      </c>
      <c r="BJ689" t="s">
        <v>4715</v>
      </c>
      <c r="BK689" s="1" t="s">
        <v>17619</v>
      </c>
      <c r="BL689" t="s">
        <v>11930</v>
      </c>
      <c r="BM689">
        <v>34548706</v>
      </c>
      <c r="BN689" t="s">
        <v>1128</v>
      </c>
      <c r="BO689" t="s">
        <v>72</v>
      </c>
      <c r="BP689" t="s">
        <v>72</v>
      </c>
      <c r="BQ689" t="s">
        <v>100</v>
      </c>
      <c r="BR689" t="s">
        <v>11931</v>
      </c>
      <c r="BS689" t="str">
        <f>HYPERLINK("https%3A%2F%2Fwww.webofscience.com%2Fwos%2Fwoscc%2Ffull-record%2FWOS:000681700800001","View Full Record in Web of Science")</f>
        <v>View Full Record in Web of Science</v>
      </c>
    </row>
    <row r="690" spans="1:71" x14ac:dyDescent="0.2">
      <c r="A690" t="s">
        <v>70</v>
      </c>
      <c r="B690" t="s">
        <v>10481</v>
      </c>
      <c r="C690" t="s">
        <v>72</v>
      </c>
      <c r="D690" t="s">
        <v>72</v>
      </c>
      <c r="E690" t="s">
        <v>72</v>
      </c>
      <c r="F690" t="s">
        <v>10482</v>
      </c>
      <c r="G690" t="s">
        <v>72</v>
      </c>
      <c r="H690" t="s">
        <v>72</v>
      </c>
      <c r="I690" t="s">
        <v>10483</v>
      </c>
      <c r="J690" t="s">
        <v>10484</v>
      </c>
      <c r="K690" t="s">
        <v>72</v>
      </c>
      <c r="L690" t="s">
        <v>72</v>
      </c>
      <c r="M690" t="s">
        <v>76</v>
      </c>
      <c r="N690" t="s">
        <v>77</v>
      </c>
      <c r="O690" t="s">
        <v>72</v>
      </c>
      <c r="P690" t="s">
        <v>72</v>
      </c>
      <c r="Q690" t="s">
        <v>72</v>
      </c>
      <c r="R690" t="s">
        <v>72</v>
      </c>
      <c r="S690" t="s">
        <v>72</v>
      </c>
      <c r="T690" t="s">
        <v>10485</v>
      </c>
      <c r="U690" t="s">
        <v>10486</v>
      </c>
      <c r="V690" t="s">
        <v>10487</v>
      </c>
      <c r="W690" t="s">
        <v>10488</v>
      </c>
      <c r="X690" t="s">
        <v>10489</v>
      </c>
      <c r="Y690" t="s">
        <v>10490</v>
      </c>
      <c r="Z690" t="s">
        <v>10491</v>
      </c>
      <c r="AA690" t="s">
        <v>72</v>
      </c>
      <c r="AB690" t="s">
        <v>72</v>
      </c>
      <c r="AC690" t="s">
        <v>72</v>
      </c>
      <c r="AD690" t="s">
        <v>72</v>
      </c>
      <c r="AE690" t="s">
        <v>72</v>
      </c>
      <c r="AF690" t="s">
        <v>72</v>
      </c>
      <c r="AG690">
        <v>56</v>
      </c>
      <c r="AH690">
        <v>3</v>
      </c>
      <c r="AI690">
        <v>3</v>
      </c>
      <c r="AJ690">
        <v>0</v>
      </c>
      <c r="AK690">
        <v>3</v>
      </c>
      <c r="AL690" t="s">
        <v>240</v>
      </c>
      <c r="AM690" t="s">
        <v>707</v>
      </c>
      <c r="AN690" t="s">
        <v>1205</v>
      </c>
      <c r="AO690" t="s">
        <v>10492</v>
      </c>
      <c r="AP690" t="s">
        <v>10493</v>
      </c>
      <c r="AQ690" t="s">
        <v>72</v>
      </c>
      <c r="AR690" t="s">
        <v>10494</v>
      </c>
      <c r="AS690" t="s">
        <v>10495</v>
      </c>
      <c r="AT690" t="s">
        <v>95</v>
      </c>
      <c r="AU690">
        <v>2019</v>
      </c>
      <c r="AV690">
        <v>15</v>
      </c>
      <c r="AW690">
        <v>3</v>
      </c>
      <c r="AX690" t="s">
        <v>72</v>
      </c>
      <c r="AY690" t="s">
        <v>72</v>
      </c>
      <c r="AZ690" t="s">
        <v>478</v>
      </c>
      <c r="BA690" t="s">
        <v>72</v>
      </c>
      <c r="BB690">
        <v>572</v>
      </c>
      <c r="BC690">
        <v>598</v>
      </c>
      <c r="BD690" t="s">
        <v>10496</v>
      </c>
      <c r="BE690" t="s">
        <v>10497</v>
      </c>
      <c r="BF690" t="str">
        <f>HYPERLINK("http://dx.doi.org/10.1017/S1743923X18000375","http://dx.doi.org/10.1017/S1743923X18000375")</f>
        <v>http://dx.doi.org/10.1017/S1743923X18000375</v>
      </c>
      <c r="BG690" t="s">
        <v>72</v>
      </c>
      <c r="BH690" t="s">
        <v>72</v>
      </c>
      <c r="BI690">
        <v>27</v>
      </c>
      <c r="BJ690" t="s">
        <v>10498</v>
      </c>
      <c r="BK690" s="1" t="s">
        <v>17619</v>
      </c>
      <c r="BL690" t="s">
        <v>10499</v>
      </c>
      <c r="BM690" t="s">
        <v>72</v>
      </c>
      <c r="BN690" t="s">
        <v>72</v>
      </c>
      <c r="BO690" t="s">
        <v>72</v>
      </c>
      <c r="BP690" t="s">
        <v>72</v>
      </c>
      <c r="BQ690" t="s">
        <v>100</v>
      </c>
      <c r="BR690" t="s">
        <v>10500</v>
      </c>
      <c r="BS690" t="str">
        <f>HYPERLINK("https%3A%2F%2Fwww.webofscience.com%2Fwos%2Fwoscc%2Ffull-record%2FWOS:000484384500012","View Full Record in Web of Science")</f>
        <v>View Full Record in Web of Science</v>
      </c>
    </row>
    <row r="691" spans="1:71" hidden="1" x14ac:dyDescent="0.2">
      <c r="A691" t="s">
        <v>70</v>
      </c>
      <c r="B691" t="s">
        <v>1727</v>
      </c>
      <c r="C691" t="s">
        <v>72</v>
      </c>
      <c r="D691" t="s">
        <v>72</v>
      </c>
      <c r="E691" t="s">
        <v>72</v>
      </c>
      <c r="F691" t="s">
        <v>1728</v>
      </c>
      <c r="G691" t="s">
        <v>72</v>
      </c>
      <c r="H691" t="s">
        <v>72</v>
      </c>
      <c r="I691" t="s">
        <v>1729</v>
      </c>
      <c r="J691" t="s">
        <v>1730</v>
      </c>
      <c r="K691" t="s">
        <v>72</v>
      </c>
      <c r="L691" t="s">
        <v>72</v>
      </c>
      <c r="M691" t="s">
        <v>76</v>
      </c>
      <c r="N691" t="s">
        <v>77</v>
      </c>
      <c r="O691" t="s">
        <v>72</v>
      </c>
      <c r="P691" t="s">
        <v>72</v>
      </c>
      <c r="Q691" t="s">
        <v>72</v>
      </c>
      <c r="R691" t="s">
        <v>72</v>
      </c>
      <c r="S691" t="s">
        <v>72</v>
      </c>
      <c r="T691" t="s">
        <v>1731</v>
      </c>
      <c r="U691" t="s">
        <v>1732</v>
      </c>
      <c r="V691" t="s">
        <v>1733</v>
      </c>
      <c r="W691" t="s">
        <v>1734</v>
      </c>
      <c r="X691" t="s">
        <v>1735</v>
      </c>
      <c r="Y691" t="s">
        <v>1736</v>
      </c>
      <c r="Z691" t="s">
        <v>1737</v>
      </c>
      <c r="AA691" t="s">
        <v>1738</v>
      </c>
      <c r="AB691" t="s">
        <v>1739</v>
      </c>
      <c r="AC691" t="s">
        <v>1740</v>
      </c>
      <c r="AD691" t="s">
        <v>1740</v>
      </c>
      <c r="AE691" t="s">
        <v>1741</v>
      </c>
      <c r="AF691" t="s">
        <v>72</v>
      </c>
      <c r="AG691">
        <v>34</v>
      </c>
      <c r="AH691">
        <v>0</v>
      </c>
      <c r="AI691">
        <v>0</v>
      </c>
      <c r="AJ691">
        <v>0</v>
      </c>
      <c r="AK691">
        <v>0</v>
      </c>
      <c r="AL691" t="s">
        <v>1742</v>
      </c>
      <c r="AM691" t="s">
        <v>1743</v>
      </c>
      <c r="AN691" t="s">
        <v>1744</v>
      </c>
      <c r="AO691" t="s">
        <v>72</v>
      </c>
      <c r="AP691" t="s">
        <v>1745</v>
      </c>
      <c r="AQ691" t="s">
        <v>72</v>
      </c>
      <c r="AR691" t="s">
        <v>1746</v>
      </c>
      <c r="AS691" t="s">
        <v>1747</v>
      </c>
      <c r="AT691" t="s">
        <v>72</v>
      </c>
      <c r="AU691">
        <v>2021</v>
      </c>
      <c r="AV691">
        <v>16</v>
      </c>
      <c r="AW691">
        <v>3</v>
      </c>
      <c r="AX691" t="s">
        <v>72</v>
      </c>
      <c r="AY691" t="s">
        <v>72</v>
      </c>
      <c r="AZ691" t="s">
        <v>478</v>
      </c>
      <c r="BA691" t="s">
        <v>72</v>
      </c>
      <c r="BB691">
        <v>174</v>
      </c>
      <c r="BC691">
        <v>183</v>
      </c>
      <c r="BD691" t="s">
        <v>72</v>
      </c>
      <c r="BE691" t="s">
        <v>72</v>
      </c>
      <c r="BF691" t="s">
        <v>72</v>
      </c>
      <c r="BG691" t="s">
        <v>72</v>
      </c>
      <c r="BH691" t="s">
        <v>72</v>
      </c>
      <c r="BI691">
        <v>10</v>
      </c>
      <c r="BJ691" t="s">
        <v>1748</v>
      </c>
      <c r="BK691" t="s">
        <v>1749</v>
      </c>
      <c r="BL691" t="s">
        <v>1750</v>
      </c>
      <c r="BM691" t="s">
        <v>72</v>
      </c>
      <c r="BN691" t="s">
        <v>72</v>
      </c>
      <c r="BO691" t="s">
        <v>72</v>
      </c>
      <c r="BP691" t="s">
        <v>72</v>
      </c>
      <c r="BQ691" t="s">
        <v>100</v>
      </c>
      <c r="BR691" t="s">
        <v>1751</v>
      </c>
      <c r="BS691" t="str">
        <f>HYPERLINK("https%3A%2F%2Fwww.webofscience.com%2Fwos%2Fwoscc%2Ffull-record%2FWOS:000706480700025","View Full Record in Web of Science")</f>
        <v>View Full Record in Web of Science</v>
      </c>
    </row>
    <row r="692" spans="1:71" hidden="1" x14ac:dyDescent="0.2">
      <c r="A692" t="s">
        <v>70</v>
      </c>
      <c r="B692" t="s">
        <v>17389</v>
      </c>
      <c r="C692" t="s">
        <v>72</v>
      </c>
      <c r="D692" t="s">
        <v>72</v>
      </c>
      <c r="E692" t="s">
        <v>72</v>
      </c>
      <c r="F692" t="s">
        <v>17390</v>
      </c>
      <c r="G692" t="s">
        <v>72</v>
      </c>
      <c r="H692" t="s">
        <v>72</v>
      </c>
      <c r="I692" t="s">
        <v>17391</v>
      </c>
      <c r="J692" t="s">
        <v>17392</v>
      </c>
      <c r="K692" t="s">
        <v>72</v>
      </c>
      <c r="L692" t="s">
        <v>72</v>
      </c>
      <c r="M692" t="s">
        <v>76</v>
      </c>
      <c r="N692" t="s">
        <v>352</v>
      </c>
      <c r="O692" t="s">
        <v>72</v>
      </c>
      <c r="P692" t="s">
        <v>72</v>
      </c>
      <c r="Q692" t="s">
        <v>72</v>
      </c>
      <c r="R692" t="s">
        <v>72</v>
      </c>
      <c r="S692" t="s">
        <v>72</v>
      </c>
      <c r="T692" t="s">
        <v>17393</v>
      </c>
      <c r="U692" t="s">
        <v>17394</v>
      </c>
      <c r="V692" t="s">
        <v>17395</v>
      </c>
      <c r="W692" t="s">
        <v>17396</v>
      </c>
      <c r="X692" t="s">
        <v>17397</v>
      </c>
      <c r="Y692" t="s">
        <v>17398</v>
      </c>
      <c r="Z692" t="s">
        <v>17399</v>
      </c>
      <c r="AA692" t="s">
        <v>72</v>
      </c>
      <c r="AB692" t="s">
        <v>17400</v>
      </c>
      <c r="AC692" t="s">
        <v>17401</v>
      </c>
      <c r="AD692" t="s">
        <v>17402</v>
      </c>
      <c r="AE692" t="s">
        <v>17403</v>
      </c>
      <c r="AF692" t="s">
        <v>72</v>
      </c>
      <c r="AG692">
        <v>48</v>
      </c>
      <c r="AH692">
        <v>0</v>
      </c>
      <c r="AI692">
        <v>0</v>
      </c>
      <c r="AJ692">
        <v>3</v>
      </c>
      <c r="AK692">
        <v>3</v>
      </c>
      <c r="AL692" t="s">
        <v>879</v>
      </c>
      <c r="AM692" t="s">
        <v>451</v>
      </c>
      <c r="AN692" t="s">
        <v>880</v>
      </c>
      <c r="AO692" t="s">
        <v>17404</v>
      </c>
      <c r="AP692" t="s">
        <v>17405</v>
      </c>
      <c r="AQ692" t="s">
        <v>72</v>
      </c>
      <c r="AR692" t="s">
        <v>17406</v>
      </c>
      <c r="AS692" t="s">
        <v>17407</v>
      </c>
      <c r="AT692" t="s">
        <v>72</v>
      </c>
      <c r="AU692" t="s">
        <v>72</v>
      </c>
      <c r="AV692" t="s">
        <v>72</v>
      </c>
      <c r="AW692" t="s">
        <v>72</v>
      </c>
      <c r="AX692" t="s">
        <v>72</v>
      </c>
      <c r="AY692" t="s">
        <v>72</v>
      </c>
      <c r="AZ692" t="s">
        <v>72</v>
      </c>
      <c r="BA692" t="s">
        <v>72</v>
      </c>
      <c r="BB692" t="s">
        <v>72</v>
      </c>
      <c r="BC692" t="s">
        <v>72</v>
      </c>
      <c r="BD692" t="s">
        <v>72</v>
      </c>
      <c r="BE692" t="s">
        <v>17408</v>
      </c>
      <c r="BF692" t="str">
        <f>HYPERLINK("http://dx.doi.org/10.1093/heapol/czac086","http://dx.doi.org/10.1093/heapol/czac086")</f>
        <v>http://dx.doi.org/10.1093/heapol/czac086</v>
      </c>
      <c r="BG692" t="s">
        <v>72</v>
      </c>
      <c r="BH692" t="s">
        <v>2868</v>
      </c>
      <c r="BI692">
        <v>14</v>
      </c>
      <c r="BJ692" t="s">
        <v>17409</v>
      </c>
      <c r="BK692" t="s">
        <v>1749</v>
      </c>
      <c r="BL692" t="s">
        <v>17410</v>
      </c>
      <c r="BM692">
        <v>36218380</v>
      </c>
      <c r="BN692" t="s">
        <v>280</v>
      </c>
      <c r="BO692" t="s">
        <v>72</v>
      </c>
      <c r="BP692" t="s">
        <v>72</v>
      </c>
      <c r="BQ692" t="s">
        <v>100</v>
      </c>
      <c r="BR692" t="s">
        <v>17411</v>
      </c>
      <c r="BS692" t="str">
        <f>HYPERLINK("https%3A%2F%2Fwww.webofscience.com%2Fwos%2Fwoscc%2Ffull-record%2FWOS:000879491000001","View Full Record in Web of Science")</f>
        <v>View Full Record in Web of Science</v>
      </c>
    </row>
    <row r="693" spans="1:71" hidden="1" x14ac:dyDescent="0.2">
      <c r="A693" t="s">
        <v>305</v>
      </c>
      <c r="B693" t="s">
        <v>6950</v>
      </c>
      <c r="C693" t="s">
        <v>72</v>
      </c>
      <c r="D693" t="s">
        <v>6951</v>
      </c>
      <c r="E693" t="s">
        <v>72</v>
      </c>
      <c r="F693" t="s">
        <v>6952</v>
      </c>
      <c r="G693" t="s">
        <v>72</v>
      </c>
      <c r="H693" t="s">
        <v>72</v>
      </c>
      <c r="I693" t="s">
        <v>6953</v>
      </c>
      <c r="J693" t="s">
        <v>6954</v>
      </c>
      <c r="K693" t="s">
        <v>6955</v>
      </c>
      <c r="L693" t="s">
        <v>72</v>
      </c>
      <c r="M693" t="s">
        <v>76</v>
      </c>
      <c r="N693" t="s">
        <v>312</v>
      </c>
      <c r="O693" t="s">
        <v>6956</v>
      </c>
      <c r="P693" t="s">
        <v>6957</v>
      </c>
      <c r="Q693" t="s">
        <v>6958</v>
      </c>
      <c r="R693" t="s">
        <v>72</v>
      </c>
      <c r="S693" t="s">
        <v>72</v>
      </c>
      <c r="T693" t="s">
        <v>6959</v>
      </c>
      <c r="U693" t="s">
        <v>6960</v>
      </c>
      <c r="V693" t="s">
        <v>6961</v>
      </c>
      <c r="W693" t="s">
        <v>6962</v>
      </c>
      <c r="X693" t="s">
        <v>6963</v>
      </c>
      <c r="Y693" t="s">
        <v>6964</v>
      </c>
      <c r="Z693" t="s">
        <v>2123</v>
      </c>
      <c r="AA693" t="s">
        <v>72</v>
      </c>
      <c r="AB693" t="s">
        <v>72</v>
      </c>
      <c r="AC693" t="s">
        <v>6965</v>
      </c>
      <c r="AD693" t="s">
        <v>6966</v>
      </c>
      <c r="AE693" t="s">
        <v>6967</v>
      </c>
      <c r="AF693" t="s">
        <v>72</v>
      </c>
      <c r="AG693">
        <v>21</v>
      </c>
      <c r="AH693">
        <v>27</v>
      </c>
      <c r="AI693">
        <v>27</v>
      </c>
      <c r="AJ693">
        <v>0</v>
      </c>
      <c r="AK693">
        <v>22</v>
      </c>
      <c r="AL693" t="s">
        <v>3859</v>
      </c>
      <c r="AM693" t="s">
        <v>168</v>
      </c>
      <c r="AN693" t="s">
        <v>3860</v>
      </c>
      <c r="AO693" t="s">
        <v>6968</v>
      </c>
      <c r="AP693" t="s">
        <v>6969</v>
      </c>
      <c r="AQ693" t="s">
        <v>6970</v>
      </c>
      <c r="AR693" t="s">
        <v>6971</v>
      </c>
      <c r="AS693" t="s">
        <v>72</v>
      </c>
      <c r="AT693" t="s">
        <v>72</v>
      </c>
      <c r="AU693">
        <v>2013</v>
      </c>
      <c r="AV693">
        <v>192</v>
      </c>
      <c r="AW693" t="s">
        <v>72</v>
      </c>
      <c r="AX693" t="s">
        <v>72</v>
      </c>
      <c r="AY693" t="s">
        <v>72</v>
      </c>
      <c r="AZ693" t="s">
        <v>72</v>
      </c>
      <c r="BA693" t="s">
        <v>72</v>
      </c>
      <c r="BB693">
        <v>807</v>
      </c>
      <c r="BC693">
        <v>811</v>
      </c>
      <c r="BD693" t="s">
        <v>72</v>
      </c>
      <c r="BE693" t="s">
        <v>6972</v>
      </c>
      <c r="BF693" t="str">
        <f>HYPERLINK("http://dx.doi.org/10.3233/978-1-61499-289-9-807","http://dx.doi.org/10.3233/978-1-61499-289-9-807")</f>
        <v>http://dx.doi.org/10.3233/978-1-61499-289-9-807</v>
      </c>
      <c r="BG693" t="s">
        <v>72</v>
      </c>
      <c r="BH693" t="s">
        <v>72</v>
      </c>
      <c r="BI693">
        <v>5</v>
      </c>
      <c r="BJ693" t="s">
        <v>6973</v>
      </c>
      <c r="BK693" t="s">
        <v>6973</v>
      </c>
      <c r="BL693" t="s">
        <v>6974</v>
      </c>
      <c r="BM693">
        <v>23920669</v>
      </c>
      <c r="BN693" t="s">
        <v>72</v>
      </c>
      <c r="BO693" t="s">
        <v>72</v>
      </c>
      <c r="BP693" t="s">
        <v>72</v>
      </c>
      <c r="BQ693" t="s">
        <v>100</v>
      </c>
      <c r="BR693" t="s">
        <v>6975</v>
      </c>
      <c r="BS693" t="str">
        <f>HYPERLINK("https%3A%2F%2Fwww.webofscience.com%2Fwos%2Fwoscc%2Ffull-record%2FWOS:000341021700165","View Full Record in Web of Science")</f>
        <v>View Full Record in Web of Science</v>
      </c>
    </row>
    <row r="694" spans="1:71" hidden="1" x14ac:dyDescent="0.2">
      <c r="A694" t="s">
        <v>70</v>
      </c>
      <c r="B694" t="s">
        <v>12501</v>
      </c>
      <c r="C694" t="s">
        <v>72</v>
      </c>
      <c r="D694" t="s">
        <v>72</v>
      </c>
      <c r="E694" t="s">
        <v>72</v>
      </c>
      <c r="F694" t="s">
        <v>12502</v>
      </c>
      <c r="G694" t="s">
        <v>72</v>
      </c>
      <c r="H694" t="s">
        <v>72</v>
      </c>
      <c r="I694" t="s">
        <v>12503</v>
      </c>
      <c r="J694" t="s">
        <v>12504</v>
      </c>
      <c r="K694" t="s">
        <v>72</v>
      </c>
      <c r="L694" t="s">
        <v>72</v>
      </c>
      <c r="M694" t="s">
        <v>76</v>
      </c>
      <c r="N694" t="s">
        <v>77</v>
      </c>
      <c r="O694" t="s">
        <v>72</v>
      </c>
      <c r="P694" t="s">
        <v>72</v>
      </c>
      <c r="Q694" t="s">
        <v>72</v>
      </c>
      <c r="R694" t="s">
        <v>72</v>
      </c>
      <c r="S694" t="s">
        <v>72</v>
      </c>
      <c r="T694" t="s">
        <v>12505</v>
      </c>
      <c r="U694" t="s">
        <v>12506</v>
      </c>
      <c r="V694" t="s">
        <v>12507</v>
      </c>
      <c r="W694" t="s">
        <v>12508</v>
      </c>
      <c r="X694" t="s">
        <v>12509</v>
      </c>
      <c r="Y694" t="s">
        <v>12510</v>
      </c>
      <c r="Z694" t="s">
        <v>12511</v>
      </c>
      <c r="AA694" t="s">
        <v>12512</v>
      </c>
      <c r="AB694" t="s">
        <v>12513</v>
      </c>
      <c r="AC694" t="s">
        <v>12514</v>
      </c>
      <c r="AD694" t="s">
        <v>12515</v>
      </c>
      <c r="AE694" t="s">
        <v>12516</v>
      </c>
      <c r="AF694" t="s">
        <v>72</v>
      </c>
      <c r="AG694">
        <v>71</v>
      </c>
      <c r="AH694">
        <v>34</v>
      </c>
      <c r="AI694">
        <v>34</v>
      </c>
      <c r="AJ694">
        <v>6</v>
      </c>
      <c r="AK694">
        <v>38</v>
      </c>
      <c r="AL694" t="s">
        <v>8480</v>
      </c>
      <c r="AM694" t="s">
        <v>2317</v>
      </c>
      <c r="AN694" t="s">
        <v>12517</v>
      </c>
      <c r="AO694" t="s">
        <v>12518</v>
      </c>
      <c r="AP694" t="s">
        <v>72</v>
      </c>
      <c r="AQ694" t="s">
        <v>72</v>
      </c>
      <c r="AR694" t="s">
        <v>12519</v>
      </c>
      <c r="AS694" t="s">
        <v>12520</v>
      </c>
      <c r="AT694" t="s">
        <v>197</v>
      </c>
      <c r="AU694">
        <v>2018</v>
      </c>
      <c r="AV694">
        <v>20</v>
      </c>
      <c r="AW694">
        <v>5</v>
      </c>
      <c r="AX694" t="s">
        <v>72</v>
      </c>
      <c r="AY694" t="s">
        <v>72</v>
      </c>
      <c r="AZ694" t="s">
        <v>72</v>
      </c>
      <c r="BA694" t="s">
        <v>72</v>
      </c>
      <c r="BB694" t="s">
        <v>72</v>
      </c>
      <c r="BC694" t="s">
        <v>72</v>
      </c>
      <c r="BD694" t="s">
        <v>12521</v>
      </c>
      <c r="BE694" t="s">
        <v>12522</v>
      </c>
      <c r="BF694" t="str">
        <f>HYPERLINK("http://dx.doi.org/10.2196/jmir.9267","http://dx.doi.org/10.2196/jmir.9267")</f>
        <v>http://dx.doi.org/10.2196/jmir.9267</v>
      </c>
      <c r="BG694" t="s">
        <v>72</v>
      </c>
      <c r="BH694" t="s">
        <v>72</v>
      </c>
      <c r="BI694">
        <v>17</v>
      </c>
      <c r="BJ694" t="s">
        <v>6973</v>
      </c>
      <c r="BK694" t="s">
        <v>6973</v>
      </c>
      <c r="BL694" t="s">
        <v>12523</v>
      </c>
      <c r="BM694">
        <v>29739736</v>
      </c>
      <c r="BN694" t="s">
        <v>12524</v>
      </c>
      <c r="BO694" t="s">
        <v>72</v>
      </c>
      <c r="BP694" t="s">
        <v>72</v>
      </c>
      <c r="BQ694" t="s">
        <v>100</v>
      </c>
      <c r="BR694" t="s">
        <v>12525</v>
      </c>
      <c r="BS694" t="str">
        <f>HYPERLINK("https%3A%2F%2Fwww.webofscience.com%2Fwos%2Fwoscc%2Ffull-record%2FWOS:000431719600001","View Full Record in Web of Science")</f>
        <v>View Full Record in Web of Science</v>
      </c>
    </row>
    <row r="695" spans="1:71" hidden="1" x14ac:dyDescent="0.2">
      <c r="A695" t="s">
        <v>70</v>
      </c>
      <c r="B695" t="s">
        <v>14489</v>
      </c>
      <c r="C695" t="s">
        <v>72</v>
      </c>
      <c r="D695" t="s">
        <v>72</v>
      </c>
      <c r="E695" t="s">
        <v>72</v>
      </c>
      <c r="F695" t="s">
        <v>14490</v>
      </c>
      <c r="G695" t="s">
        <v>72</v>
      </c>
      <c r="H695" t="s">
        <v>72</v>
      </c>
      <c r="I695" t="s">
        <v>14491</v>
      </c>
      <c r="J695" t="s">
        <v>12504</v>
      </c>
      <c r="K695" t="s">
        <v>72</v>
      </c>
      <c r="L695" t="s">
        <v>72</v>
      </c>
      <c r="M695" t="s">
        <v>76</v>
      </c>
      <c r="N695" t="s">
        <v>77</v>
      </c>
      <c r="O695" t="s">
        <v>72</v>
      </c>
      <c r="P695" t="s">
        <v>72</v>
      </c>
      <c r="Q695" t="s">
        <v>72</v>
      </c>
      <c r="R695" t="s">
        <v>72</v>
      </c>
      <c r="S695" t="s">
        <v>72</v>
      </c>
      <c r="T695" t="s">
        <v>14492</v>
      </c>
      <c r="U695" t="s">
        <v>14493</v>
      </c>
      <c r="V695" t="s">
        <v>14494</v>
      </c>
      <c r="W695" t="s">
        <v>14495</v>
      </c>
      <c r="X695" t="s">
        <v>14496</v>
      </c>
      <c r="Y695" t="s">
        <v>14497</v>
      </c>
      <c r="Z695" t="s">
        <v>14498</v>
      </c>
      <c r="AA695" t="s">
        <v>14499</v>
      </c>
      <c r="AB695" t="s">
        <v>14500</v>
      </c>
      <c r="AC695" t="s">
        <v>14501</v>
      </c>
      <c r="AD695" t="s">
        <v>14501</v>
      </c>
      <c r="AE695" t="s">
        <v>14502</v>
      </c>
      <c r="AF695" t="s">
        <v>72</v>
      </c>
      <c r="AG695">
        <v>36</v>
      </c>
      <c r="AH695">
        <v>16</v>
      </c>
      <c r="AI695">
        <v>16</v>
      </c>
      <c r="AJ695">
        <v>2</v>
      </c>
      <c r="AK695">
        <v>15</v>
      </c>
      <c r="AL695" t="s">
        <v>8480</v>
      </c>
      <c r="AM695" t="s">
        <v>2317</v>
      </c>
      <c r="AN695" t="s">
        <v>14503</v>
      </c>
      <c r="AO695" t="s">
        <v>12518</v>
      </c>
      <c r="AP695" t="s">
        <v>72</v>
      </c>
      <c r="AQ695" t="s">
        <v>72</v>
      </c>
      <c r="AR695" t="s">
        <v>12519</v>
      </c>
      <c r="AS695" t="s">
        <v>12520</v>
      </c>
      <c r="AT695" t="s">
        <v>149</v>
      </c>
      <c r="AU695">
        <v>2018</v>
      </c>
      <c r="AV695">
        <v>20</v>
      </c>
      <c r="AW695">
        <v>4</v>
      </c>
      <c r="AX695" t="s">
        <v>72</v>
      </c>
      <c r="AY695" t="s">
        <v>72</v>
      </c>
      <c r="AZ695" t="s">
        <v>72</v>
      </c>
      <c r="BA695" t="s">
        <v>72</v>
      </c>
      <c r="BB695" t="s">
        <v>72</v>
      </c>
      <c r="BC695" t="s">
        <v>72</v>
      </c>
      <c r="BD695" t="s">
        <v>14504</v>
      </c>
      <c r="BE695" t="s">
        <v>14505</v>
      </c>
      <c r="BF695" t="str">
        <f>HYPERLINK("http://dx.doi.org/10.2196/jmir.9496","http://dx.doi.org/10.2196/jmir.9496")</f>
        <v>http://dx.doi.org/10.2196/jmir.9496</v>
      </c>
      <c r="BG695" t="s">
        <v>72</v>
      </c>
      <c r="BH695" t="s">
        <v>72</v>
      </c>
      <c r="BI695">
        <v>10</v>
      </c>
      <c r="BJ695" t="s">
        <v>6973</v>
      </c>
      <c r="BK695" t="s">
        <v>6973</v>
      </c>
      <c r="BL695" t="s">
        <v>14506</v>
      </c>
      <c r="BM695">
        <v>29691210</v>
      </c>
      <c r="BN695" t="s">
        <v>910</v>
      </c>
      <c r="BO695" t="s">
        <v>72</v>
      </c>
      <c r="BP695" t="s">
        <v>72</v>
      </c>
      <c r="BQ695" t="s">
        <v>100</v>
      </c>
      <c r="BR695" t="s">
        <v>14507</v>
      </c>
      <c r="BS695" t="str">
        <f>HYPERLINK("https%3A%2F%2Fwww.webofscience.com%2Fwos%2Fwoscc%2Ffull-record%2FWOS:000431147400001","View Full Record in Web of Science")</f>
        <v>View Full Record in Web of Science</v>
      </c>
    </row>
    <row r="696" spans="1:71" hidden="1" x14ac:dyDescent="0.2">
      <c r="A696" t="s">
        <v>70</v>
      </c>
      <c r="B696" t="s">
        <v>16944</v>
      </c>
      <c r="C696" t="s">
        <v>72</v>
      </c>
      <c r="D696" t="s">
        <v>72</v>
      </c>
      <c r="E696" t="s">
        <v>72</v>
      </c>
      <c r="F696" t="s">
        <v>16945</v>
      </c>
      <c r="G696" t="s">
        <v>72</v>
      </c>
      <c r="H696" t="s">
        <v>72</v>
      </c>
      <c r="I696" t="s">
        <v>16946</v>
      </c>
      <c r="J696" t="s">
        <v>12504</v>
      </c>
      <c r="K696" t="s">
        <v>72</v>
      </c>
      <c r="L696" t="s">
        <v>72</v>
      </c>
      <c r="M696" t="s">
        <v>76</v>
      </c>
      <c r="N696" t="s">
        <v>77</v>
      </c>
      <c r="O696" t="s">
        <v>72</v>
      </c>
      <c r="P696" t="s">
        <v>72</v>
      </c>
      <c r="Q696" t="s">
        <v>72</v>
      </c>
      <c r="R696" t="s">
        <v>72</v>
      </c>
      <c r="S696" t="s">
        <v>72</v>
      </c>
      <c r="T696" t="s">
        <v>16947</v>
      </c>
      <c r="U696" t="s">
        <v>16948</v>
      </c>
      <c r="V696" t="s">
        <v>16949</v>
      </c>
      <c r="W696" t="s">
        <v>16950</v>
      </c>
      <c r="X696" t="s">
        <v>16951</v>
      </c>
      <c r="Y696" t="s">
        <v>16952</v>
      </c>
      <c r="Z696" t="s">
        <v>16953</v>
      </c>
      <c r="AA696" t="s">
        <v>72</v>
      </c>
      <c r="AB696" t="s">
        <v>16954</v>
      </c>
      <c r="AC696" t="s">
        <v>16955</v>
      </c>
      <c r="AD696" t="s">
        <v>16956</v>
      </c>
      <c r="AE696" t="s">
        <v>16957</v>
      </c>
      <c r="AF696" t="s">
        <v>72</v>
      </c>
      <c r="AG696">
        <v>56</v>
      </c>
      <c r="AH696">
        <v>3</v>
      </c>
      <c r="AI696">
        <v>3</v>
      </c>
      <c r="AJ696">
        <v>2</v>
      </c>
      <c r="AK696">
        <v>10</v>
      </c>
      <c r="AL696" t="s">
        <v>8480</v>
      </c>
      <c r="AM696" t="s">
        <v>2317</v>
      </c>
      <c r="AN696" t="s">
        <v>8481</v>
      </c>
      <c r="AO696" t="s">
        <v>12518</v>
      </c>
      <c r="AP696" t="s">
        <v>72</v>
      </c>
      <c r="AQ696" t="s">
        <v>72</v>
      </c>
      <c r="AR696" t="s">
        <v>12519</v>
      </c>
      <c r="AS696" t="s">
        <v>12520</v>
      </c>
      <c r="AT696" t="s">
        <v>16958</v>
      </c>
      <c r="AU696">
        <v>2019</v>
      </c>
      <c r="AV696">
        <v>21</v>
      </c>
      <c r="AW696">
        <v>4</v>
      </c>
      <c r="AX696" t="s">
        <v>72</v>
      </c>
      <c r="AY696" t="s">
        <v>72</v>
      </c>
      <c r="AZ696" t="s">
        <v>72</v>
      </c>
      <c r="BA696" t="s">
        <v>72</v>
      </c>
      <c r="BB696" t="s">
        <v>72</v>
      </c>
      <c r="BC696" t="s">
        <v>72</v>
      </c>
      <c r="BD696" t="s">
        <v>16959</v>
      </c>
      <c r="BE696" t="s">
        <v>16960</v>
      </c>
      <c r="BF696" t="str">
        <f>HYPERLINK("http://dx.doi.org/10.2196/11756","http://dx.doi.org/10.2196/11756")</f>
        <v>http://dx.doi.org/10.2196/11756</v>
      </c>
      <c r="BG696" t="s">
        <v>72</v>
      </c>
      <c r="BH696" t="s">
        <v>72</v>
      </c>
      <c r="BI696">
        <v>18</v>
      </c>
      <c r="BJ696" t="s">
        <v>6973</v>
      </c>
      <c r="BK696" t="s">
        <v>6973</v>
      </c>
      <c r="BL696" t="s">
        <v>16961</v>
      </c>
      <c r="BM696">
        <v>30985288</v>
      </c>
      <c r="BN696" t="s">
        <v>16962</v>
      </c>
      <c r="BO696" t="s">
        <v>72</v>
      </c>
      <c r="BP696" t="s">
        <v>72</v>
      </c>
      <c r="BQ696" t="s">
        <v>100</v>
      </c>
      <c r="BR696" t="s">
        <v>16963</v>
      </c>
      <c r="BS696" t="str">
        <f>HYPERLINK("https%3A%2F%2Fwww.webofscience.com%2Fwos%2Fwoscc%2Ffull-record%2FWOS:000465548100001","View Full Record in Web of Science")</f>
        <v>View Full Record in Web of Science</v>
      </c>
    </row>
    <row r="697" spans="1:71" hidden="1" x14ac:dyDescent="0.2">
      <c r="A697" t="s">
        <v>70</v>
      </c>
      <c r="B697" t="s">
        <v>17152</v>
      </c>
      <c r="C697" t="s">
        <v>72</v>
      </c>
      <c r="D697" t="s">
        <v>72</v>
      </c>
      <c r="E697" t="s">
        <v>72</v>
      </c>
      <c r="F697" t="s">
        <v>17153</v>
      </c>
      <c r="G697" t="s">
        <v>72</v>
      </c>
      <c r="H697" t="s">
        <v>72</v>
      </c>
      <c r="I697" t="s">
        <v>17154</v>
      </c>
      <c r="J697" t="s">
        <v>12504</v>
      </c>
      <c r="K697" t="s">
        <v>72</v>
      </c>
      <c r="L697" t="s">
        <v>72</v>
      </c>
      <c r="M697" t="s">
        <v>76</v>
      </c>
      <c r="N697" t="s">
        <v>77</v>
      </c>
      <c r="O697" t="s">
        <v>72</v>
      </c>
      <c r="P697" t="s">
        <v>72</v>
      </c>
      <c r="Q697" t="s">
        <v>72</v>
      </c>
      <c r="R697" t="s">
        <v>72</v>
      </c>
      <c r="S697" t="s">
        <v>72</v>
      </c>
      <c r="T697" t="s">
        <v>17155</v>
      </c>
      <c r="U697" t="s">
        <v>17156</v>
      </c>
      <c r="V697" t="s">
        <v>17157</v>
      </c>
      <c r="W697" t="s">
        <v>17158</v>
      </c>
      <c r="X697" t="s">
        <v>17159</v>
      </c>
      <c r="Y697" t="s">
        <v>17160</v>
      </c>
      <c r="Z697" t="s">
        <v>17161</v>
      </c>
      <c r="AA697" t="s">
        <v>17162</v>
      </c>
      <c r="AB697" t="s">
        <v>17163</v>
      </c>
      <c r="AC697" t="s">
        <v>72</v>
      </c>
      <c r="AD697" t="s">
        <v>72</v>
      </c>
      <c r="AE697" t="s">
        <v>72</v>
      </c>
      <c r="AF697" t="s">
        <v>72</v>
      </c>
      <c r="AG697">
        <v>75</v>
      </c>
      <c r="AH697">
        <v>2</v>
      </c>
      <c r="AI697">
        <v>2</v>
      </c>
      <c r="AJ697">
        <v>10</v>
      </c>
      <c r="AK697">
        <v>41</v>
      </c>
      <c r="AL697" t="s">
        <v>8480</v>
      </c>
      <c r="AM697" t="s">
        <v>2317</v>
      </c>
      <c r="AN697" t="s">
        <v>8481</v>
      </c>
      <c r="AO697" t="s">
        <v>12518</v>
      </c>
      <c r="AP697" t="s">
        <v>72</v>
      </c>
      <c r="AQ697" t="s">
        <v>72</v>
      </c>
      <c r="AR697" t="s">
        <v>12519</v>
      </c>
      <c r="AS697" t="s">
        <v>12520</v>
      </c>
      <c r="AT697" t="s">
        <v>17164</v>
      </c>
      <c r="AU697">
        <v>2021</v>
      </c>
      <c r="AV697">
        <v>23</v>
      </c>
      <c r="AW697">
        <v>8</v>
      </c>
      <c r="AX697" t="s">
        <v>72</v>
      </c>
      <c r="AY697" t="s">
        <v>72</v>
      </c>
      <c r="AZ697" t="s">
        <v>72</v>
      </c>
      <c r="BA697" t="s">
        <v>72</v>
      </c>
      <c r="BB697" t="s">
        <v>72</v>
      </c>
      <c r="BC697" t="s">
        <v>72</v>
      </c>
      <c r="BD697" t="s">
        <v>17165</v>
      </c>
      <c r="BE697" t="s">
        <v>17166</v>
      </c>
      <c r="BF697" t="str">
        <f>HYPERLINK("http://dx.doi.org/10.2196/30715","http://dx.doi.org/10.2196/30715")</f>
        <v>http://dx.doi.org/10.2196/30715</v>
      </c>
      <c r="BG697" t="s">
        <v>72</v>
      </c>
      <c r="BH697" t="s">
        <v>72</v>
      </c>
      <c r="BI697">
        <v>16</v>
      </c>
      <c r="BJ697" t="s">
        <v>6973</v>
      </c>
      <c r="BK697" t="s">
        <v>6973</v>
      </c>
      <c r="BL697" t="s">
        <v>17167</v>
      </c>
      <c r="BM697">
        <v>34346885</v>
      </c>
      <c r="BN697" t="s">
        <v>910</v>
      </c>
      <c r="BO697" t="s">
        <v>72</v>
      </c>
      <c r="BP697" t="s">
        <v>72</v>
      </c>
      <c r="BQ697" t="s">
        <v>100</v>
      </c>
      <c r="BR697" t="s">
        <v>17168</v>
      </c>
      <c r="BS697" t="str">
        <f>HYPERLINK("https%3A%2F%2Fwww.webofscience.com%2Fwos%2Fwoscc%2Ffull-record%2FWOS:000689731600017","View Full Record in Web of Science")</f>
        <v>View Full Record in Web of Science</v>
      </c>
    </row>
    <row r="698" spans="1:71" hidden="1" x14ac:dyDescent="0.2">
      <c r="A698" t="s">
        <v>70</v>
      </c>
      <c r="B698" t="s">
        <v>17435</v>
      </c>
      <c r="C698" t="s">
        <v>72</v>
      </c>
      <c r="D698" t="s">
        <v>72</v>
      </c>
      <c r="E698" t="s">
        <v>72</v>
      </c>
      <c r="F698" t="s">
        <v>17436</v>
      </c>
      <c r="G698" t="s">
        <v>72</v>
      </c>
      <c r="H698" t="s">
        <v>72</v>
      </c>
      <c r="I698" t="s">
        <v>17437</v>
      </c>
      <c r="J698" t="s">
        <v>12504</v>
      </c>
      <c r="K698" t="s">
        <v>72</v>
      </c>
      <c r="L698" t="s">
        <v>72</v>
      </c>
      <c r="M698" t="s">
        <v>76</v>
      </c>
      <c r="N698" t="s">
        <v>77</v>
      </c>
      <c r="O698" t="s">
        <v>72</v>
      </c>
      <c r="P698" t="s">
        <v>72</v>
      </c>
      <c r="Q698" t="s">
        <v>72</v>
      </c>
      <c r="R698" t="s">
        <v>72</v>
      </c>
      <c r="S698" t="s">
        <v>72</v>
      </c>
      <c r="T698" t="s">
        <v>17438</v>
      </c>
      <c r="U698" t="s">
        <v>17439</v>
      </c>
      <c r="V698" t="s">
        <v>17440</v>
      </c>
      <c r="W698" t="s">
        <v>17441</v>
      </c>
      <c r="X698" t="s">
        <v>17442</v>
      </c>
      <c r="Y698" t="s">
        <v>17443</v>
      </c>
      <c r="Z698" t="s">
        <v>17444</v>
      </c>
      <c r="AA698" t="s">
        <v>17445</v>
      </c>
      <c r="AB698" t="s">
        <v>17446</v>
      </c>
      <c r="AC698" t="s">
        <v>72</v>
      </c>
      <c r="AD698" t="s">
        <v>72</v>
      </c>
      <c r="AE698" t="s">
        <v>72</v>
      </c>
      <c r="AF698" t="s">
        <v>72</v>
      </c>
      <c r="AG698">
        <v>34</v>
      </c>
      <c r="AH698">
        <v>35</v>
      </c>
      <c r="AI698">
        <v>35</v>
      </c>
      <c r="AJ698">
        <v>2</v>
      </c>
      <c r="AK698">
        <v>50</v>
      </c>
      <c r="AL698" t="s">
        <v>8480</v>
      </c>
      <c r="AM698" t="s">
        <v>2317</v>
      </c>
      <c r="AN698" t="s">
        <v>14503</v>
      </c>
      <c r="AO698" t="s">
        <v>12518</v>
      </c>
      <c r="AP698" t="s">
        <v>72</v>
      </c>
      <c r="AQ698" t="s">
        <v>72</v>
      </c>
      <c r="AR698" t="s">
        <v>12519</v>
      </c>
      <c r="AS698" t="s">
        <v>12520</v>
      </c>
      <c r="AT698" t="s">
        <v>1602</v>
      </c>
      <c r="AU698">
        <v>2014</v>
      </c>
      <c r="AV698">
        <v>16</v>
      </c>
      <c r="AW698">
        <v>2</v>
      </c>
      <c r="AX698" t="s">
        <v>72</v>
      </c>
      <c r="AY698" t="s">
        <v>72</v>
      </c>
      <c r="AZ698" t="s">
        <v>72</v>
      </c>
      <c r="BA698" t="s">
        <v>72</v>
      </c>
      <c r="BB698" t="s">
        <v>72</v>
      </c>
      <c r="BC698" t="s">
        <v>72</v>
      </c>
      <c r="BD698" t="s">
        <v>17447</v>
      </c>
      <c r="BE698" t="s">
        <v>17448</v>
      </c>
      <c r="BF698" t="str">
        <f>HYPERLINK("http://dx.doi.org/10.2196/jmir.3054","http://dx.doi.org/10.2196/jmir.3054")</f>
        <v>http://dx.doi.org/10.2196/jmir.3054</v>
      </c>
      <c r="BG698" t="s">
        <v>72</v>
      </c>
      <c r="BH698" t="s">
        <v>72</v>
      </c>
      <c r="BI698">
        <v>11</v>
      </c>
      <c r="BJ698" t="s">
        <v>6973</v>
      </c>
      <c r="BK698" t="s">
        <v>6973</v>
      </c>
      <c r="BL698" t="s">
        <v>17449</v>
      </c>
      <c r="BM698">
        <v>24568892</v>
      </c>
      <c r="BN698" t="s">
        <v>1975</v>
      </c>
      <c r="BO698" t="s">
        <v>72</v>
      </c>
      <c r="BP698" t="s">
        <v>72</v>
      </c>
      <c r="BQ698" t="s">
        <v>100</v>
      </c>
      <c r="BR698" t="s">
        <v>17450</v>
      </c>
      <c r="BS698" t="str">
        <f>HYPERLINK("https%3A%2F%2Fwww.webofscience.com%2Fwos%2Fwoscc%2Ffull-record%2FWOS:000332397500027","View Full Record in Web of Science")</f>
        <v>View Full Record in Web of Science</v>
      </c>
    </row>
    <row r="699" spans="1:71" hidden="1" x14ac:dyDescent="0.2">
      <c r="A699" t="s">
        <v>70</v>
      </c>
      <c r="B699" t="s">
        <v>16905</v>
      </c>
      <c r="C699" t="s">
        <v>72</v>
      </c>
      <c r="D699" t="s">
        <v>72</v>
      </c>
      <c r="E699" t="s">
        <v>72</v>
      </c>
      <c r="F699" t="s">
        <v>16906</v>
      </c>
      <c r="G699" t="s">
        <v>72</v>
      </c>
      <c r="H699" t="s">
        <v>72</v>
      </c>
      <c r="I699" t="s">
        <v>17475</v>
      </c>
      <c r="J699" t="s">
        <v>12504</v>
      </c>
      <c r="K699" t="s">
        <v>72</v>
      </c>
      <c r="L699" t="s">
        <v>72</v>
      </c>
      <c r="M699" t="s">
        <v>76</v>
      </c>
      <c r="N699" t="s">
        <v>77</v>
      </c>
      <c r="O699" t="s">
        <v>72</v>
      </c>
      <c r="P699" t="s">
        <v>72</v>
      </c>
      <c r="Q699" t="s">
        <v>72</v>
      </c>
      <c r="R699" t="s">
        <v>72</v>
      </c>
      <c r="S699" t="s">
        <v>72</v>
      </c>
      <c r="T699" t="s">
        <v>17476</v>
      </c>
      <c r="U699" t="s">
        <v>72</v>
      </c>
      <c r="V699" t="s">
        <v>17477</v>
      </c>
      <c r="W699" t="s">
        <v>17478</v>
      </c>
      <c r="X699" t="s">
        <v>16114</v>
      </c>
      <c r="Y699" t="s">
        <v>17237</v>
      </c>
      <c r="Z699" t="s">
        <v>16913</v>
      </c>
      <c r="AA699" t="s">
        <v>16914</v>
      </c>
      <c r="AB699" t="s">
        <v>16915</v>
      </c>
      <c r="AC699" t="s">
        <v>17479</v>
      </c>
      <c r="AD699" t="s">
        <v>17480</v>
      </c>
      <c r="AE699" t="s">
        <v>17481</v>
      </c>
      <c r="AF699" t="s">
        <v>72</v>
      </c>
      <c r="AG699">
        <v>54</v>
      </c>
      <c r="AH699">
        <v>7</v>
      </c>
      <c r="AI699">
        <v>7</v>
      </c>
      <c r="AJ699">
        <v>2</v>
      </c>
      <c r="AK699">
        <v>6</v>
      </c>
      <c r="AL699" t="s">
        <v>8480</v>
      </c>
      <c r="AM699" t="s">
        <v>2317</v>
      </c>
      <c r="AN699" t="s">
        <v>8481</v>
      </c>
      <c r="AO699" t="s">
        <v>12518</v>
      </c>
      <c r="AP699" t="s">
        <v>72</v>
      </c>
      <c r="AQ699" t="s">
        <v>72</v>
      </c>
      <c r="AR699" t="s">
        <v>12519</v>
      </c>
      <c r="AS699" t="s">
        <v>12520</v>
      </c>
      <c r="AT699" t="s">
        <v>17482</v>
      </c>
      <c r="AU699">
        <v>2021</v>
      </c>
      <c r="AV699">
        <v>23</v>
      </c>
      <c r="AW699">
        <v>12</v>
      </c>
      <c r="AX699" t="s">
        <v>72</v>
      </c>
      <c r="AY699" t="s">
        <v>72</v>
      </c>
      <c r="AZ699" t="s">
        <v>72</v>
      </c>
      <c r="BA699" t="s">
        <v>72</v>
      </c>
      <c r="BB699" t="s">
        <v>72</v>
      </c>
      <c r="BC699" t="s">
        <v>72</v>
      </c>
      <c r="BD699" t="s">
        <v>17483</v>
      </c>
      <c r="BE699" t="s">
        <v>17484</v>
      </c>
      <c r="BF699" t="str">
        <f>HYPERLINK("http://dx.doi.org/10.2196/28305","http://dx.doi.org/10.2196/28305")</f>
        <v>http://dx.doi.org/10.2196/28305</v>
      </c>
      <c r="BG699" t="s">
        <v>72</v>
      </c>
      <c r="BH699" t="s">
        <v>72</v>
      </c>
      <c r="BI699">
        <v>12</v>
      </c>
      <c r="BJ699" t="s">
        <v>6973</v>
      </c>
      <c r="BK699" t="s">
        <v>6973</v>
      </c>
      <c r="BL699" t="s">
        <v>17485</v>
      </c>
      <c r="BM699">
        <v>34678754</v>
      </c>
      <c r="BN699" t="s">
        <v>1975</v>
      </c>
      <c r="BO699" t="s">
        <v>72</v>
      </c>
      <c r="BP699" t="s">
        <v>72</v>
      </c>
      <c r="BQ699" t="s">
        <v>100</v>
      </c>
      <c r="BR699" t="s">
        <v>17486</v>
      </c>
      <c r="BS699" t="str">
        <f>HYPERLINK("https%3A%2F%2Fwww.webofscience.com%2Fwos%2Fwoscc%2Ffull-record%2FWOS:000740356700005","View Full Record in Web of Science")</f>
        <v>View Full Record in Web of Science</v>
      </c>
    </row>
    <row r="700" spans="1:71" hidden="1" x14ac:dyDescent="0.2">
      <c r="A700" t="s">
        <v>70</v>
      </c>
      <c r="B700" t="s">
        <v>17298</v>
      </c>
      <c r="C700" t="s">
        <v>72</v>
      </c>
      <c r="D700" t="s">
        <v>72</v>
      </c>
      <c r="E700" t="s">
        <v>72</v>
      </c>
      <c r="F700" t="s">
        <v>17299</v>
      </c>
      <c r="G700" t="s">
        <v>72</v>
      </c>
      <c r="H700" t="s">
        <v>72</v>
      </c>
      <c r="I700" t="s">
        <v>17300</v>
      </c>
      <c r="J700" t="s">
        <v>17301</v>
      </c>
      <c r="K700" t="s">
        <v>72</v>
      </c>
      <c r="L700" t="s">
        <v>72</v>
      </c>
      <c r="M700" t="s">
        <v>76</v>
      </c>
      <c r="N700" t="s">
        <v>77</v>
      </c>
      <c r="O700" t="s">
        <v>72</v>
      </c>
      <c r="P700" t="s">
        <v>72</v>
      </c>
      <c r="Q700" t="s">
        <v>72</v>
      </c>
      <c r="R700" t="s">
        <v>72</v>
      </c>
      <c r="S700" t="s">
        <v>72</v>
      </c>
      <c r="T700" t="s">
        <v>17302</v>
      </c>
      <c r="U700" t="s">
        <v>17303</v>
      </c>
      <c r="V700" t="s">
        <v>17304</v>
      </c>
      <c r="W700" t="s">
        <v>17305</v>
      </c>
      <c r="X700" t="s">
        <v>17306</v>
      </c>
      <c r="Y700" t="s">
        <v>17307</v>
      </c>
      <c r="Z700" t="s">
        <v>17308</v>
      </c>
      <c r="AA700" t="s">
        <v>17309</v>
      </c>
      <c r="AB700" t="s">
        <v>17310</v>
      </c>
      <c r="AC700" t="s">
        <v>17311</v>
      </c>
      <c r="AD700" t="s">
        <v>17312</v>
      </c>
      <c r="AE700" t="s">
        <v>17313</v>
      </c>
      <c r="AF700" t="s">
        <v>72</v>
      </c>
      <c r="AG700">
        <v>75</v>
      </c>
      <c r="AH700">
        <v>0</v>
      </c>
      <c r="AI700">
        <v>0</v>
      </c>
      <c r="AJ700">
        <v>0</v>
      </c>
      <c r="AK700">
        <v>0</v>
      </c>
      <c r="AL700" t="s">
        <v>8480</v>
      </c>
      <c r="AM700" t="s">
        <v>2317</v>
      </c>
      <c r="AN700" t="s">
        <v>8481</v>
      </c>
      <c r="AO700" t="s">
        <v>17314</v>
      </c>
      <c r="AP700" t="s">
        <v>72</v>
      </c>
      <c r="AQ700" t="s">
        <v>72</v>
      </c>
      <c r="AR700" t="s">
        <v>17315</v>
      </c>
      <c r="AS700" t="s">
        <v>17316</v>
      </c>
      <c r="AT700" t="s">
        <v>1602</v>
      </c>
      <c r="AU700">
        <v>2021</v>
      </c>
      <c r="AV700">
        <v>10</v>
      </c>
      <c r="AW700">
        <v>2</v>
      </c>
      <c r="AX700" t="s">
        <v>72</v>
      </c>
      <c r="AY700" t="s">
        <v>72</v>
      </c>
      <c r="AZ700" t="s">
        <v>72</v>
      </c>
      <c r="BA700" t="s">
        <v>72</v>
      </c>
      <c r="BB700" t="s">
        <v>72</v>
      </c>
      <c r="BC700" t="s">
        <v>72</v>
      </c>
      <c r="BD700" t="s">
        <v>17317</v>
      </c>
      <c r="BE700" t="s">
        <v>17318</v>
      </c>
      <c r="BF700" t="str">
        <f>HYPERLINK("http://dx.doi.org/10.2196/25056","http://dx.doi.org/10.2196/25056")</f>
        <v>http://dx.doi.org/10.2196/25056</v>
      </c>
      <c r="BG700" t="s">
        <v>72</v>
      </c>
      <c r="BH700" t="s">
        <v>72</v>
      </c>
      <c r="BI700">
        <v>12</v>
      </c>
      <c r="BJ700" t="s">
        <v>17319</v>
      </c>
      <c r="BK700" t="s">
        <v>17319</v>
      </c>
      <c r="BL700" t="s">
        <v>17320</v>
      </c>
      <c r="BM700">
        <v>33635274</v>
      </c>
      <c r="BN700" t="s">
        <v>910</v>
      </c>
      <c r="BO700" t="s">
        <v>72</v>
      </c>
      <c r="BP700" t="s">
        <v>72</v>
      </c>
      <c r="BQ700" t="s">
        <v>100</v>
      </c>
      <c r="BR700" t="s">
        <v>17321</v>
      </c>
      <c r="BS700" t="str">
        <f>HYPERLINK("https%3A%2F%2Fwww.webofscience.com%2Fwos%2Fwoscc%2Ffull-record%2FWOS:000751766900016","View Full Record in Web of Science")</f>
        <v>View Full Record in Web of Science</v>
      </c>
    </row>
    <row r="701" spans="1:71" hidden="1" x14ac:dyDescent="0.2">
      <c r="A701" t="s">
        <v>70</v>
      </c>
      <c r="B701" t="s">
        <v>2831</v>
      </c>
      <c r="C701" t="s">
        <v>72</v>
      </c>
      <c r="D701" t="s">
        <v>72</v>
      </c>
      <c r="E701" t="s">
        <v>72</v>
      </c>
      <c r="F701" t="s">
        <v>2832</v>
      </c>
      <c r="G701" t="s">
        <v>72</v>
      </c>
      <c r="H701" t="s">
        <v>72</v>
      </c>
      <c r="I701" t="s">
        <v>2833</v>
      </c>
      <c r="J701" t="s">
        <v>1085</v>
      </c>
      <c r="K701" t="s">
        <v>72</v>
      </c>
      <c r="L701" t="s">
        <v>72</v>
      </c>
      <c r="M701" t="s">
        <v>76</v>
      </c>
      <c r="N701" t="s">
        <v>2834</v>
      </c>
      <c r="O701" t="s">
        <v>72</v>
      </c>
      <c r="P701" t="s">
        <v>72</v>
      </c>
      <c r="Q701" t="s">
        <v>72</v>
      </c>
      <c r="R701" t="s">
        <v>72</v>
      </c>
      <c r="S701" t="s">
        <v>72</v>
      </c>
      <c r="T701" t="s">
        <v>72</v>
      </c>
      <c r="U701" t="s">
        <v>72</v>
      </c>
      <c r="V701" t="s">
        <v>72</v>
      </c>
      <c r="W701" t="s">
        <v>2835</v>
      </c>
      <c r="X701" t="s">
        <v>1201</v>
      </c>
      <c r="Y701" t="s">
        <v>2836</v>
      </c>
      <c r="Z701" t="s">
        <v>72</v>
      </c>
      <c r="AA701" t="s">
        <v>72</v>
      </c>
      <c r="AB701" t="s">
        <v>72</v>
      </c>
      <c r="AC701" t="s">
        <v>72</v>
      </c>
      <c r="AD701" t="s">
        <v>72</v>
      </c>
      <c r="AE701" t="s">
        <v>72</v>
      </c>
      <c r="AF701" t="s">
        <v>72</v>
      </c>
      <c r="AG701">
        <v>1</v>
      </c>
      <c r="AH701">
        <v>0</v>
      </c>
      <c r="AI701">
        <v>0</v>
      </c>
      <c r="AJ701">
        <v>1</v>
      </c>
      <c r="AK701">
        <v>1</v>
      </c>
      <c r="AL701" t="s">
        <v>1260</v>
      </c>
      <c r="AM701" t="s">
        <v>964</v>
      </c>
      <c r="AN701" t="s">
        <v>965</v>
      </c>
      <c r="AO701" t="s">
        <v>2837</v>
      </c>
      <c r="AP701" t="s">
        <v>2838</v>
      </c>
      <c r="AQ701" t="s">
        <v>72</v>
      </c>
      <c r="AR701" t="s">
        <v>2839</v>
      </c>
      <c r="AS701" t="s">
        <v>2840</v>
      </c>
      <c r="AT701" t="s">
        <v>72</v>
      </c>
      <c r="AU701" t="s">
        <v>72</v>
      </c>
      <c r="AV701" t="s">
        <v>72</v>
      </c>
      <c r="AW701" t="s">
        <v>72</v>
      </c>
      <c r="AX701" t="s">
        <v>72</v>
      </c>
      <c r="AY701" t="s">
        <v>72</v>
      </c>
      <c r="AZ701" t="s">
        <v>72</v>
      </c>
      <c r="BA701" t="s">
        <v>72</v>
      </c>
      <c r="BB701" t="s">
        <v>72</v>
      </c>
      <c r="BC701" t="s">
        <v>72</v>
      </c>
      <c r="BD701" t="s">
        <v>72</v>
      </c>
      <c r="BE701" t="s">
        <v>2841</v>
      </c>
      <c r="BF701" t="str">
        <f>HYPERLINK("http://dx.doi.org/10.1111/1468-229X.13297","http://dx.doi.org/10.1111/1468-229X.13297")</f>
        <v>http://dx.doi.org/10.1111/1468-229X.13297</v>
      </c>
      <c r="BG701" t="s">
        <v>72</v>
      </c>
      <c r="BH701" t="s">
        <v>1403</v>
      </c>
      <c r="BI701">
        <v>2</v>
      </c>
      <c r="BJ701" t="s">
        <v>2840</v>
      </c>
      <c r="BK701" t="s">
        <v>2840</v>
      </c>
      <c r="BL701" t="s">
        <v>2842</v>
      </c>
      <c r="BM701" t="s">
        <v>72</v>
      </c>
      <c r="BN701" t="s">
        <v>72</v>
      </c>
      <c r="BO701" t="s">
        <v>72</v>
      </c>
      <c r="BP701" t="s">
        <v>72</v>
      </c>
      <c r="BQ701" t="s">
        <v>100</v>
      </c>
      <c r="BR701" t="s">
        <v>2843</v>
      </c>
      <c r="BS701" t="str">
        <f>HYPERLINK("https%3A%2F%2Fwww.webofscience.com%2Fwos%2Fwoscc%2Ffull-record%2FWOS:000798524100001","View Full Record in Web of Science")</f>
        <v>View Full Record in Web of Science</v>
      </c>
    </row>
    <row r="702" spans="1:71" hidden="1" x14ac:dyDescent="0.2">
      <c r="A702" t="s">
        <v>70</v>
      </c>
      <c r="B702" t="s">
        <v>5327</v>
      </c>
      <c r="C702" t="s">
        <v>72</v>
      </c>
      <c r="D702" t="s">
        <v>72</v>
      </c>
      <c r="E702" t="s">
        <v>72</v>
      </c>
      <c r="F702" t="s">
        <v>5328</v>
      </c>
      <c r="G702" t="s">
        <v>72</v>
      </c>
      <c r="H702" t="s">
        <v>72</v>
      </c>
      <c r="I702" t="s">
        <v>5329</v>
      </c>
      <c r="J702" t="s">
        <v>5330</v>
      </c>
      <c r="K702" t="s">
        <v>72</v>
      </c>
      <c r="L702" t="s">
        <v>72</v>
      </c>
      <c r="M702" t="s">
        <v>76</v>
      </c>
      <c r="N702" t="s">
        <v>1503</v>
      </c>
      <c r="O702" t="s">
        <v>72</v>
      </c>
      <c r="P702" t="s">
        <v>72</v>
      </c>
      <c r="Q702" t="s">
        <v>72</v>
      </c>
      <c r="R702" t="s">
        <v>72</v>
      </c>
      <c r="S702" t="s">
        <v>72</v>
      </c>
      <c r="T702" t="s">
        <v>72</v>
      </c>
      <c r="U702" t="s">
        <v>5331</v>
      </c>
      <c r="V702" t="s">
        <v>5332</v>
      </c>
      <c r="W702" t="s">
        <v>5333</v>
      </c>
      <c r="X702" t="s">
        <v>5334</v>
      </c>
      <c r="Y702" t="s">
        <v>5335</v>
      </c>
      <c r="Z702" t="s">
        <v>72</v>
      </c>
      <c r="AA702" t="s">
        <v>72</v>
      </c>
      <c r="AB702" t="s">
        <v>72</v>
      </c>
      <c r="AC702" t="s">
        <v>72</v>
      </c>
      <c r="AD702" t="s">
        <v>72</v>
      </c>
      <c r="AE702" t="s">
        <v>72</v>
      </c>
      <c r="AF702" t="s">
        <v>72</v>
      </c>
      <c r="AG702">
        <v>129</v>
      </c>
      <c r="AH702">
        <v>16</v>
      </c>
      <c r="AI702">
        <v>16</v>
      </c>
      <c r="AJ702">
        <v>0</v>
      </c>
      <c r="AK702">
        <v>7</v>
      </c>
      <c r="AL702" t="s">
        <v>1260</v>
      </c>
      <c r="AM702" t="s">
        <v>964</v>
      </c>
      <c r="AN702" t="s">
        <v>965</v>
      </c>
      <c r="AO702" t="s">
        <v>5336</v>
      </c>
      <c r="AP702" t="s">
        <v>5337</v>
      </c>
      <c r="AQ702" t="s">
        <v>72</v>
      </c>
      <c r="AR702" t="s">
        <v>5338</v>
      </c>
      <c r="AS702" t="s">
        <v>5339</v>
      </c>
      <c r="AT702" t="s">
        <v>197</v>
      </c>
      <c r="AU702">
        <v>2013</v>
      </c>
      <c r="AV702">
        <v>86</v>
      </c>
      <c r="AW702">
        <v>232</v>
      </c>
      <c r="AX702" t="s">
        <v>72</v>
      </c>
      <c r="AY702" t="s">
        <v>72</v>
      </c>
      <c r="AZ702" t="s">
        <v>72</v>
      </c>
      <c r="BA702" t="s">
        <v>72</v>
      </c>
      <c r="BB702">
        <v>313</v>
      </c>
      <c r="BC702">
        <v>341</v>
      </c>
      <c r="BD702" t="s">
        <v>72</v>
      </c>
      <c r="BE702" t="s">
        <v>5340</v>
      </c>
      <c r="BF702" t="str">
        <f>HYPERLINK("http://dx.doi.org/10.1111/1468-2281.12011","http://dx.doi.org/10.1111/1468-2281.12011")</f>
        <v>http://dx.doi.org/10.1111/1468-2281.12011</v>
      </c>
      <c r="BG702" t="s">
        <v>72</v>
      </c>
      <c r="BH702" t="s">
        <v>72</v>
      </c>
      <c r="BI702">
        <v>29</v>
      </c>
      <c r="BJ702" t="s">
        <v>2840</v>
      </c>
      <c r="BK702" t="s">
        <v>2840</v>
      </c>
      <c r="BL702" t="s">
        <v>5341</v>
      </c>
      <c r="BM702" t="s">
        <v>72</v>
      </c>
      <c r="BN702" t="s">
        <v>72</v>
      </c>
      <c r="BO702" t="s">
        <v>72</v>
      </c>
      <c r="BP702" t="s">
        <v>72</v>
      </c>
      <c r="BQ702" t="s">
        <v>100</v>
      </c>
      <c r="BR702" t="s">
        <v>5342</v>
      </c>
      <c r="BS702" t="str">
        <f>HYPERLINK("https%3A%2F%2Fwww.webofscience.com%2Fwos%2Fwoscc%2Ffull-record%2FWOS:000317857400007","View Full Record in Web of Science")</f>
        <v>View Full Record in Web of Science</v>
      </c>
    </row>
    <row r="703" spans="1:71" hidden="1" x14ac:dyDescent="0.2">
      <c r="A703" t="s">
        <v>70</v>
      </c>
      <c r="B703" t="s">
        <v>6644</v>
      </c>
      <c r="C703" t="s">
        <v>72</v>
      </c>
      <c r="D703" t="s">
        <v>72</v>
      </c>
      <c r="E703" t="s">
        <v>72</v>
      </c>
      <c r="F703" t="s">
        <v>6645</v>
      </c>
      <c r="G703" t="s">
        <v>72</v>
      </c>
      <c r="H703" t="s">
        <v>72</v>
      </c>
      <c r="I703" t="s">
        <v>6646</v>
      </c>
      <c r="J703" t="s">
        <v>6647</v>
      </c>
      <c r="K703" t="s">
        <v>72</v>
      </c>
      <c r="L703" t="s">
        <v>72</v>
      </c>
      <c r="M703" t="s">
        <v>76</v>
      </c>
      <c r="N703" t="s">
        <v>77</v>
      </c>
      <c r="O703" t="s">
        <v>72</v>
      </c>
      <c r="P703" t="s">
        <v>72</v>
      </c>
      <c r="Q703" t="s">
        <v>72</v>
      </c>
      <c r="R703" t="s">
        <v>72</v>
      </c>
      <c r="S703" t="s">
        <v>72</v>
      </c>
      <c r="T703" t="s">
        <v>6648</v>
      </c>
      <c r="U703" t="s">
        <v>72</v>
      </c>
      <c r="V703" t="s">
        <v>6649</v>
      </c>
      <c r="W703" t="s">
        <v>6650</v>
      </c>
      <c r="X703" t="s">
        <v>6651</v>
      </c>
      <c r="Y703" t="s">
        <v>6652</v>
      </c>
      <c r="Z703" t="s">
        <v>6653</v>
      </c>
      <c r="AA703" t="s">
        <v>72</v>
      </c>
      <c r="AB703" t="s">
        <v>72</v>
      </c>
      <c r="AC703" t="s">
        <v>72</v>
      </c>
      <c r="AD703" t="s">
        <v>72</v>
      </c>
      <c r="AE703" t="s">
        <v>72</v>
      </c>
      <c r="AF703" t="s">
        <v>72</v>
      </c>
      <c r="AG703">
        <v>96</v>
      </c>
      <c r="AH703">
        <v>0</v>
      </c>
      <c r="AI703">
        <v>0</v>
      </c>
      <c r="AJ703">
        <v>0</v>
      </c>
      <c r="AK703">
        <v>0</v>
      </c>
      <c r="AL703" t="s">
        <v>6654</v>
      </c>
      <c r="AM703" t="s">
        <v>6655</v>
      </c>
      <c r="AN703" t="s">
        <v>6656</v>
      </c>
      <c r="AO703" t="s">
        <v>6657</v>
      </c>
      <c r="AP703" t="s">
        <v>6658</v>
      </c>
      <c r="AQ703" t="s">
        <v>72</v>
      </c>
      <c r="AR703" t="s">
        <v>6659</v>
      </c>
      <c r="AS703" t="s">
        <v>6660</v>
      </c>
      <c r="AT703" t="s">
        <v>929</v>
      </c>
      <c r="AU703">
        <v>2021</v>
      </c>
      <c r="AV703">
        <v>16</v>
      </c>
      <c r="AW703">
        <v>2</v>
      </c>
      <c r="AX703" t="s">
        <v>72</v>
      </c>
      <c r="AY703" t="s">
        <v>72</v>
      </c>
      <c r="AZ703" t="s">
        <v>72</v>
      </c>
      <c r="BA703" t="s">
        <v>72</v>
      </c>
      <c r="BB703">
        <v>52</v>
      </c>
      <c r="BC703">
        <v>82</v>
      </c>
      <c r="BD703" t="s">
        <v>72</v>
      </c>
      <c r="BE703" t="s">
        <v>6661</v>
      </c>
      <c r="BF703" t="str">
        <f>HYPERLINK("http://dx.doi.org/10.3167/choc.2021.160204","http://dx.doi.org/10.3167/choc.2021.160204")</f>
        <v>http://dx.doi.org/10.3167/choc.2021.160204</v>
      </c>
      <c r="BG703" t="s">
        <v>72</v>
      </c>
      <c r="BH703" t="s">
        <v>72</v>
      </c>
      <c r="BI703">
        <v>31</v>
      </c>
      <c r="BJ703" t="s">
        <v>2840</v>
      </c>
      <c r="BK703" t="s">
        <v>2840</v>
      </c>
      <c r="BL703" t="s">
        <v>6662</v>
      </c>
      <c r="BM703" t="s">
        <v>72</v>
      </c>
      <c r="BN703" t="s">
        <v>1497</v>
      </c>
      <c r="BO703" t="s">
        <v>72</v>
      </c>
      <c r="BP703" t="s">
        <v>72</v>
      </c>
      <c r="BQ703" t="s">
        <v>100</v>
      </c>
      <c r="BR703" t="s">
        <v>6663</v>
      </c>
      <c r="BS703" t="str">
        <f>HYPERLINK("https%3A%2F%2Fwww.webofscience.com%2Fwos%2Fwoscc%2Ffull-record%2FWOS:000712404700004","View Full Record in Web of Science")</f>
        <v>View Full Record in Web of Science</v>
      </c>
    </row>
    <row r="704" spans="1:71" hidden="1" x14ac:dyDescent="0.2">
      <c r="A704" t="s">
        <v>70</v>
      </c>
      <c r="B704" t="s">
        <v>12743</v>
      </c>
      <c r="C704" t="s">
        <v>72</v>
      </c>
      <c r="D704" t="s">
        <v>72</v>
      </c>
      <c r="E704" t="s">
        <v>72</v>
      </c>
      <c r="F704" t="s">
        <v>12744</v>
      </c>
      <c r="G704" t="s">
        <v>72</v>
      </c>
      <c r="H704" t="s">
        <v>72</v>
      </c>
      <c r="I704" t="s">
        <v>12745</v>
      </c>
      <c r="J704" t="s">
        <v>12746</v>
      </c>
      <c r="K704" t="s">
        <v>72</v>
      </c>
      <c r="L704" t="s">
        <v>72</v>
      </c>
      <c r="M704" t="s">
        <v>542</v>
      </c>
      <c r="N704" t="s">
        <v>77</v>
      </c>
      <c r="O704" t="s">
        <v>72</v>
      </c>
      <c r="P704" t="s">
        <v>72</v>
      </c>
      <c r="Q704" t="s">
        <v>72</v>
      </c>
      <c r="R704" t="s">
        <v>72</v>
      </c>
      <c r="S704" t="s">
        <v>72</v>
      </c>
      <c r="T704" t="s">
        <v>12747</v>
      </c>
      <c r="U704" t="s">
        <v>7481</v>
      </c>
      <c r="V704" t="s">
        <v>12748</v>
      </c>
      <c r="W704" t="s">
        <v>12749</v>
      </c>
      <c r="X704" t="s">
        <v>12750</v>
      </c>
      <c r="Y704" t="s">
        <v>12751</v>
      </c>
      <c r="Z704" t="s">
        <v>12752</v>
      </c>
      <c r="AA704" t="s">
        <v>72</v>
      </c>
      <c r="AB704" t="s">
        <v>72</v>
      </c>
      <c r="AC704" t="s">
        <v>72</v>
      </c>
      <c r="AD704" t="s">
        <v>72</v>
      </c>
      <c r="AE704" t="s">
        <v>72</v>
      </c>
      <c r="AF704" t="s">
        <v>72</v>
      </c>
      <c r="AG704">
        <v>58</v>
      </c>
      <c r="AH704">
        <v>0</v>
      </c>
      <c r="AI704">
        <v>0</v>
      </c>
      <c r="AJ704">
        <v>0</v>
      </c>
      <c r="AK704">
        <v>2</v>
      </c>
      <c r="AL704" t="s">
        <v>12753</v>
      </c>
      <c r="AM704" t="s">
        <v>12754</v>
      </c>
      <c r="AN704" t="s">
        <v>12755</v>
      </c>
      <c r="AO704" t="s">
        <v>12756</v>
      </c>
      <c r="AP704" t="s">
        <v>72</v>
      </c>
      <c r="AQ704" t="s">
        <v>72</v>
      </c>
      <c r="AR704" t="s">
        <v>12746</v>
      </c>
      <c r="AS704" t="s">
        <v>12757</v>
      </c>
      <c r="AT704" t="s">
        <v>72</v>
      </c>
      <c r="AU704">
        <v>2019</v>
      </c>
      <c r="AV704">
        <v>46</v>
      </c>
      <c r="AW704">
        <v>4</v>
      </c>
      <c r="AX704" t="s">
        <v>72</v>
      </c>
      <c r="AY704" t="s">
        <v>72</v>
      </c>
      <c r="AZ704" t="s">
        <v>72</v>
      </c>
      <c r="BA704" t="s">
        <v>72</v>
      </c>
      <c r="BB704">
        <v>501</v>
      </c>
      <c r="BC704" t="s">
        <v>173</v>
      </c>
      <c r="BD704" t="s">
        <v>72</v>
      </c>
      <c r="BE704" t="s">
        <v>72</v>
      </c>
      <c r="BF704" t="s">
        <v>72</v>
      </c>
      <c r="BG704" t="s">
        <v>72</v>
      </c>
      <c r="BH704" t="s">
        <v>72</v>
      </c>
      <c r="BI704">
        <v>32</v>
      </c>
      <c r="BJ704" t="s">
        <v>2840</v>
      </c>
      <c r="BK704" t="s">
        <v>2840</v>
      </c>
      <c r="BL704" t="s">
        <v>12758</v>
      </c>
      <c r="BM704" t="s">
        <v>72</v>
      </c>
      <c r="BN704" t="s">
        <v>72</v>
      </c>
      <c r="BO704" t="s">
        <v>72</v>
      </c>
      <c r="BP704" t="s">
        <v>72</v>
      </c>
      <c r="BQ704" t="s">
        <v>100</v>
      </c>
      <c r="BR704" t="s">
        <v>12759</v>
      </c>
      <c r="BS704" t="str">
        <f>HYPERLINK("https%3A%2F%2Fwww.webofscience.com%2Fwos%2Fwoscc%2Ffull-record%2FWOS:000524245800004","View Full Record in Web of Science")</f>
        <v>View Full Record in Web of Science</v>
      </c>
    </row>
    <row r="705" spans="1:71" hidden="1" x14ac:dyDescent="0.2">
      <c r="A705" t="s">
        <v>70</v>
      </c>
      <c r="B705" t="s">
        <v>13516</v>
      </c>
      <c r="C705" t="s">
        <v>72</v>
      </c>
      <c r="D705" t="s">
        <v>72</v>
      </c>
      <c r="E705" t="s">
        <v>72</v>
      </c>
      <c r="F705" t="s">
        <v>13516</v>
      </c>
      <c r="G705" t="s">
        <v>72</v>
      </c>
      <c r="H705" t="s">
        <v>72</v>
      </c>
      <c r="I705" t="s">
        <v>13517</v>
      </c>
      <c r="J705" t="s">
        <v>13518</v>
      </c>
      <c r="K705" t="s">
        <v>72</v>
      </c>
      <c r="L705" t="s">
        <v>72</v>
      </c>
      <c r="M705" t="s">
        <v>76</v>
      </c>
      <c r="N705" t="s">
        <v>77</v>
      </c>
      <c r="O705" t="s">
        <v>72</v>
      </c>
      <c r="P705" t="s">
        <v>72</v>
      </c>
      <c r="Q705" t="s">
        <v>72</v>
      </c>
      <c r="R705" t="s">
        <v>72</v>
      </c>
      <c r="S705" t="s">
        <v>72</v>
      </c>
      <c r="T705" t="s">
        <v>13519</v>
      </c>
      <c r="U705" t="s">
        <v>72</v>
      </c>
      <c r="V705" t="s">
        <v>13520</v>
      </c>
      <c r="W705" t="s">
        <v>13521</v>
      </c>
      <c r="X705" t="s">
        <v>13522</v>
      </c>
      <c r="Y705" t="s">
        <v>13523</v>
      </c>
      <c r="Z705" t="s">
        <v>72</v>
      </c>
      <c r="AA705" t="s">
        <v>72</v>
      </c>
      <c r="AB705" t="s">
        <v>72</v>
      </c>
      <c r="AC705" t="s">
        <v>72</v>
      </c>
      <c r="AD705" t="s">
        <v>72</v>
      </c>
      <c r="AE705" t="s">
        <v>72</v>
      </c>
      <c r="AF705" t="s">
        <v>72</v>
      </c>
      <c r="AG705">
        <v>46</v>
      </c>
      <c r="AH705">
        <v>1</v>
      </c>
      <c r="AI705">
        <v>1</v>
      </c>
      <c r="AJ705">
        <v>0</v>
      </c>
      <c r="AK705">
        <v>2</v>
      </c>
      <c r="AL705" t="s">
        <v>13524</v>
      </c>
      <c r="AM705" t="s">
        <v>1280</v>
      </c>
      <c r="AN705" t="s">
        <v>13525</v>
      </c>
      <c r="AO705" t="s">
        <v>13526</v>
      </c>
      <c r="AP705" t="s">
        <v>72</v>
      </c>
      <c r="AQ705" t="s">
        <v>72</v>
      </c>
      <c r="AR705" t="s">
        <v>13527</v>
      </c>
      <c r="AS705" t="s">
        <v>13528</v>
      </c>
      <c r="AT705" t="s">
        <v>2322</v>
      </c>
      <c r="AU705">
        <v>2004</v>
      </c>
      <c r="AV705">
        <v>37</v>
      </c>
      <c r="AW705">
        <v>2</v>
      </c>
      <c r="AX705" t="s">
        <v>72</v>
      </c>
      <c r="AY705" t="s">
        <v>72</v>
      </c>
      <c r="AZ705" t="s">
        <v>72</v>
      </c>
      <c r="BA705" t="s">
        <v>72</v>
      </c>
      <c r="BB705">
        <v>73</v>
      </c>
      <c r="BC705">
        <v>85</v>
      </c>
      <c r="BD705" t="s">
        <v>72</v>
      </c>
      <c r="BE705" t="s">
        <v>13529</v>
      </c>
      <c r="BF705" t="str">
        <f>HYPERLINK("http://dx.doi.org/10.3200/HMTS.37.2.73-86","http://dx.doi.org/10.3200/HMTS.37.2.73-86")</f>
        <v>http://dx.doi.org/10.3200/HMTS.37.2.73-86</v>
      </c>
      <c r="BG705" t="s">
        <v>72</v>
      </c>
      <c r="BH705" t="s">
        <v>72</v>
      </c>
      <c r="BI705">
        <v>13</v>
      </c>
      <c r="BJ705" t="s">
        <v>2840</v>
      </c>
      <c r="BK705" t="s">
        <v>2840</v>
      </c>
      <c r="BL705" t="s">
        <v>13530</v>
      </c>
      <c r="BM705" t="s">
        <v>72</v>
      </c>
      <c r="BN705" t="s">
        <v>72</v>
      </c>
      <c r="BO705" t="s">
        <v>72</v>
      </c>
      <c r="BP705" t="s">
        <v>72</v>
      </c>
      <c r="BQ705" t="s">
        <v>100</v>
      </c>
      <c r="BR705" t="s">
        <v>13531</v>
      </c>
      <c r="BS705" t="str">
        <f>HYPERLINK("https%3A%2F%2Fwww.webofscience.com%2Fwos%2Fwoscc%2Ffull-record%2FWOS:000223304500002","View Full Record in Web of Science")</f>
        <v>View Full Record in Web of Science</v>
      </c>
    </row>
    <row r="706" spans="1:71" hidden="1" x14ac:dyDescent="0.2">
      <c r="A706" t="s">
        <v>70</v>
      </c>
      <c r="B706" t="s">
        <v>4561</v>
      </c>
      <c r="C706" t="s">
        <v>72</v>
      </c>
      <c r="D706" t="s">
        <v>72</v>
      </c>
      <c r="E706" t="s">
        <v>72</v>
      </c>
      <c r="F706" t="s">
        <v>4562</v>
      </c>
      <c r="G706" t="s">
        <v>72</v>
      </c>
      <c r="H706" t="s">
        <v>72</v>
      </c>
      <c r="I706" t="s">
        <v>4563</v>
      </c>
      <c r="J706" t="s">
        <v>4564</v>
      </c>
      <c r="K706" t="s">
        <v>72</v>
      </c>
      <c r="L706" t="s">
        <v>72</v>
      </c>
      <c r="M706" t="s">
        <v>76</v>
      </c>
      <c r="N706" t="s">
        <v>77</v>
      </c>
      <c r="O706" t="s">
        <v>72</v>
      </c>
      <c r="P706" t="s">
        <v>72</v>
      </c>
      <c r="Q706" t="s">
        <v>72</v>
      </c>
      <c r="R706" t="s">
        <v>72</v>
      </c>
      <c r="S706" t="s">
        <v>72</v>
      </c>
      <c r="T706" t="s">
        <v>4565</v>
      </c>
      <c r="U706" t="s">
        <v>4566</v>
      </c>
      <c r="V706" t="s">
        <v>4567</v>
      </c>
      <c r="W706" t="s">
        <v>4568</v>
      </c>
      <c r="X706" t="s">
        <v>4569</v>
      </c>
      <c r="Y706" t="s">
        <v>4570</v>
      </c>
      <c r="Z706" t="s">
        <v>4571</v>
      </c>
      <c r="AA706" t="s">
        <v>72</v>
      </c>
      <c r="AB706" t="s">
        <v>4572</v>
      </c>
      <c r="AC706" t="s">
        <v>72</v>
      </c>
      <c r="AD706" t="s">
        <v>72</v>
      </c>
      <c r="AE706" t="s">
        <v>72</v>
      </c>
      <c r="AF706" t="s">
        <v>72</v>
      </c>
      <c r="AG706">
        <v>103</v>
      </c>
      <c r="AH706">
        <v>1</v>
      </c>
      <c r="AI706">
        <v>1</v>
      </c>
      <c r="AJ706">
        <v>1</v>
      </c>
      <c r="AK706">
        <v>7</v>
      </c>
      <c r="AL706" t="s">
        <v>88</v>
      </c>
      <c r="AM706" t="s">
        <v>89</v>
      </c>
      <c r="AN706" t="s">
        <v>90</v>
      </c>
      <c r="AO706" t="s">
        <v>4573</v>
      </c>
      <c r="AP706" t="s">
        <v>4574</v>
      </c>
      <c r="AQ706" t="s">
        <v>72</v>
      </c>
      <c r="AR706" t="s">
        <v>4575</v>
      </c>
      <c r="AS706" t="s">
        <v>4576</v>
      </c>
      <c r="AT706" t="s">
        <v>299</v>
      </c>
      <c r="AU706">
        <v>2022</v>
      </c>
      <c r="AV706">
        <v>27</v>
      </c>
      <c r="AW706">
        <v>2</v>
      </c>
      <c r="AX706" t="s">
        <v>72</v>
      </c>
      <c r="AY706" t="s">
        <v>72</v>
      </c>
      <c r="AZ706" t="s">
        <v>478</v>
      </c>
      <c r="BA706" t="s">
        <v>72</v>
      </c>
      <c r="BB706">
        <v>287</v>
      </c>
      <c r="BC706">
        <v>304</v>
      </c>
      <c r="BD706" t="s">
        <v>72</v>
      </c>
      <c r="BE706" t="s">
        <v>4577</v>
      </c>
      <c r="BF706" t="str">
        <f>HYPERLINK("http://dx.doi.org/10.1007/s10699-021-09782-5","http://dx.doi.org/10.1007/s10699-021-09782-5")</f>
        <v>http://dx.doi.org/10.1007/s10699-021-09782-5</v>
      </c>
      <c r="BG706" t="s">
        <v>72</v>
      </c>
      <c r="BH706" t="s">
        <v>397</v>
      </c>
      <c r="BI706">
        <v>18</v>
      </c>
      <c r="BJ706" t="s">
        <v>4578</v>
      </c>
      <c r="BK706" t="s">
        <v>4579</v>
      </c>
      <c r="BL706" t="s">
        <v>4580</v>
      </c>
      <c r="BM706">
        <v>33776510</v>
      </c>
      <c r="BN706" t="s">
        <v>4581</v>
      </c>
      <c r="BO706" t="s">
        <v>72</v>
      </c>
      <c r="BP706" t="s">
        <v>72</v>
      </c>
      <c r="BQ706" t="s">
        <v>100</v>
      </c>
      <c r="BR706" t="s">
        <v>4582</v>
      </c>
      <c r="BS706" t="str">
        <f>HYPERLINK("https%3A%2F%2Fwww.webofscience.com%2Fwos%2Fwoscc%2Ffull-record%2FWOS:000630835600003","View Full Record in Web of Science")</f>
        <v>View Full Record in Web of Science</v>
      </c>
    </row>
    <row r="707" spans="1:71" hidden="1" x14ac:dyDescent="0.2">
      <c r="A707" t="s">
        <v>70</v>
      </c>
      <c r="B707" t="s">
        <v>11732</v>
      </c>
      <c r="C707" t="s">
        <v>72</v>
      </c>
      <c r="D707" t="s">
        <v>72</v>
      </c>
      <c r="E707" t="s">
        <v>72</v>
      </c>
      <c r="F707" t="s">
        <v>11733</v>
      </c>
      <c r="G707" t="s">
        <v>72</v>
      </c>
      <c r="H707" t="s">
        <v>72</v>
      </c>
      <c r="I707" t="s">
        <v>11734</v>
      </c>
      <c r="J707" t="s">
        <v>11735</v>
      </c>
      <c r="K707" t="s">
        <v>72</v>
      </c>
      <c r="L707" t="s">
        <v>72</v>
      </c>
      <c r="M707" t="s">
        <v>76</v>
      </c>
      <c r="N707" t="s">
        <v>77</v>
      </c>
      <c r="O707" t="s">
        <v>72</v>
      </c>
      <c r="P707" t="s">
        <v>72</v>
      </c>
      <c r="Q707" t="s">
        <v>72</v>
      </c>
      <c r="R707" t="s">
        <v>72</v>
      </c>
      <c r="S707" t="s">
        <v>72</v>
      </c>
      <c r="T707" t="s">
        <v>11736</v>
      </c>
      <c r="U707" t="s">
        <v>11737</v>
      </c>
      <c r="V707" t="s">
        <v>11738</v>
      </c>
      <c r="W707" t="s">
        <v>11739</v>
      </c>
      <c r="X707" t="s">
        <v>11740</v>
      </c>
      <c r="Y707" t="s">
        <v>11741</v>
      </c>
      <c r="Z707" t="s">
        <v>11742</v>
      </c>
      <c r="AA707" t="s">
        <v>72</v>
      </c>
      <c r="AB707" t="s">
        <v>72</v>
      </c>
      <c r="AC707" t="s">
        <v>11743</v>
      </c>
      <c r="AD707" t="s">
        <v>11743</v>
      </c>
      <c r="AE707" t="s">
        <v>11744</v>
      </c>
      <c r="AF707" t="s">
        <v>72</v>
      </c>
      <c r="AG707">
        <v>92</v>
      </c>
      <c r="AH707">
        <v>4</v>
      </c>
      <c r="AI707">
        <v>4</v>
      </c>
      <c r="AJ707">
        <v>0</v>
      </c>
      <c r="AK707">
        <v>3</v>
      </c>
      <c r="AL707" t="s">
        <v>11745</v>
      </c>
      <c r="AM707" t="s">
        <v>11746</v>
      </c>
      <c r="AN707" t="s">
        <v>11747</v>
      </c>
      <c r="AO707" t="s">
        <v>11748</v>
      </c>
      <c r="AP707" t="s">
        <v>72</v>
      </c>
      <c r="AQ707" t="s">
        <v>72</v>
      </c>
      <c r="AR707" t="s">
        <v>11749</v>
      </c>
      <c r="AS707" t="s">
        <v>11750</v>
      </c>
      <c r="AT707" t="s">
        <v>72</v>
      </c>
      <c r="AU707">
        <v>2021</v>
      </c>
      <c r="AV707">
        <v>34</v>
      </c>
      <c r="AW707">
        <v>1</v>
      </c>
      <c r="AX707" t="s">
        <v>72</v>
      </c>
      <c r="AY707" t="s">
        <v>72</v>
      </c>
      <c r="AZ707" t="s">
        <v>72</v>
      </c>
      <c r="BA707" t="s">
        <v>72</v>
      </c>
      <c r="BB707">
        <v>19</v>
      </c>
      <c r="BC707">
        <v>42</v>
      </c>
      <c r="BD707" t="s">
        <v>72</v>
      </c>
      <c r="BE707" t="s">
        <v>72</v>
      </c>
      <c r="BF707" t="s">
        <v>72</v>
      </c>
      <c r="BG707" t="s">
        <v>72</v>
      </c>
      <c r="BH707" t="s">
        <v>72</v>
      </c>
      <c r="BI707">
        <v>24</v>
      </c>
      <c r="BJ707" t="s">
        <v>4578</v>
      </c>
      <c r="BK707" t="s">
        <v>4579</v>
      </c>
      <c r="BL707" t="s">
        <v>11751</v>
      </c>
      <c r="BM707" t="s">
        <v>72</v>
      </c>
      <c r="BN707" t="s">
        <v>72</v>
      </c>
      <c r="BO707" t="s">
        <v>72</v>
      </c>
      <c r="BP707" t="s">
        <v>72</v>
      </c>
      <c r="BQ707" t="s">
        <v>100</v>
      </c>
      <c r="BR707" t="s">
        <v>11752</v>
      </c>
      <c r="BS707" t="str">
        <f>HYPERLINK("https%3A%2F%2Fwww.webofscience.com%2Fwos%2Fwoscc%2Ffull-record%2FWOS:000619571600002","View Full Record in Web of Science")</f>
        <v>View Full Record in Web of Science</v>
      </c>
    </row>
    <row r="708" spans="1:71" x14ac:dyDescent="0.2">
      <c r="A708" t="s">
        <v>70</v>
      </c>
      <c r="B708" t="s">
        <v>2660</v>
      </c>
      <c r="C708" t="s">
        <v>72</v>
      </c>
      <c r="D708" t="s">
        <v>72</v>
      </c>
      <c r="E708" t="s">
        <v>72</v>
      </c>
      <c r="F708" t="s">
        <v>2661</v>
      </c>
      <c r="G708" t="s">
        <v>72</v>
      </c>
      <c r="H708" t="s">
        <v>72</v>
      </c>
      <c r="I708" t="s">
        <v>2662</v>
      </c>
      <c r="J708" t="s">
        <v>2663</v>
      </c>
      <c r="K708" t="s">
        <v>72</v>
      </c>
      <c r="L708" t="s">
        <v>72</v>
      </c>
      <c r="M708" t="s">
        <v>2664</v>
      </c>
      <c r="N708" t="s">
        <v>77</v>
      </c>
      <c r="O708" t="s">
        <v>72</v>
      </c>
      <c r="P708" t="s">
        <v>72</v>
      </c>
      <c r="Q708" t="s">
        <v>72</v>
      </c>
      <c r="R708" t="s">
        <v>72</v>
      </c>
      <c r="S708" t="s">
        <v>72</v>
      </c>
      <c r="T708" t="s">
        <v>2665</v>
      </c>
      <c r="U708" t="s">
        <v>2666</v>
      </c>
      <c r="V708" t="s">
        <v>2667</v>
      </c>
      <c r="W708" t="s">
        <v>2668</v>
      </c>
      <c r="X708" t="s">
        <v>2669</v>
      </c>
      <c r="Y708" t="s">
        <v>2670</v>
      </c>
      <c r="Z708" t="s">
        <v>2671</v>
      </c>
      <c r="AA708" t="s">
        <v>72</v>
      </c>
      <c r="AB708" t="s">
        <v>72</v>
      </c>
      <c r="AC708" t="s">
        <v>72</v>
      </c>
      <c r="AD708" t="s">
        <v>72</v>
      </c>
      <c r="AE708" t="s">
        <v>72</v>
      </c>
      <c r="AF708" t="s">
        <v>72</v>
      </c>
      <c r="AG708">
        <v>52</v>
      </c>
      <c r="AH708">
        <v>33</v>
      </c>
      <c r="AI708">
        <v>34</v>
      </c>
      <c r="AJ708">
        <v>4</v>
      </c>
      <c r="AK708">
        <v>69</v>
      </c>
      <c r="AL708" t="s">
        <v>2672</v>
      </c>
      <c r="AM708" t="s">
        <v>2673</v>
      </c>
      <c r="AN708" t="s">
        <v>2674</v>
      </c>
      <c r="AO708" t="s">
        <v>2675</v>
      </c>
      <c r="AP708" t="s">
        <v>72</v>
      </c>
      <c r="AQ708" t="s">
        <v>72</v>
      </c>
      <c r="AR708" t="s">
        <v>2676</v>
      </c>
      <c r="AS708" t="s">
        <v>2677</v>
      </c>
      <c r="AT708" t="s">
        <v>72</v>
      </c>
      <c r="AU708">
        <v>2013</v>
      </c>
      <c r="AV708">
        <v>38</v>
      </c>
      <c r="AW708">
        <v>4</v>
      </c>
      <c r="AX708" t="s">
        <v>72</v>
      </c>
      <c r="AY708" t="s">
        <v>72</v>
      </c>
      <c r="AZ708" t="s">
        <v>72</v>
      </c>
      <c r="BA708" t="s">
        <v>72</v>
      </c>
      <c r="BB708">
        <v>332</v>
      </c>
      <c r="BC708">
        <v>357</v>
      </c>
      <c r="BD708" t="s">
        <v>72</v>
      </c>
      <c r="BE708" t="s">
        <v>72</v>
      </c>
      <c r="BF708" t="s">
        <v>72</v>
      </c>
      <c r="BG708" t="s">
        <v>72</v>
      </c>
      <c r="BH708" t="s">
        <v>72</v>
      </c>
      <c r="BI708">
        <v>26</v>
      </c>
      <c r="BJ708" t="s">
        <v>2678</v>
      </c>
      <c r="BK708" t="s">
        <v>2679</v>
      </c>
      <c r="BL708" t="s">
        <v>2680</v>
      </c>
      <c r="BM708" t="s">
        <v>72</v>
      </c>
      <c r="BN708" t="s">
        <v>72</v>
      </c>
      <c r="BO708" t="s">
        <v>72</v>
      </c>
      <c r="BP708" t="s">
        <v>72</v>
      </c>
      <c r="BQ708" t="s">
        <v>100</v>
      </c>
      <c r="BR708" t="s">
        <v>2681</v>
      </c>
      <c r="BS708" t="str">
        <f>HYPERLINK("https%3A%2F%2Fwww.webofscience.com%2Fwos%2Fwoscc%2Ffull-record%2FWOS:000329475400006","View Full Record in Web of Science")</f>
        <v>View Full Record in Web of Science</v>
      </c>
    </row>
    <row r="709" spans="1:71" x14ac:dyDescent="0.2">
      <c r="A709" t="s">
        <v>70</v>
      </c>
      <c r="B709" t="s">
        <v>12884</v>
      </c>
      <c r="C709" t="s">
        <v>72</v>
      </c>
      <c r="D709" t="s">
        <v>72</v>
      </c>
      <c r="E709" t="s">
        <v>72</v>
      </c>
      <c r="F709" t="s">
        <v>12885</v>
      </c>
      <c r="G709" t="s">
        <v>72</v>
      </c>
      <c r="H709" t="s">
        <v>72</v>
      </c>
      <c r="I709" t="s">
        <v>12886</v>
      </c>
      <c r="J709" t="s">
        <v>12887</v>
      </c>
      <c r="K709" t="s">
        <v>72</v>
      </c>
      <c r="L709" t="s">
        <v>72</v>
      </c>
      <c r="M709" t="s">
        <v>76</v>
      </c>
      <c r="N709" t="s">
        <v>77</v>
      </c>
      <c r="O709" t="s">
        <v>72</v>
      </c>
      <c r="P709" t="s">
        <v>72</v>
      </c>
      <c r="Q709" t="s">
        <v>72</v>
      </c>
      <c r="R709" t="s">
        <v>72</v>
      </c>
      <c r="S709" t="s">
        <v>72</v>
      </c>
      <c r="T709" t="s">
        <v>12888</v>
      </c>
      <c r="U709" t="s">
        <v>12889</v>
      </c>
      <c r="V709" t="s">
        <v>12890</v>
      </c>
      <c r="W709" t="s">
        <v>12891</v>
      </c>
      <c r="X709" t="s">
        <v>72</v>
      </c>
      <c r="Y709" t="s">
        <v>12892</v>
      </c>
      <c r="Z709" t="s">
        <v>12893</v>
      </c>
      <c r="AA709" t="s">
        <v>72</v>
      </c>
      <c r="AB709" t="s">
        <v>72</v>
      </c>
      <c r="AC709" t="s">
        <v>72</v>
      </c>
      <c r="AD709" t="s">
        <v>72</v>
      </c>
      <c r="AE709" t="s">
        <v>72</v>
      </c>
      <c r="AF709" t="s">
        <v>72</v>
      </c>
      <c r="AG709">
        <v>99</v>
      </c>
      <c r="AH709">
        <v>0</v>
      </c>
      <c r="AI709">
        <v>0</v>
      </c>
      <c r="AJ709">
        <v>2</v>
      </c>
      <c r="AK709">
        <v>9</v>
      </c>
      <c r="AL709" t="s">
        <v>364</v>
      </c>
      <c r="AM709" t="s">
        <v>365</v>
      </c>
      <c r="AN709" t="s">
        <v>366</v>
      </c>
      <c r="AO709" t="s">
        <v>12894</v>
      </c>
      <c r="AP709" t="s">
        <v>12895</v>
      </c>
      <c r="AQ709" t="s">
        <v>72</v>
      </c>
      <c r="AR709" t="s">
        <v>12896</v>
      </c>
      <c r="AS709" t="s">
        <v>12897</v>
      </c>
      <c r="AT709" t="s">
        <v>5039</v>
      </c>
      <c r="AU709">
        <v>2021</v>
      </c>
      <c r="AV709">
        <v>16</v>
      </c>
      <c r="AW709">
        <v>2</v>
      </c>
      <c r="AX709" t="s">
        <v>72</v>
      </c>
      <c r="AY709" t="s">
        <v>72</v>
      </c>
      <c r="AZ709" t="s">
        <v>72</v>
      </c>
      <c r="BA709" t="s">
        <v>72</v>
      </c>
      <c r="BB709">
        <v>156</v>
      </c>
      <c r="BC709">
        <v>182</v>
      </c>
      <c r="BD709" t="s">
        <v>72</v>
      </c>
      <c r="BE709" t="s">
        <v>12898</v>
      </c>
      <c r="BF709" t="str">
        <f>HYPERLINK("http://dx.doi.org/10.1080/17449359.2021.1964087","http://dx.doi.org/10.1080/17449359.2021.1964087")</f>
        <v>http://dx.doi.org/10.1080/17449359.2021.1964087</v>
      </c>
      <c r="BG709" t="s">
        <v>72</v>
      </c>
      <c r="BH709" t="s">
        <v>4769</v>
      </c>
      <c r="BI709">
        <v>27</v>
      </c>
      <c r="BJ709" t="s">
        <v>12899</v>
      </c>
      <c r="BK709" t="s">
        <v>2679</v>
      </c>
      <c r="BL709" t="s">
        <v>12900</v>
      </c>
      <c r="BM709" t="s">
        <v>72</v>
      </c>
      <c r="BN709" t="s">
        <v>72</v>
      </c>
      <c r="BO709" t="s">
        <v>72</v>
      </c>
      <c r="BP709" t="s">
        <v>72</v>
      </c>
      <c r="BQ709" t="s">
        <v>100</v>
      </c>
      <c r="BR709" t="s">
        <v>12901</v>
      </c>
      <c r="BS709" t="str">
        <f>HYPERLINK("https%3A%2F%2Fwww.webofscience.com%2Fwos%2Fwoscc%2Ffull-record%2FWOS:000685784700001","View Full Record in Web of Science")</f>
        <v>View Full Record in Web of Science</v>
      </c>
    </row>
    <row r="710" spans="1:71" hidden="1" x14ac:dyDescent="0.2">
      <c r="A710" t="s">
        <v>305</v>
      </c>
      <c r="B710" t="s">
        <v>522</v>
      </c>
      <c r="C710" t="s">
        <v>72</v>
      </c>
      <c r="D710" t="s">
        <v>523</v>
      </c>
      <c r="E710" t="s">
        <v>72</v>
      </c>
      <c r="F710" t="s">
        <v>522</v>
      </c>
      <c r="G710" t="s">
        <v>72</v>
      </c>
      <c r="H710" t="s">
        <v>72</v>
      </c>
      <c r="I710" t="s">
        <v>524</v>
      </c>
      <c r="J710" t="s">
        <v>525</v>
      </c>
      <c r="K710" t="s">
        <v>526</v>
      </c>
      <c r="L710" t="s">
        <v>72</v>
      </c>
      <c r="M710" t="s">
        <v>76</v>
      </c>
      <c r="N710" t="s">
        <v>312</v>
      </c>
      <c r="O710" t="s">
        <v>527</v>
      </c>
      <c r="P710" t="s">
        <v>528</v>
      </c>
      <c r="Q710" t="s">
        <v>529</v>
      </c>
      <c r="R710" t="s">
        <v>530</v>
      </c>
      <c r="S710" t="s">
        <v>72</v>
      </c>
      <c r="T710" t="s">
        <v>72</v>
      </c>
      <c r="U710" t="s">
        <v>72</v>
      </c>
      <c r="V710" t="s">
        <v>72</v>
      </c>
      <c r="W710" t="s">
        <v>72</v>
      </c>
      <c r="X710" t="s">
        <v>72</v>
      </c>
      <c r="Y710" t="s">
        <v>72</v>
      </c>
      <c r="Z710" t="s">
        <v>72</v>
      </c>
      <c r="AA710" t="s">
        <v>72</v>
      </c>
      <c r="AB710" t="s">
        <v>72</v>
      </c>
      <c r="AC710" t="s">
        <v>72</v>
      </c>
      <c r="AD710" t="s">
        <v>72</v>
      </c>
      <c r="AE710" t="s">
        <v>72</v>
      </c>
      <c r="AF710" t="s">
        <v>72</v>
      </c>
      <c r="AG710">
        <v>0</v>
      </c>
      <c r="AH710">
        <v>0</v>
      </c>
      <c r="AI710">
        <v>0</v>
      </c>
      <c r="AJ710">
        <v>0</v>
      </c>
      <c r="AK710">
        <v>0</v>
      </c>
      <c r="AL710" t="s">
        <v>531</v>
      </c>
      <c r="AM710" t="s">
        <v>532</v>
      </c>
      <c r="AN710" t="s">
        <v>532</v>
      </c>
      <c r="AO710" t="s">
        <v>72</v>
      </c>
      <c r="AP710" t="s">
        <v>72</v>
      </c>
      <c r="AQ710" t="s">
        <v>533</v>
      </c>
      <c r="AR710" t="s">
        <v>534</v>
      </c>
      <c r="AS710" t="s">
        <v>72</v>
      </c>
      <c r="AT710" t="s">
        <v>72</v>
      </c>
      <c r="AU710">
        <v>1990</v>
      </c>
      <c r="AV710">
        <v>1</v>
      </c>
      <c r="AW710" t="s">
        <v>72</v>
      </c>
      <c r="AX710" t="s">
        <v>72</v>
      </c>
      <c r="AY710" t="s">
        <v>72</v>
      </c>
      <c r="AZ710" t="s">
        <v>72</v>
      </c>
      <c r="BA710" t="s">
        <v>72</v>
      </c>
      <c r="BB710">
        <v>171</v>
      </c>
      <c r="BC710">
        <v>171</v>
      </c>
      <c r="BD710" t="s">
        <v>72</v>
      </c>
      <c r="BE710" t="s">
        <v>72</v>
      </c>
      <c r="BF710" t="s">
        <v>72</v>
      </c>
      <c r="BG710" t="s">
        <v>72</v>
      </c>
      <c r="BH710" t="s">
        <v>72</v>
      </c>
      <c r="BI710">
        <v>1</v>
      </c>
      <c r="BJ710" t="s">
        <v>535</v>
      </c>
      <c r="BK710" t="s">
        <v>535</v>
      </c>
      <c r="BL710" t="s">
        <v>536</v>
      </c>
      <c r="BM710" t="s">
        <v>72</v>
      </c>
      <c r="BN710" t="s">
        <v>72</v>
      </c>
      <c r="BO710" t="s">
        <v>72</v>
      </c>
      <c r="BP710" t="s">
        <v>72</v>
      </c>
      <c r="BQ710" t="s">
        <v>100</v>
      </c>
      <c r="BR710" t="s">
        <v>537</v>
      </c>
      <c r="BS710" t="str">
        <f>HYPERLINK("https%3A%2F%2Fwww.webofscience.com%2Fwos%2Fwoscc%2Ffull-record%2FWOS:A1990BR70Y00016","View Full Record in Web of Science")</f>
        <v>View Full Record in Web of Science</v>
      </c>
    </row>
    <row r="711" spans="1:71" hidden="1" x14ac:dyDescent="0.2">
      <c r="A711" t="s">
        <v>305</v>
      </c>
      <c r="B711" t="s">
        <v>5671</v>
      </c>
      <c r="C711" t="s">
        <v>72</v>
      </c>
      <c r="D711" t="s">
        <v>5672</v>
      </c>
      <c r="E711" t="s">
        <v>72</v>
      </c>
      <c r="F711" t="s">
        <v>5673</v>
      </c>
      <c r="G711" t="s">
        <v>72</v>
      </c>
      <c r="H711" t="s">
        <v>72</v>
      </c>
      <c r="I711" t="s">
        <v>5674</v>
      </c>
      <c r="J711" t="s">
        <v>5675</v>
      </c>
      <c r="K711" t="s">
        <v>5676</v>
      </c>
      <c r="L711" t="s">
        <v>72</v>
      </c>
      <c r="M711" t="s">
        <v>76</v>
      </c>
      <c r="N711" t="s">
        <v>312</v>
      </c>
      <c r="O711" t="s">
        <v>5677</v>
      </c>
      <c r="P711" t="s">
        <v>5678</v>
      </c>
      <c r="Q711" t="s">
        <v>5679</v>
      </c>
      <c r="R711" t="s">
        <v>5680</v>
      </c>
      <c r="S711" t="s">
        <v>5681</v>
      </c>
      <c r="T711" t="s">
        <v>5682</v>
      </c>
      <c r="U711" t="s">
        <v>72</v>
      </c>
      <c r="V711" t="s">
        <v>5683</v>
      </c>
      <c r="W711" t="s">
        <v>5684</v>
      </c>
      <c r="X711" t="s">
        <v>5685</v>
      </c>
      <c r="Y711" t="s">
        <v>72</v>
      </c>
      <c r="Z711" t="s">
        <v>5686</v>
      </c>
      <c r="AA711" t="s">
        <v>5687</v>
      </c>
      <c r="AB711" t="s">
        <v>5688</v>
      </c>
      <c r="AC711" t="s">
        <v>72</v>
      </c>
      <c r="AD711" t="s">
        <v>72</v>
      </c>
      <c r="AE711" t="s">
        <v>72</v>
      </c>
      <c r="AF711" t="s">
        <v>72</v>
      </c>
      <c r="AG711">
        <v>20</v>
      </c>
      <c r="AH711">
        <v>1</v>
      </c>
      <c r="AI711">
        <v>1</v>
      </c>
      <c r="AJ711">
        <v>1</v>
      </c>
      <c r="AK711">
        <v>5</v>
      </c>
      <c r="AL711" t="s">
        <v>5689</v>
      </c>
      <c r="AM711" t="s">
        <v>168</v>
      </c>
      <c r="AN711" t="s">
        <v>5690</v>
      </c>
      <c r="AO711" t="s">
        <v>5691</v>
      </c>
      <c r="AP711" t="s">
        <v>72</v>
      </c>
      <c r="AQ711" t="s">
        <v>5692</v>
      </c>
      <c r="AR711" t="s">
        <v>5693</v>
      </c>
      <c r="AS711" t="s">
        <v>72</v>
      </c>
      <c r="AT711" t="s">
        <v>72</v>
      </c>
      <c r="AU711">
        <v>2011</v>
      </c>
      <c r="AV711">
        <v>12</v>
      </c>
      <c r="AW711" t="s">
        <v>72</v>
      </c>
      <c r="AX711" t="s">
        <v>72</v>
      </c>
      <c r="AY711" t="s">
        <v>72</v>
      </c>
      <c r="AZ711" t="s">
        <v>72</v>
      </c>
      <c r="BA711" t="s">
        <v>72</v>
      </c>
      <c r="BB711">
        <v>27</v>
      </c>
      <c r="BC711">
        <v>31</v>
      </c>
      <c r="BD711" t="s">
        <v>72</v>
      </c>
      <c r="BE711" t="s">
        <v>72</v>
      </c>
      <c r="BF711" t="s">
        <v>72</v>
      </c>
      <c r="BG711" t="s">
        <v>72</v>
      </c>
      <c r="BH711" t="s">
        <v>72</v>
      </c>
      <c r="BI711">
        <v>5</v>
      </c>
      <c r="BJ711" t="s">
        <v>535</v>
      </c>
      <c r="BK711" t="s">
        <v>535</v>
      </c>
      <c r="BL711" t="s">
        <v>5694</v>
      </c>
      <c r="BM711" t="s">
        <v>72</v>
      </c>
      <c r="BN711" t="s">
        <v>72</v>
      </c>
      <c r="BO711" t="s">
        <v>72</v>
      </c>
      <c r="BP711" t="s">
        <v>72</v>
      </c>
      <c r="BQ711" t="s">
        <v>100</v>
      </c>
      <c r="BR711" t="s">
        <v>5695</v>
      </c>
      <c r="BS711" t="str">
        <f>HYPERLINK("https%3A%2F%2Fwww.webofscience.com%2Fwos%2Fwoscc%2Ffull-record%2FWOS:000288186600002","View Full Record in Web of Science")</f>
        <v>View Full Record in Web of Science</v>
      </c>
    </row>
    <row r="712" spans="1:71" hidden="1" x14ac:dyDescent="0.2">
      <c r="A712" t="s">
        <v>70</v>
      </c>
      <c r="B712" t="s">
        <v>7447</v>
      </c>
      <c r="C712" t="s">
        <v>72</v>
      </c>
      <c r="D712" t="s">
        <v>72</v>
      </c>
      <c r="E712" t="s">
        <v>72</v>
      </c>
      <c r="F712" t="s">
        <v>7448</v>
      </c>
      <c r="G712" t="s">
        <v>72</v>
      </c>
      <c r="H712" t="s">
        <v>72</v>
      </c>
      <c r="I712" t="s">
        <v>7449</v>
      </c>
      <c r="J712" t="s">
        <v>7450</v>
      </c>
      <c r="K712" t="s">
        <v>72</v>
      </c>
      <c r="L712" t="s">
        <v>72</v>
      </c>
      <c r="M712" t="s">
        <v>7451</v>
      </c>
      <c r="N712" t="s">
        <v>77</v>
      </c>
      <c r="O712" t="s">
        <v>72</v>
      </c>
      <c r="P712" t="s">
        <v>72</v>
      </c>
      <c r="Q712" t="s">
        <v>72</v>
      </c>
      <c r="R712" t="s">
        <v>72</v>
      </c>
      <c r="S712" t="s">
        <v>72</v>
      </c>
      <c r="T712" t="s">
        <v>7452</v>
      </c>
      <c r="U712" t="s">
        <v>7453</v>
      </c>
      <c r="V712" t="s">
        <v>7454</v>
      </c>
      <c r="W712" t="s">
        <v>7455</v>
      </c>
      <c r="X712" t="s">
        <v>7456</v>
      </c>
      <c r="Y712" t="s">
        <v>7457</v>
      </c>
      <c r="Z712" t="s">
        <v>72</v>
      </c>
      <c r="AA712" t="s">
        <v>7458</v>
      </c>
      <c r="AB712" t="s">
        <v>7459</v>
      </c>
      <c r="AC712" t="s">
        <v>72</v>
      </c>
      <c r="AD712" t="s">
        <v>72</v>
      </c>
      <c r="AE712" t="s">
        <v>72</v>
      </c>
      <c r="AF712" t="s">
        <v>72</v>
      </c>
      <c r="AG712">
        <v>25</v>
      </c>
      <c r="AH712">
        <v>0</v>
      </c>
      <c r="AI712">
        <v>0</v>
      </c>
      <c r="AJ712">
        <v>0</v>
      </c>
      <c r="AK712">
        <v>2</v>
      </c>
      <c r="AL712" t="s">
        <v>7460</v>
      </c>
      <c r="AM712" t="s">
        <v>7461</v>
      </c>
      <c r="AN712" t="s">
        <v>7462</v>
      </c>
      <c r="AO712" t="s">
        <v>7463</v>
      </c>
      <c r="AP712" t="s">
        <v>72</v>
      </c>
      <c r="AQ712" t="s">
        <v>72</v>
      </c>
      <c r="AR712" t="s">
        <v>7464</v>
      </c>
      <c r="AS712" t="s">
        <v>7465</v>
      </c>
      <c r="AT712" t="s">
        <v>72</v>
      </c>
      <c r="AU712">
        <v>2017</v>
      </c>
      <c r="AV712">
        <v>17</v>
      </c>
      <c r="AW712">
        <v>4</v>
      </c>
      <c r="AX712" t="s">
        <v>72</v>
      </c>
      <c r="AY712" t="s">
        <v>72</v>
      </c>
      <c r="AZ712" t="s">
        <v>72</v>
      </c>
      <c r="BA712" t="s">
        <v>72</v>
      </c>
      <c r="BB712">
        <v>25</v>
      </c>
      <c r="BC712" t="s">
        <v>173</v>
      </c>
      <c r="BD712" t="s">
        <v>72</v>
      </c>
      <c r="BE712" t="s">
        <v>72</v>
      </c>
      <c r="BF712" t="s">
        <v>72</v>
      </c>
      <c r="BG712" t="s">
        <v>72</v>
      </c>
      <c r="BH712" t="s">
        <v>72</v>
      </c>
      <c r="BI712">
        <v>15</v>
      </c>
      <c r="BJ712" t="s">
        <v>535</v>
      </c>
      <c r="BK712" t="s">
        <v>535</v>
      </c>
      <c r="BL712" t="s">
        <v>7466</v>
      </c>
      <c r="BM712" t="s">
        <v>72</v>
      </c>
      <c r="BN712" t="s">
        <v>72</v>
      </c>
      <c r="BO712" t="s">
        <v>72</v>
      </c>
      <c r="BP712" t="s">
        <v>72</v>
      </c>
      <c r="BQ712" t="s">
        <v>100</v>
      </c>
      <c r="BR712" t="s">
        <v>7467</v>
      </c>
      <c r="BS712" t="str">
        <f>HYPERLINK("https%3A%2F%2Fwww.webofscience.com%2Fwos%2Fwoscc%2Ffull-record%2FWOS:000429439300003","View Full Record in Web of Science")</f>
        <v>View Full Record in Web of Science</v>
      </c>
    </row>
    <row r="713" spans="1:71" hidden="1" x14ac:dyDescent="0.2">
      <c r="A713" t="s">
        <v>70</v>
      </c>
      <c r="B713" t="s">
        <v>17457</v>
      </c>
      <c r="C713" t="s">
        <v>72</v>
      </c>
      <c r="D713" t="s">
        <v>72</v>
      </c>
      <c r="E713" t="s">
        <v>72</v>
      </c>
      <c r="F713" t="s">
        <v>17458</v>
      </c>
      <c r="G713" t="s">
        <v>72</v>
      </c>
      <c r="H713" t="s">
        <v>72</v>
      </c>
      <c r="I713" t="s">
        <v>17459</v>
      </c>
      <c r="J713" t="s">
        <v>17460</v>
      </c>
      <c r="K713" t="s">
        <v>72</v>
      </c>
      <c r="L713" t="s">
        <v>72</v>
      </c>
      <c r="M713" t="s">
        <v>76</v>
      </c>
      <c r="N713" t="s">
        <v>106</v>
      </c>
      <c r="O713" t="s">
        <v>72</v>
      </c>
      <c r="P713" t="s">
        <v>72</v>
      </c>
      <c r="Q713" t="s">
        <v>72</v>
      </c>
      <c r="R713" t="s">
        <v>72</v>
      </c>
      <c r="S713" t="s">
        <v>72</v>
      </c>
      <c r="T713" t="s">
        <v>72</v>
      </c>
      <c r="U713" t="s">
        <v>72</v>
      </c>
      <c r="V713" t="s">
        <v>17461</v>
      </c>
      <c r="W713" t="s">
        <v>17462</v>
      </c>
      <c r="X713" t="s">
        <v>72</v>
      </c>
      <c r="Y713" t="s">
        <v>17463</v>
      </c>
      <c r="Z713" t="s">
        <v>17464</v>
      </c>
      <c r="AA713" t="s">
        <v>72</v>
      </c>
      <c r="AB713" t="s">
        <v>17465</v>
      </c>
      <c r="AC713" t="s">
        <v>72</v>
      </c>
      <c r="AD713" t="s">
        <v>72</v>
      </c>
      <c r="AE713" t="s">
        <v>72</v>
      </c>
      <c r="AF713" t="s">
        <v>72</v>
      </c>
      <c r="AG713">
        <v>5</v>
      </c>
      <c r="AH713">
        <v>1</v>
      </c>
      <c r="AI713">
        <v>1</v>
      </c>
      <c r="AJ713">
        <v>4</v>
      </c>
      <c r="AK713">
        <v>12</v>
      </c>
      <c r="AL713" t="s">
        <v>17466</v>
      </c>
      <c r="AM713" t="s">
        <v>17467</v>
      </c>
      <c r="AN713" t="s">
        <v>17468</v>
      </c>
      <c r="AO713" t="s">
        <v>17469</v>
      </c>
      <c r="AP713" t="s">
        <v>72</v>
      </c>
      <c r="AQ713" t="s">
        <v>72</v>
      </c>
      <c r="AR713" t="s">
        <v>17470</v>
      </c>
      <c r="AS713" t="s">
        <v>17471</v>
      </c>
      <c r="AT713" t="s">
        <v>72</v>
      </c>
      <c r="AU713">
        <v>2019</v>
      </c>
      <c r="AV713">
        <v>14</v>
      </c>
      <c r="AW713">
        <v>1</v>
      </c>
      <c r="AX713" t="s">
        <v>72</v>
      </c>
      <c r="AY713" t="s">
        <v>72</v>
      </c>
      <c r="AZ713" t="s">
        <v>72</v>
      </c>
      <c r="BA713" t="s">
        <v>72</v>
      </c>
      <c r="BB713">
        <v>62</v>
      </c>
      <c r="BC713">
        <v>64</v>
      </c>
      <c r="BD713" t="s">
        <v>72</v>
      </c>
      <c r="BE713" t="s">
        <v>17472</v>
      </c>
      <c r="BF713" t="str">
        <f>HYPERLINK("http://dx.doi.org/10.18438/eblip29530","http://dx.doi.org/10.18438/eblip29530")</f>
        <v>http://dx.doi.org/10.18438/eblip29530</v>
      </c>
      <c r="BG713" t="s">
        <v>72</v>
      </c>
      <c r="BH713" t="s">
        <v>72</v>
      </c>
      <c r="BI713">
        <v>3</v>
      </c>
      <c r="BJ713" t="s">
        <v>535</v>
      </c>
      <c r="BK713" t="s">
        <v>535</v>
      </c>
      <c r="BL713" t="s">
        <v>17473</v>
      </c>
      <c r="BM713" t="s">
        <v>72</v>
      </c>
      <c r="BN713" t="s">
        <v>222</v>
      </c>
      <c r="BO713" t="s">
        <v>72</v>
      </c>
      <c r="BP713" t="s">
        <v>72</v>
      </c>
      <c r="BQ713" t="s">
        <v>100</v>
      </c>
      <c r="BR713" t="s">
        <v>17474</v>
      </c>
      <c r="BS713" t="str">
        <f>HYPERLINK("https%3A%2F%2Fwww.webofscience.com%2Fwos%2Fwoscc%2Ffull-record%2FWOS:000461297600007","View Full Record in Web of Science")</f>
        <v>View Full Record in Web of Science</v>
      </c>
    </row>
    <row r="714" spans="1:71" hidden="1" x14ac:dyDescent="0.2">
      <c r="A714" t="s">
        <v>70</v>
      </c>
      <c r="B714" t="s">
        <v>11501</v>
      </c>
      <c r="C714" t="s">
        <v>72</v>
      </c>
      <c r="D714" t="s">
        <v>72</v>
      </c>
      <c r="E714" t="s">
        <v>72</v>
      </c>
      <c r="F714" t="s">
        <v>11502</v>
      </c>
      <c r="G714" t="s">
        <v>72</v>
      </c>
      <c r="H714" t="s">
        <v>72</v>
      </c>
      <c r="I714" t="s">
        <v>11503</v>
      </c>
      <c r="J714" t="s">
        <v>11504</v>
      </c>
      <c r="K714" t="s">
        <v>72</v>
      </c>
      <c r="L714" t="s">
        <v>72</v>
      </c>
      <c r="M714" t="s">
        <v>76</v>
      </c>
      <c r="N714" t="s">
        <v>77</v>
      </c>
      <c r="O714" t="s">
        <v>72</v>
      </c>
      <c r="P714" t="s">
        <v>72</v>
      </c>
      <c r="Q714" t="s">
        <v>72</v>
      </c>
      <c r="R714" t="s">
        <v>72</v>
      </c>
      <c r="S714" t="s">
        <v>72</v>
      </c>
      <c r="T714" t="s">
        <v>11505</v>
      </c>
      <c r="U714" t="s">
        <v>11506</v>
      </c>
      <c r="V714" t="s">
        <v>11507</v>
      </c>
      <c r="W714" t="s">
        <v>11508</v>
      </c>
      <c r="X714" t="s">
        <v>11509</v>
      </c>
      <c r="Y714" t="s">
        <v>11510</v>
      </c>
      <c r="Z714" t="s">
        <v>11511</v>
      </c>
      <c r="AA714" t="s">
        <v>72</v>
      </c>
      <c r="AB714" t="s">
        <v>72</v>
      </c>
      <c r="AC714" t="s">
        <v>72</v>
      </c>
      <c r="AD714" t="s">
        <v>72</v>
      </c>
      <c r="AE714" t="s">
        <v>72</v>
      </c>
      <c r="AF714" t="s">
        <v>72</v>
      </c>
      <c r="AG714">
        <v>72</v>
      </c>
      <c r="AH714">
        <v>1</v>
      </c>
      <c r="AI714">
        <v>1</v>
      </c>
      <c r="AJ714">
        <v>1</v>
      </c>
      <c r="AK714">
        <v>1</v>
      </c>
      <c r="AL714" t="s">
        <v>1596</v>
      </c>
      <c r="AM714" t="s">
        <v>451</v>
      </c>
      <c r="AN714" t="s">
        <v>1597</v>
      </c>
      <c r="AO714" t="s">
        <v>11512</v>
      </c>
      <c r="AP714" t="s">
        <v>11513</v>
      </c>
      <c r="AQ714" t="s">
        <v>72</v>
      </c>
      <c r="AR714" t="s">
        <v>11514</v>
      </c>
      <c r="AS714" t="s">
        <v>11515</v>
      </c>
      <c r="AT714" t="s">
        <v>299</v>
      </c>
      <c r="AU714">
        <v>2022</v>
      </c>
      <c r="AV714">
        <v>32</v>
      </c>
      <c r="AW714">
        <v>2</v>
      </c>
      <c r="AX714" t="s">
        <v>72</v>
      </c>
      <c r="AY714" t="s">
        <v>72</v>
      </c>
      <c r="AZ714" t="s">
        <v>72</v>
      </c>
      <c r="BA714" t="s">
        <v>72</v>
      </c>
      <c r="BB714" t="s">
        <v>72</v>
      </c>
      <c r="BC714" t="s">
        <v>72</v>
      </c>
      <c r="BD714">
        <v>100409</v>
      </c>
      <c r="BE714" t="s">
        <v>11516</v>
      </c>
      <c r="BF714" t="str">
        <f>HYPERLINK("http://dx.doi.org/10.1016/j.infoorg.2022.100409","http://dx.doi.org/10.1016/j.infoorg.2022.100409")</f>
        <v>http://dx.doi.org/10.1016/j.infoorg.2022.100409</v>
      </c>
      <c r="BG714" t="s">
        <v>72</v>
      </c>
      <c r="BH714" t="s">
        <v>72</v>
      </c>
      <c r="BI714">
        <v>16</v>
      </c>
      <c r="BJ714" t="s">
        <v>11517</v>
      </c>
      <c r="BK714" t="s">
        <v>11518</v>
      </c>
      <c r="BL714" t="s">
        <v>11519</v>
      </c>
      <c r="BM714" t="s">
        <v>72</v>
      </c>
      <c r="BN714" t="s">
        <v>72</v>
      </c>
      <c r="BO714" t="s">
        <v>72</v>
      </c>
      <c r="BP714" t="s">
        <v>72</v>
      </c>
      <c r="BQ714" t="s">
        <v>100</v>
      </c>
      <c r="BR714" t="s">
        <v>11520</v>
      </c>
      <c r="BS714" t="str">
        <f>HYPERLINK("https%3A%2F%2Fwww.webofscience.com%2Fwos%2Fwoscc%2Ffull-record%2FWOS:000880414400005","View Full Record in Web of Science")</f>
        <v>View Full Record in Web of Science</v>
      </c>
    </row>
    <row r="715" spans="1:71" hidden="1" x14ac:dyDescent="0.2">
      <c r="A715" t="s">
        <v>70</v>
      </c>
      <c r="B715" t="s">
        <v>869</v>
      </c>
      <c r="C715" t="s">
        <v>72</v>
      </c>
      <c r="D715" t="s">
        <v>72</v>
      </c>
      <c r="E715" t="s">
        <v>72</v>
      </c>
      <c r="F715" t="s">
        <v>870</v>
      </c>
      <c r="G715" t="s">
        <v>72</v>
      </c>
      <c r="H715" t="s">
        <v>72</v>
      </c>
      <c r="I715" t="s">
        <v>871</v>
      </c>
      <c r="J715" t="s">
        <v>872</v>
      </c>
      <c r="K715" t="s">
        <v>72</v>
      </c>
      <c r="L715" t="s">
        <v>72</v>
      </c>
      <c r="M715" t="s">
        <v>76</v>
      </c>
      <c r="N715" t="s">
        <v>77</v>
      </c>
      <c r="O715" t="s">
        <v>72</v>
      </c>
      <c r="P715" t="s">
        <v>72</v>
      </c>
      <c r="Q715" t="s">
        <v>72</v>
      </c>
      <c r="R715" t="s">
        <v>72</v>
      </c>
      <c r="S715" t="s">
        <v>72</v>
      </c>
      <c r="T715" t="s">
        <v>72</v>
      </c>
      <c r="U715" t="s">
        <v>873</v>
      </c>
      <c r="V715" t="s">
        <v>874</v>
      </c>
      <c r="W715" t="s">
        <v>875</v>
      </c>
      <c r="X715" t="s">
        <v>876</v>
      </c>
      <c r="Y715" t="s">
        <v>877</v>
      </c>
      <c r="Z715" t="s">
        <v>878</v>
      </c>
      <c r="AA715" t="s">
        <v>72</v>
      </c>
      <c r="AB715" t="s">
        <v>72</v>
      </c>
      <c r="AC715" t="s">
        <v>72</v>
      </c>
      <c r="AD715" t="s">
        <v>72</v>
      </c>
      <c r="AE715" t="s">
        <v>72</v>
      </c>
      <c r="AF715" t="s">
        <v>72</v>
      </c>
      <c r="AG715">
        <v>50</v>
      </c>
      <c r="AH715">
        <v>2</v>
      </c>
      <c r="AI715">
        <v>2</v>
      </c>
      <c r="AJ715">
        <v>0</v>
      </c>
      <c r="AK715">
        <v>23</v>
      </c>
      <c r="AL715" t="s">
        <v>879</v>
      </c>
      <c r="AM715" t="s">
        <v>451</v>
      </c>
      <c r="AN715" t="s">
        <v>880</v>
      </c>
      <c r="AO715" t="s">
        <v>881</v>
      </c>
      <c r="AP715" t="s">
        <v>882</v>
      </c>
      <c r="AQ715" t="s">
        <v>72</v>
      </c>
      <c r="AR715" t="s">
        <v>883</v>
      </c>
      <c r="AS715" t="s">
        <v>884</v>
      </c>
      <c r="AT715" t="s">
        <v>72</v>
      </c>
      <c r="AU715">
        <v>2011</v>
      </c>
      <c r="AV715">
        <v>11</v>
      </c>
      <c r="AW715">
        <v>3</v>
      </c>
      <c r="AX715" t="s">
        <v>72</v>
      </c>
      <c r="AY715" t="s">
        <v>72</v>
      </c>
      <c r="AZ715" t="s">
        <v>72</v>
      </c>
      <c r="BA715" t="s">
        <v>72</v>
      </c>
      <c r="BB715">
        <v>461</v>
      </c>
      <c r="BC715">
        <v>490</v>
      </c>
      <c r="BD715" t="s">
        <v>72</v>
      </c>
      <c r="BE715" t="s">
        <v>885</v>
      </c>
      <c r="BF715" t="str">
        <f>HYPERLINK("http://dx.doi.org/10.1093/irap/lcr001","http://dx.doi.org/10.1093/irap/lcr001")</f>
        <v>http://dx.doi.org/10.1093/irap/lcr001</v>
      </c>
      <c r="BG715" t="s">
        <v>72</v>
      </c>
      <c r="BH715" t="s">
        <v>72</v>
      </c>
      <c r="BI715">
        <v>30</v>
      </c>
      <c r="BJ715" t="s">
        <v>886</v>
      </c>
      <c r="BK715" t="s">
        <v>886</v>
      </c>
      <c r="BL715" t="s">
        <v>887</v>
      </c>
      <c r="BM715" t="s">
        <v>72</v>
      </c>
      <c r="BN715" t="s">
        <v>72</v>
      </c>
      <c r="BO715" t="s">
        <v>72</v>
      </c>
      <c r="BP715" t="s">
        <v>72</v>
      </c>
      <c r="BQ715" t="s">
        <v>100</v>
      </c>
      <c r="BR715" t="s">
        <v>888</v>
      </c>
      <c r="BS715" t="str">
        <f>HYPERLINK("https%3A%2F%2Fwww.webofscience.com%2Fwos%2Fwoscc%2Ffull-record%2FWOS:000294974900005","View Full Record in Web of Science")</f>
        <v>View Full Record in Web of Science</v>
      </c>
    </row>
    <row r="716" spans="1:71" hidden="1" x14ac:dyDescent="0.2">
      <c r="A716" t="s">
        <v>70</v>
      </c>
      <c r="B716" t="s">
        <v>7054</v>
      </c>
      <c r="C716" t="s">
        <v>72</v>
      </c>
      <c r="D716" t="s">
        <v>72</v>
      </c>
      <c r="E716" t="s">
        <v>72</v>
      </c>
      <c r="F716" t="s">
        <v>7055</v>
      </c>
      <c r="G716" t="s">
        <v>72</v>
      </c>
      <c r="H716" t="s">
        <v>72</v>
      </c>
      <c r="I716" t="s">
        <v>7056</v>
      </c>
      <c r="J716" t="s">
        <v>7057</v>
      </c>
      <c r="K716" t="s">
        <v>72</v>
      </c>
      <c r="L716" t="s">
        <v>72</v>
      </c>
      <c r="M716" t="s">
        <v>76</v>
      </c>
      <c r="N716" t="s">
        <v>77</v>
      </c>
      <c r="O716" t="s">
        <v>72</v>
      </c>
      <c r="P716" t="s">
        <v>72</v>
      </c>
      <c r="Q716" t="s">
        <v>72</v>
      </c>
      <c r="R716" t="s">
        <v>72</v>
      </c>
      <c r="S716" t="s">
        <v>72</v>
      </c>
      <c r="T716" t="s">
        <v>7058</v>
      </c>
      <c r="U716" t="s">
        <v>7059</v>
      </c>
      <c r="V716" t="s">
        <v>7060</v>
      </c>
      <c r="W716" t="s">
        <v>7061</v>
      </c>
      <c r="X716" t="s">
        <v>7062</v>
      </c>
      <c r="Y716" t="s">
        <v>7063</v>
      </c>
      <c r="Z716" t="s">
        <v>7064</v>
      </c>
      <c r="AA716" t="s">
        <v>7065</v>
      </c>
      <c r="AB716" t="s">
        <v>7066</v>
      </c>
      <c r="AC716" t="s">
        <v>72</v>
      </c>
      <c r="AD716" t="s">
        <v>72</v>
      </c>
      <c r="AE716" t="s">
        <v>72</v>
      </c>
      <c r="AF716" t="s">
        <v>72</v>
      </c>
      <c r="AG716">
        <v>68</v>
      </c>
      <c r="AH716">
        <v>5</v>
      </c>
      <c r="AI716">
        <v>5</v>
      </c>
      <c r="AJ716">
        <v>0</v>
      </c>
      <c r="AK716">
        <v>13</v>
      </c>
      <c r="AL716" t="s">
        <v>7067</v>
      </c>
      <c r="AM716" t="s">
        <v>7068</v>
      </c>
      <c r="AN716" t="s">
        <v>7069</v>
      </c>
      <c r="AO716" t="s">
        <v>7070</v>
      </c>
      <c r="AP716" t="s">
        <v>72</v>
      </c>
      <c r="AQ716" t="s">
        <v>72</v>
      </c>
      <c r="AR716" t="s">
        <v>7071</v>
      </c>
      <c r="AS716" t="s">
        <v>7072</v>
      </c>
      <c r="AT716" t="s">
        <v>776</v>
      </c>
      <c r="AU716">
        <v>2019</v>
      </c>
      <c r="AV716">
        <v>8</v>
      </c>
      <c r="AW716">
        <v>2</v>
      </c>
      <c r="AX716" t="s">
        <v>72</v>
      </c>
      <c r="AY716" t="s">
        <v>72</v>
      </c>
      <c r="AZ716" t="s">
        <v>72</v>
      </c>
      <c r="BA716" t="s">
        <v>72</v>
      </c>
      <c r="BB716">
        <v>183</v>
      </c>
      <c r="BC716">
        <v>204</v>
      </c>
      <c r="BD716" t="s">
        <v>72</v>
      </c>
      <c r="BE716" t="s">
        <v>72</v>
      </c>
      <c r="BF716" t="s">
        <v>72</v>
      </c>
      <c r="BG716" t="s">
        <v>72</v>
      </c>
      <c r="BH716" t="s">
        <v>72</v>
      </c>
      <c r="BI716">
        <v>22</v>
      </c>
      <c r="BJ716" t="s">
        <v>886</v>
      </c>
      <c r="BK716" t="s">
        <v>886</v>
      </c>
      <c r="BL716" t="s">
        <v>7073</v>
      </c>
      <c r="BM716" t="s">
        <v>72</v>
      </c>
      <c r="BN716" t="s">
        <v>72</v>
      </c>
      <c r="BO716" t="s">
        <v>72</v>
      </c>
      <c r="BP716" t="s">
        <v>72</v>
      </c>
      <c r="BQ716" t="s">
        <v>100</v>
      </c>
      <c r="BR716" t="s">
        <v>7074</v>
      </c>
      <c r="BS716" t="str">
        <f>HYPERLINK("https%3A%2F%2Fwww.webofscience.com%2Fwos%2Fwoscc%2Ffull-record%2FWOS:000473342000005","View Full Record in Web of Science")</f>
        <v>View Full Record in Web of Science</v>
      </c>
    </row>
    <row r="717" spans="1:71" hidden="1" x14ac:dyDescent="0.2">
      <c r="A717" t="s">
        <v>70</v>
      </c>
      <c r="B717" t="s">
        <v>8016</v>
      </c>
      <c r="C717" t="s">
        <v>72</v>
      </c>
      <c r="D717" t="s">
        <v>72</v>
      </c>
      <c r="E717" t="s">
        <v>72</v>
      </c>
      <c r="F717" t="s">
        <v>8017</v>
      </c>
      <c r="G717" t="s">
        <v>72</v>
      </c>
      <c r="H717" t="s">
        <v>72</v>
      </c>
      <c r="I717" t="s">
        <v>8018</v>
      </c>
      <c r="J717" t="s">
        <v>8019</v>
      </c>
      <c r="K717" t="s">
        <v>72</v>
      </c>
      <c r="L717" t="s">
        <v>72</v>
      </c>
      <c r="M717" t="s">
        <v>76</v>
      </c>
      <c r="N717" t="s">
        <v>77</v>
      </c>
      <c r="O717" t="s">
        <v>72</v>
      </c>
      <c r="P717" t="s">
        <v>72</v>
      </c>
      <c r="Q717" t="s">
        <v>72</v>
      </c>
      <c r="R717" t="s">
        <v>72</v>
      </c>
      <c r="S717" t="s">
        <v>72</v>
      </c>
      <c r="T717" t="s">
        <v>72</v>
      </c>
      <c r="U717" t="s">
        <v>8020</v>
      </c>
      <c r="V717" t="s">
        <v>8021</v>
      </c>
      <c r="W717" t="s">
        <v>8022</v>
      </c>
      <c r="X717" t="s">
        <v>1781</v>
      </c>
      <c r="Y717" t="s">
        <v>8023</v>
      </c>
      <c r="Z717" t="s">
        <v>72</v>
      </c>
      <c r="AA717" t="s">
        <v>6620</v>
      </c>
      <c r="AB717" t="s">
        <v>8024</v>
      </c>
      <c r="AC717" t="s">
        <v>72</v>
      </c>
      <c r="AD717" t="s">
        <v>72</v>
      </c>
      <c r="AE717" t="s">
        <v>72</v>
      </c>
      <c r="AF717" t="s">
        <v>72</v>
      </c>
      <c r="AG717">
        <v>55</v>
      </c>
      <c r="AH717">
        <v>1</v>
      </c>
      <c r="AI717">
        <v>1</v>
      </c>
      <c r="AJ717">
        <v>1</v>
      </c>
      <c r="AK717">
        <v>2</v>
      </c>
      <c r="AL717" t="s">
        <v>879</v>
      </c>
      <c r="AM717" t="s">
        <v>451</v>
      </c>
      <c r="AN717" t="s">
        <v>880</v>
      </c>
      <c r="AO717" t="s">
        <v>8025</v>
      </c>
      <c r="AP717" t="s">
        <v>8026</v>
      </c>
      <c r="AQ717" t="s">
        <v>72</v>
      </c>
      <c r="AR717" t="s">
        <v>8027</v>
      </c>
      <c r="AS717" t="s">
        <v>8028</v>
      </c>
      <c r="AT717" t="s">
        <v>776</v>
      </c>
      <c r="AU717">
        <v>2021</v>
      </c>
      <c r="AV717">
        <v>17</v>
      </c>
      <c r="AW717">
        <v>3</v>
      </c>
      <c r="AX717" t="s">
        <v>72</v>
      </c>
      <c r="AY717" t="s">
        <v>72</v>
      </c>
      <c r="AZ717" t="s">
        <v>72</v>
      </c>
      <c r="BA717" t="s">
        <v>72</v>
      </c>
      <c r="BB717" t="s">
        <v>72</v>
      </c>
      <c r="BC717" t="s">
        <v>72</v>
      </c>
      <c r="BD717" t="s">
        <v>8029</v>
      </c>
      <c r="BE717" t="s">
        <v>8030</v>
      </c>
      <c r="BF717" t="str">
        <f>HYPERLINK("http://dx.doi.org/10.1093/fpa/orab016","http://dx.doi.org/10.1093/fpa/orab016")</f>
        <v>http://dx.doi.org/10.1093/fpa/orab016</v>
      </c>
      <c r="BG717" t="s">
        <v>72</v>
      </c>
      <c r="BH717" t="s">
        <v>4075</v>
      </c>
      <c r="BI717">
        <v>20</v>
      </c>
      <c r="BJ717" t="s">
        <v>886</v>
      </c>
      <c r="BK717" t="s">
        <v>886</v>
      </c>
      <c r="BL717" t="s">
        <v>8031</v>
      </c>
      <c r="BM717" t="s">
        <v>72</v>
      </c>
      <c r="BN717" t="s">
        <v>72</v>
      </c>
      <c r="BO717" t="s">
        <v>72</v>
      </c>
      <c r="BP717" t="s">
        <v>72</v>
      </c>
      <c r="BQ717" t="s">
        <v>100</v>
      </c>
      <c r="BR717" t="s">
        <v>8032</v>
      </c>
      <c r="BS717" t="str">
        <f>HYPERLINK("https%3A%2F%2Fwww.webofscience.com%2Fwos%2Fwoscc%2Ffull-record%2FWOS:000745972800003","View Full Record in Web of Science")</f>
        <v>View Full Record in Web of Science</v>
      </c>
    </row>
    <row r="718" spans="1:71" hidden="1" x14ac:dyDescent="0.2">
      <c r="A718" t="s">
        <v>70</v>
      </c>
      <c r="B718" t="s">
        <v>9396</v>
      </c>
      <c r="C718" t="s">
        <v>72</v>
      </c>
      <c r="D718" t="s">
        <v>72</v>
      </c>
      <c r="E718" t="s">
        <v>72</v>
      </c>
      <c r="F718" t="s">
        <v>9397</v>
      </c>
      <c r="G718" t="s">
        <v>72</v>
      </c>
      <c r="H718" t="s">
        <v>72</v>
      </c>
      <c r="I718" t="s">
        <v>9398</v>
      </c>
      <c r="J718" t="s">
        <v>9399</v>
      </c>
      <c r="K718" t="s">
        <v>72</v>
      </c>
      <c r="L718" t="s">
        <v>72</v>
      </c>
      <c r="M718" t="s">
        <v>76</v>
      </c>
      <c r="N718" t="s">
        <v>77</v>
      </c>
      <c r="O718" t="s">
        <v>72</v>
      </c>
      <c r="P718" t="s">
        <v>72</v>
      </c>
      <c r="Q718" t="s">
        <v>72</v>
      </c>
      <c r="R718" t="s">
        <v>72</v>
      </c>
      <c r="S718" t="s">
        <v>72</v>
      </c>
      <c r="T718" t="s">
        <v>9400</v>
      </c>
      <c r="U718" t="s">
        <v>72</v>
      </c>
      <c r="V718" t="s">
        <v>9401</v>
      </c>
      <c r="W718" t="s">
        <v>72</v>
      </c>
      <c r="X718" t="s">
        <v>72</v>
      </c>
      <c r="Y718" t="s">
        <v>72</v>
      </c>
      <c r="Z718" t="s">
        <v>72</v>
      </c>
      <c r="AA718" t="s">
        <v>9402</v>
      </c>
      <c r="AB718" t="s">
        <v>9403</v>
      </c>
      <c r="AC718" t="s">
        <v>9404</v>
      </c>
      <c r="AD718" t="s">
        <v>9404</v>
      </c>
      <c r="AE718" t="s">
        <v>9405</v>
      </c>
      <c r="AF718" t="s">
        <v>72</v>
      </c>
      <c r="AG718">
        <v>82</v>
      </c>
      <c r="AH718">
        <v>0</v>
      </c>
      <c r="AI718">
        <v>0</v>
      </c>
      <c r="AJ718">
        <v>2</v>
      </c>
      <c r="AK718">
        <v>2</v>
      </c>
      <c r="AL718" t="s">
        <v>879</v>
      </c>
      <c r="AM718" t="s">
        <v>451</v>
      </c>
      <c r="AN718" t="s">
        <v>880</v>
      </c>
      <c r="AO718" t="s">
        <v>9406</v>
      </c>
      <c r="AP718" t="s">
        <v>9407</v>
      </c>
      <c r="AQ718" t="s">
        <v>72</v>
      </c>
      <c r="AR718" t="s">
        <v>9408</v>
      </c>
      <c r="AS718" t="s">
        <v>9409</v>
      </c>
      <c r="AT718" t="s">
        <v>5323</v>
      </c>
      <c r="AU718">
        <v>2022</v>
      </c>
      <c r="AV718">
        <v>23</v>
      </c>
      <c r="AW718">
        <v>3</v>
      </c>
      <c r="AX718" t="s">
        <v>72</v>
      </c>
      <c r="AY718" t="s">
        <v>72</v>
      </c>
      <c r="AZ718" t="s">
        <v>72</v>
      </c>
      <c r="BA718" t="s">
        <v>72</v>
      </c>
      <c r="BB718">
        <v>290</v>
      </c>
      <c r="BC718">
        <v>312</v>
      </c>
      <c r="BD718" t="s">
        <v>72</v>
      </c>
      <c r="BE718" t="s">
        <v>9410</v>
      </c>
      <c r="BF718" t="str">
        <f>HYPERLINK("http://dx.doi.org/10.1093/isp/ekac003","http://dx.doi.org/10.1093/isp/ekac003")</f>
        <v>http://dx.doi.org/10.1093/isp/ekac003</v>
      </c>
      <c r="BG718" t="s">
        <v>72</v>
      </c>
      <c r="BH718" t="s">
        <v>988</v>
      </c>
      <c r="BI718">
        <v>23</v>
      </c>
      <c r="BJ718" t="s">
        <v>886</v>
      </c>
      <c r="BK718" t="s">
        <v>886</v>
      </c>
      <c r="BL718" t="s">
        <v>9411</v>
      </c>
      <c r="BM718" t="s">
        <v>72</v>
      </c>
      <c r="BN718" t="s">
        <v>72</v>
      </c>
      <c r="BO718" t="s">
        <v>72</v>
      </c>
      <c r="BP718" t="s">
        <v>72</v>
      </c>
      <c r="BQ718" t="s">
        <v>100</v>
      </c>
      <c r="BR718" t="s">
        <v>9412</v>
      </c>
      <c r="BS718" t="str">
        <f>HYPERLINK("https%3A%2F%2Fwww.webofscience.com%2Fwos%2Fwoscc%2Ffull-record%2FWOS:000804863700001","View Full Record in Web of Science")</f>
        <v>View Full Record in Web of Science</v>
      </c>
    </row>
    <row r="719" spans="1:71" hidden="1" x14ac:dyDescent="0.2">
      <c r="A719" t="s">
        <v>70</v>
      </c>
      <c r="B719" t="s">
        <v>10292</v>
      </c>
      <c r="C719" t="s">
        <v>72</v>
      </c>
      <c r="D719" t="s">
        <v>72</v>
      </c>
      <c r="E719" t="s">
        <v>72</v>
      </c>
      <c r="F719" t="s">
        <v>10293</v>
      </c>
      <c r="G719" t="s">
        <v>72</v>
      </c>
      <c r="H719" t="s">
        <v>72</v>
      </c>
      <c r="I719" t="s">
        <v>10294</v>
      </c>
      <c r="J719" t="s">
        <v>7057</v>
      </c>
      <c r="K719" t="s">
        <v>72</v>
      </c>
      <c r="L719" t="s">
        <v>72</v>
      </c>
      <c r="M719" t="s">
        <v>76</v>
      </c>
      <c r="N719" t="s">
        <v>77</v>
      </c>
      <c r="O719" t="s">
        <v>72</v>
      </c>
      <c r="P719" t="s">
        <v>72</v>
      </c>
      <c r="Q719" t="s">
        <v>72</v>
      </c>
      <c r="R719" t="s">
        <v>72</v>
      </c>
      <c r="S719" t="s">
        <v>72</v>
      </c>
      <c r="T719" t="s">
        <v>10295</v>
      </c>
      <c r="U719" t="s">
        <v>10296</v>
      </c>
      <c r="V719" t="s">
        <v>10297</v>
      </c>
      <c r="W719" t="s">
        <v>10298</v>
      </c>
      <c r="X719" t="s">
        <v>10299</v>
      </c>
      <c r="Y719" t="s">
        <v>10300</v>
      </c>
      <c r="Z719" t="s">
        <v>10301</v>
      </c>
      <c r="AA719" t="s">
        <v>10302</v>
      </c>
      <c r="AB719" t="s">
        <v>10303</v>
      </c>
      <c r="AC719" t="s">
        <v>72</v>
      </c>
      <c r="AD719" t="s">
        <v>72</v>
      </c>
      <c r="AE719" t="s">
        <v>72</v>
      </c>
      <c r="AF719" t="s">
        <v>72</v>
      </c>
      <c r="AG719">
        <v>113</v>
      </c>
      <c r="AH719">
        <v>2</v>
      </c>
      <c r="AI719">
        <v>2</v>
      </c>
      <c r="AJ719">
        <v>0</v>
      </c>
      <c r="AK719">
        <v>9</v>
      </c>
      <c r="AL719" t="s">
        <v>7067</v>
      </c>
      <c r="AM719" t="s">
        <v>7068</v>
      </c>
      <c r="AN719" t="s">
        <v>7069</v>
      </c>
      <c r="AO719" t="s">
        <v>7070</v>
      </c>
      <c r="AP719" t="s">
        <v>72</v>
      </c>
      <c r="AQ719" t="s">
        <v>72</v>
      </c>
      <c r="AR719" t="s">
        <v>7071</v>
      </c>
      <c r="AS719" t="s">
        <v>7072</v>
      </c>
      <c r="AT719" t="s">
        <v>776</v>
      </c>
      <c r="AU719">
        <v>2019</v>
      </c>
      <c r="AV719">
        <v>8</v>
      </c>
      <c r="AW719">
        <v>2</v>
      </c>
      <c r="AX719" t="s">
        <v>72</v>
      </c>
      <c r="AY719" t="s">
        <v>72</v>
      </c>
      <c r="AZ719" t="s">
        <v>72</v>
      </c>
      <c r="BA719" t="s">
        <v>72</v>
      </c>
      <c r="BB719">
        <v>157</v>
      </c>
      <c r="BC719">
        <v>182</v>
      </c>
      <c r="BD719" t="s">
        <v>72</v>
      </c>
      <c r="BE719" t="s">
        <v>72</v>
      </c>
      <c r="BF719" t="s">
        <v>72</v>
      </c>
      <c r="BG719" t="s">
        <v>72</v>
      </c>
      <c r="BH719" t="s">
        <v>72</v>
      </c>
      <c r="BI719">
        <v>26</v>
      </c>
      <c r="BJ719" t="s">
        <v>886</v>
      </c>
      <c r="BK719" t="s">
        <v>886</v>
      </c>
      <c r="BL719" t="s">
        <v>7073</v>
      </c>
      <c r="BM719" t="s">
        <v>72</v>
      </c>
      <c r="BN719" t="s">
        <v>72</v>
      </c>
      <c r="BO719" t="s">
        <v>72</v>
      </c>
      <c r="BP719" t="s">
        <v>72</v>
      </c>
      <c r="BQ719" t="s">
        <v>100</v>
      </c>
      <c r="BR719" t="s">
        <v>10304</v>
      </c>
      <c r="BS719" t="str">
        <f>HYPERLINK("https%3A%2F%2Fwww.webofscience.com%2Fwos%2Fwoscc%2Ffull-record%2FWOS:000473342000004","View Full Record in Web of Science")</f>
        <v>View Full Record in Web of Science</v>
      </c>
    </row>
    <row r="720" spans="1:71" hidden="1" x14ac:dyDescent="0.2">
      <c r="A720" t="s">
        <v>70</v>
      </c>
      <c r="B720" t="s">
        <v>10758</v>
      </c>
      <c r="C720" t="s">
        <v>72</v>
      </c>
      <c r="D720" t="s">
        <v>72</v>
      </c>
      <c r="E720" t="s">
        <v>72</v>
      </c>
      <c r="F720" t="s">
        <v>10759</v>
      </c>
      <c r="G720" t="s">
        <v>72</v>
      </c>
      <c r="H720" t="s">
        <v>72</v>
      </c>
      <c r="I720" t="s">
        <v>10760</v>
      </c>
      <c r="J720" t="s">
        <v>10761</v>
      </c>
      <c r="K720" t="s">
        <v>72</v>
      </c>
      <c r="L720" t="s">
        <v>72</v>
      </c>
      <c r="M720" t="s">
        <v>76</v>
      </c>
      <c r="N720" t="s">
        <v>77</v>
      </c>
      <c r="O720" t="s">
        <v>72</v>
      </c>
      <c r="P720" t="s">
        <v>72</v>
      </c>
      <c r="Q720" t="s">
        <v>72</v>
      </c>
      <c r="R720" t="s">
        <v>72</v>
      </c>
      <c r="S720" t="s">
        <v>72</v>
      </c>
      <c r="T720" t="s">
        <v>10762</v>
      </c>
      <c r="U720" t="s">
        <v>10763</v>
      </c>
      <c r="V720" t="s">
        <v>10764</v>
      </c>
      <c r="W720" t="s">
        <v>10765</v>
      </c>
      <c r="X720" t="s">
        <v>10766</v>
      </c>
      <c r="Y720" t="s">
        <v>10767</v>
      </c>
      <c r="Z720" t="s">
        <v>10768</v>
      </c>
      <c r="AA720" t="s">
        <v>10769</v>
      </c>
      <c r="AB720" t="s">
        <v>10770</v>
      </c>
      <c r="AC720" t="s">
        <v>10771</v>
      </c>
      <c r="AD720" t="s">
        <v>10772</v>
      </c>
      <c r="AE720" t="s">
        <v>10773</v>
      </c>
      <c r="AF720" t="s">
        <v>72</v>
      </c>
      <c r="AG720">
        <v>48</v>
      </c>
      <c r="AH720">
        <v>19</v>
      </c>
      <c r="AI720">
        <v>19</v>
      </c>
      <c r="AJ720">
        <v>0</v>
      </c>
      <c r="AK720">
        <v>6</v>
      </c>
      <c r="AL720" t="s">
        <v>364</v>
      </c>
      <c r="AM720" t="s">
        <v>365</v>
      </c>
      <c r="AN720" t="s">
        <v>366</v>
      </c>
      <c r="AO720" t="s">
        <v>10774</v>
      </c>
      <c r="AP720" t="s">
        <v>10775</v>
      </c>
      <c r="AQ720" t="s">
        <v>72</v>
      </c>
      <c r="AR720" t="s">
        <v>10776</v>
      </c>
      <c r="AS720" t="s">
        <v>10777</v>
      </c>
      <c r="AT720" t="s">
        <v>72</v>
      </c>
      <c r="AU720">
        <v>2017</v>
      </c>
      <c r="AV720">
        <v>43</v>
      </c>
      <c r="AW720">
        <v>6</v>
      </c>
      <c r="AX720" t="s">
        <v>72</v>
      </c>
      <c r="AY720" t="s">
        <v>72</v>
      </c>
      <c r="AZ720" t="s">
        <v>72</v>
      </c>
      <c r="BA720" t="s">
        <v>72</v>
      </c>
      <c r="BB720">
        <v>920</v>
      </c>
      <c r="BC720">
        <v>940</v>
      </c>
      <c r="BD720" t="s">
        <v>72</v>
      </c>
      <c r="BE720" t="s">
        <v>10778</v>
      </c>
      <c r="BF720" t="str">
        <f>HYPERLINK("http://dx.doi.org/10.1080/03050629.2017.1311258","http://dx.doi.org/10.1080/03050629.2017.1311258")</f>
        <v>http://dx.doi.org/10.1080/03050629.2017.1311258</v>
      </c>
      <c r="BG720" t="s">
        <v>72</v>
      </c>
      <c r="BH720" t="s">
        <v>72</v>
      </c>
      <c r="BI720">
        <v>21</v>
      </c>
      <c r="BJ720" t="s">
        <v>886</v>
      </c>
      <c r="BK720" t="s">
        <v>886</v>
      </c>
      <c r="BL720" t="s">
        <v>10779</v>
      </c>
      <c r="BM720" t="s">
        <v>72</v>
      </c>
      <c r="BN720" t="s">
        <v>72</v>
      </c>
      <c r="BO720" t="s">
        <v>72</v>
      </c>
      <c r="BP720" t="s">
        <v>72</v>
      </c>
      <c r="BQ720" t="s">
        <v>100</v>
      </c>
      <c r="BR720" t="s">
        <v>10780</v>
      </c>
      <c r="BS720" t="str">
        <f>HYPERLINK("https%3A%2F%2Fwww.webofscience.com%2Fwos%2Fwoscc%2Ffull-record%2FWOS:000415642800002","View Full Record in Web of Science")</f>
        <v>View Full Record in Web of Science</v>
      </c>
    </row>
    <row r="721" spans="1:71" hidden="1" x14ac:dyDescent="0.2">
      <c r="A721" t="s">
        <v>70</v>
      </c>
      <c r="B721" t="s">
        <v>11050</v>
      </c>
      <c r="C721" t="s">
        <v>72</v>
      </c>
      <c r="D721" t="s">
        <v>72</v>
      </c>
      <c r="E721" t="s">
        <v>72</v>
      </c>
      <c r="F721" t="s">
        <v>11051</v>
      </c>
      <c r="G721" t="s">
        <v>72</v>
      </c>
      <c r="H721" t="s">
        <v>72</v>
      </c>
      <c r="I721" t="s">
        <v>11052</v>
      </c>
      <c r="J721" t="s">
        <v>11053</v>
      </c>
      <c r="K721" t="s">
        <v>72</v>
      </c>
      <c r="L721" t="s">
        <v>72</v>
      </c>
      <c r="M721" t="s">
        <v>76</v>
      </c>
      <c r="N721" t="s">
        <v>77</v>
      </c>
      <c r="O721" t="s">
        <v>72</v>
      </c>
      <c r="P721" t="s">
        <v>72</v>
      </c>
      <c r="Q721" t="s">
        <v>72</v>
      </c>
      <c r="R721" t="s">
        <v>72</v>
      </c>
      <c r="S721" t="s">
        <v>72</v>
      </c>
      <c r="T721" t="s">
        <v>11054</v>
      </c>
      <c r="U721" t="s">
        <v>72</v>
      </c>
      <c r="V721" t="s">
        <v>11055</v>
      </c>
      <c r="W721" t="s">
        <v>11056</v>
      </c>
      <c r="X721" t="s">
        <v>11057</v>
      </c>
      <c r="Y721" t="s">
        <v>11058</v>
      </c>
      <c r="Z721" t="s">
        <v>11059</v>
      </c>
      <c r="AA721" t="s">
        <v>72</v>
      </c>
      <c r="AB721" t="s">
        <v>72</v>
      </c>
      <c r="AC721" t="s">
        <v>72</v>
      </c>
      <c r="AD721" t="s">
        <v>72</v>
      </c>
      <c r="AE721" t="s">
        <v>72</v>
      </c>
      <c r="AF721" t="s">
        <v>72</v>
      </c>
      <c r="AG721">
        <v>48</v>
      </c>
      <c r="AH721">
        <v>2</v>
      </c>
      <c r="AI721">
        <v>2</v>
      </c>
      <c r="AJ721">
        <v>0</v>
      </c>
      <c r="AK721">
        <v>10</v>
      </c>
      <c r="AL721" t="s">
        <v>11060</v>
      </c>
      <c r="AM721" t="s">
        <v>11061</v>
      </c>
      <c r="AN721" t="s">
        <v>11062</v>
      </c>
      <c r="AO721" t="s">
        <v>11063</v>
      </c>
      <c r="AP721" t="s">
        <v>72</v>
      </c>
      <c r="AQ721" t="s">
        <v>72</v>
      </c>
      <c r="AR721" t="s">
        <v>11064</v>
      </c>
      <c r="AS721" t="s">
        <v>11065</v>
      </c>
      <c r="AT721" t="s">
        <v>72</v>
      </c>
      <c r="AU721">
        <v>2015</v>
      </c>
      <c r="AV721">
        <v>12</v>
      </c>
      <c r="AW721">
        <v>45</v>
      </c>
      <c r="AX721" t="s">
        <v>72</v>
      </c>
      <c r="AY721" t="s">
        <v>72</v>
      </c>
      <c r="AZ721" t="s">
        <v>72</v>
      </c>
      <c r="BA721" t="s">
        <v>72</v>
      </c>
      <c r="BB721">
        <v>39</v>
      </c>
      <c r="BC721">
        <v>60</v>
      </c>
      <c r="BD721" t="s">
        <v>72</v>
      </c>
      <c r="BE721" t="s">
        <v>72</v>
      </c>
      <c r="BF721" t="s">
        <v>72</v>
      </c>
      <c r="BG721" t="s">
        <v>72</v>
      </c>
      <c r="BH721" t="s">
        <v>72</v>
      </c>
      <c r="BI721">
        <v>22</v>
      </c>
      <c r="BJ721" t="s">
        <v>886</v>
      </c>
      <c r="BK721" t="s">
        <v>886</v>
      </c>
      <c r="BL721" t="s">
        <v>11066</v>
      </c>
      <c r="BM721" t="s">
        <v>72</v>
      </c>
      <c r="BN721" t="s">
        <v>72</v>
      </c>
      <c r="BO721" t="s">
        <v>72</v>
      </c>
      <c r="BP721" t="s">
        <v>72</v>
      </c>
      <c r="BQ721" t="s">
        <v>100</v>
      </c>
      <c r="BR721" t="s">
        <v>11067</v>
      </c>
      <c r="BS721" t="str">
        <f>HYPERLINK("https%3A%2F%2Fwww.webofscience.com%2Fwos%2Fwoscc%2Ffull-record%2FWOS:000361501000003","View Full Record in Web of Science")</f>
        <v>View Full Record in Web of Science</v>
      </c>
    </row>
    <row r="722" spans="1:71" hidden="1" x14ac:dyDescent="0.2">
      <c r="A722" t="s">
        <v>70</v>
      </c>
      <c r="B722" t="s">
        <v>12023</v>
      </c>
      <c r="C722" t="s">
        <v>72</v>
      </c>
      <c r="D722" t="s">
        <v>72</v>
      </c>
      <c r="E722" t="s">
        <v>72</v>
      </c>
      <c r="F722" t="s">
        <v>12024</v>
      </c>
      <c r="G722" t="s">
        <v>72</v>
      </c>
      <c r="H722" t="s">
        <v>72</v>
      </c>
      <c r="I722" t="s">
        <v>12025</v>
      </c>
      <c r="J722" t="s">
        <v>9399</v>
      </c>
      <c r="K722" t="s">
        <v>72</v>
      </c>
      <c r="L722" t="s">
        <v>72</v>
      </c>
      <c r="M722" t="s">
        <v>76</v>
      </c>
      <c r="N722" t="s">
        <v>77</v>
      </c>
      <c r="O722" t="s">
        <v>72</v>
      </c>
      <c r="P722" t="s">
        <v>72</v>
      </c>
      <c r="Q722" t="s">
        <v>72</v>
      </c>
      <c r="R722" t="s">
        <v>72</v>
      </c>
      <c r="S722" t="s">
        <v>72</v>
      </c>
      <c r="T722" t="s">
        <v>12026</v>
      </c>
      <c r="U722" t="s">
        <v>12027</v>
      </c>
      <c r="V722" t="s">
        <v>12028</v>
      </c>
      <c r="W722" t="s">
        <v>12029</v>
      </c>
      <c r="X722" t="s">
        <v>12030</v>
      </c>
      <c r="Y722" t="s">
        <v>12031</v>
      </c>
      <c r="Z722" t="s">
        <v>72</v>
      </c>
      <c r="AA722" t="s">
        <v>72</v>
      </c>
      <c r="AB722" t="s">
        <v>12032</v>
      </c>
      <c r="AC722" t="s">
        <v>12033</v>
      </c>
      <c r="AD722" t="s">
        <v>188</v>
      </c>
      <c r="AE722" t="s">
        <v>12034</v>
      </c>
      <c r="AF722" t="s">
        <v>72</v>
      </c>
      <c r="AG722">
        <v>43</v>
      </c>
      <c r="AH722">
        <v>1</v>
      </c>
      <c r="AI722">
        <v>1</v>
      </c>
      <c r="AJ722">
        <v>2</v>
      </c>
      <c r="AK722">
        <v>8</v>
      </c>
      <c r="AL722" t="s">
        <v>879</v>
      </c>
      <c r="AM722" t="s">
        <v>451</v>
      </c>
      <c r="AN722" t="s">
        <v>880</v>
      </c>
      <c r="AO722" t="s">
        <v>9406</v>
      </c>
      <c r="AP722" t="s">
        <v>9407</v>
      </c>
      <c r="AQ722" t="s">
        <v>72</v>
      </c>
      <c r="AR722" t="s">
        <v>9408</v>
      </c>
      <c r="AS722" t="s">
        <v>9409</v>
      </c>
      <c r="AT722" t="s">
        <v>197</v>
      </c>
      <c r="AU722">
        <v>2021</v>
      </c>
      <c r="AV722">
        <v>22</v>
      </c>
      <c r="AW722">
        <v>2</v>
      </c>
      <c r="AX722" t="s">
        <v>72</v>
      </c>
      <c r="AY722" t="s">
        <v>72</v>
      </c>
      <c r="AZ722" t="s">
        <v>72</v>
      </c>
      <c r="BA722" t="s">
        <v>72</v>
      </c>
      <c r="BB722">
        <v>181</v>
      </c>
      <c r="BC722">
        <v>200</v>
      </c>
      <c r="BD722" t="s">
        <v>72</v>
      </c>
      <c r="BE722" t="s">
        <v>12035</v>
      </c>
      <c r="BF722" t="str">
        <f>HYPERLINK("http://dx.doi.org/10.1093/isp/ekaa006","http://dx.doi.org/10.1093/isp/ekaa006")</f>
        <v>http://dx.doi.org/10.1093/isp/ekaa006</v>
      </c>
      <c r="BG722" t="s">
        <v>72</v>
      </c>
      <c r="BH722" t="s">
        <v>72</v>
      </c>
      <c r="BI722">
        <v>20</v>
      </c>
      <c r="BJ722" t="s">
        <v>886</v>
      </c>
      <c r="BK722" t="s">
        <v>886</v>
      </c>
      <c r="BL722" t="s">
        <v>12036</v>
      </c>
      <c r="BM722" t="s">
        <v>72</v>
      </c>
      <c r="BN722" t="s">
        <v>72</v>
      </c>
      <c r="BO722" t="s">
        <v>72</v>
      </c>
      <c r="BP722" t="s">
        <v>72</v>
      </c>
      <c r="BQ722" t="s">
        <v>100</v>
      </c>
      <c r="BR722" t="s">
        <v>12037</v>
      </c>
      <c r="BS722" t="str">
        <f>HYPERLINK("https%3A%2F%2Fwww.webofscience.com%2Fwos%2Fwoscc%2Ffull-record%2FWOS:000651836100003","View Full Record in Web of Science")</f>
        <v>View Full Record in Web of Science</v>
      </c>
    </row>
    <row r="723" spans="1:71" hidden="1" x14ac:dyDescent="0.2">
      <c r="A723" t="s">
        <v>70</v>
      </c>
      <c r="B723" t="s">
        <v>10736</v>
      </c>
      <c r="C723" t="s">
        <v>72</v>
      </c>
      <c r="D723" t="s">
        <v>72</v>
      </c>
      <c r="E723" t="s">
        <v>72</v>
      </c>
      <c r="F723" t="s">
        <v>10737</v>
      </c>
      <c r="G723" t="s">
        <v>72</v>
      </c>
      <c r="H723" t="s">
        <v>72</v>
      </c>
      <c r="I723" t="s">
        <v>13639</v>
      </c>
      <c r="J723" t="s">
        <v>13640</v>
      </c>
      <c r="K723" t="s">
        <v>72</v>
      </c>
      <c r="L723" t="s">
        <v>72</v>
      </c>
      <c r="M723" t="s">
        <v>76</v>
      </c>
      <c r="N723" t="s">
        <v>352</v>
      </c>
      <c r="O723" t="s">
        <v>72</v>
      </c>
      <c r="P723" t="s">
        <v>72</v>
      </c>
      <c r="Q723" t="s">
        <v>72</v>
      </c>
      <c r="R723" t="s">
        <v>72</v>
      </c>
      <c r="S723" t="s">
        <v>72</v>
      </c>
      <c r="T723" t="s">
        <v>13641</v>
      </c>
      <c r="U723" t="s">
        <v>13642</v>
      </c>
      <c r="V723" t="s">
        <v>13643</v>
      </c>
      <c r="W723" t="s">
        <v>13644</v>
      </c>
      <c r="X723" t="s">
        <v>10744</v>
      </c>
      <c r="Y723" t="s">
        <v>13645</v>
      </c>
      <c r="Z723" t="s">
        <v>10746</v>
      </c>
      <c r="AA723" t="s">
        <v>72</v>
      </c>
      <c r="AB723" t="s">
        <v>10747</v>
      </c>
      <c r="AC723" t="s">
        <v>13646</v>
      </c>
      <c r="AD723" t="s">
        <v>13647</v>
      </c>
      <c r="AE723" t="s">
        <v>13648</v>
      </c>
      <c r="AF723" t="s">
        <v>72</v>
      </c>
      <c r="AG723">
        <v>110</v>
      </c>
      <c r="AH723">
        <v>0</v>
      </c>
      <c r="AI723">
        <v>0</v>
      </c>
      <c r="AJ723">
        <v>2</v>
      </c>
      <c r="AK723">
        <v>3</v>
      </c>
      <c r="AL723" t="s">
        <v>336</v>
      </c>
      <c r="AM723" t="s">
        <v>337</v>
      </c>
      <c r="AN723" t="s">
        <v>338</v>
      </c>
      <c r="AO723" t="s">
        <v>13649</v>
      </c>
      <c r="AP723" t="s">
        <v>13650</v>
      </c>
      <c r="AQ723" t="s">
        <v>72</v>
      </c>
      <c r="AR723" t="s">
        <v>13651</v>
      </c>
      <c r="AS723" t="s">
        <v>13652</v>
      </c>
      <c r="AT723" t="s">
        <v>72</v>
      </c>
      <c r="AU723" t="s">
        <v>72</v>
      </c>
      <c r="AV723" t="s">
        <v>72</v>
      </c>
      <c r="AW723" t="s">
        <v>72</v>
      </c>
      <c r="AX723" t="s">
        <v>72</v>
      </c>
      <c r="AY723" t="s">
        <v>72</v>
      </c>
      <c r="AZ723" t="s">
        <v>72</v>
      </c>
      <c r="BA723" t="s">
        <v>72</v>
      </c>
      <c r="BB723" t="s">
        <v>72</v>
      </c>
      <c r="BC723" t="s">
        <v>72</v>
      </c>
      <c r="BD723">
        <v>471178221082870</v>
      </c>
      <c r="BE723" t="s">
        <v>13653</v>
      </c>
      <c r="BF723" t="str">
        <f>HYPERLINK("http://dx.doi.org/10.1177/00471178221082870","http://dx.doi.org/10.1177/00471178221082870")</f>
        <v>http://dx.doi.org/10.1177/00471178221082870</v>
      </c>
      <c r="BG723" t="s">
        <v>72</v>
      </c>
      <c r="BH723" t="s">
        <v>2211</v>
      </c>
      <c r="BI723">
        <v>22</v>
      </c>
      <c r="BJ723" t="s">
        <v>886</v>
      </c>
      <c r="BK723" t="s">
        <v>886</v>
      </c>
      <c r="BL723" t="s">
        <v>13654</v>
      </c>
      <c r="BM723" t="s">
        <v>72</v>
      </c>
      <c r="BN723" t="s">
        <v>2403</v>
      </c>
      <c r="BO723" t="s">
        <v>72</v>
      </c>
      <c r="BP723" t="s">
        <v>72</v>
      </c>
      <c r="BQ723" t="s">
        <v>100</v>
      </c>
      <c r="BR723" t="s">
        <v>13655</v>
      </c>
      <c r="BS723" t="str">
        <f>HYPERLINK("https%3A%2F%2Fwww.webofscience.com%2Fwos%2Fwoscc%2Ffull-record%2FWOS:000775685700001","View Full Record in Web of Science")</f>
        <v>View Full Record in Web of Science</v>
      </c>
    </row>
    <row r="724" spans="1:71" hidden="1" x14ac:dyDescent="0.2">
      <c r="A724" t="s">
        <v>70</v>
      </c>
      <c r="B724" t="s">
        <v>13772</v>
      </c>
      <c r="C724" t="s">
        <v>72</v>
      </c>
      <c r="D724" t="s">
        <v>72</v>
      </c>
      <c r="E724" t="s">
        <v>72</v>
      </c>
      <c r="F724" t="s">
        <v>13773</v>
      </c>
      <c r="G724" t="s">
        <v>72</v>
      </c>
      <c r="H724" t="s">
        <v>72</v>
      </c>
      <c r="I724" t="s">
        <v>13774</v>
      </c>
      <c r="J724" t="s">
        <v>10761</v>
      </c>
      <c r="K724" t="s">
        <v>72</v>
      </c>
      <c r="L724" t="s">
        <v>72</v>
      </c>
      <c r="M724" t="s">
        <v>76</v>
      </c>
      <c r="N724" t="s">
        <v>77</v>
      </c>
      <c r="O724" t="s">
        <v>72</v>
      </c>
      <c r="P724" t="s">
        <v>72</v>
      </c>
      <c r="Q724" t="s">
        <v>72</v>
      </c>
      <c r="R724" t="s">
        <v>72</v>
      </c>
      <c r="S724" t="s">
        <v>72</v>
      </c>
      <c r="T724" t="s">
        <v>13775</v>
      </c>
      <c r="U724" t="s">
        <v>8692</v>
      </c>
      <c r="V724" t="s">
        <v>13776</v>
      </c>
      <c r="W724" t="s">
        <v>13777</v>
      </c>
      <c r="X724" t="s">
        <v>13778</v>
      </c>
      <c r="Y724" t="s">
        <v>13779</v>
      </c>
      <c r="Z724" t="s">
        <v>13780</v>
      </c>
      <c r="AA724" t="s">
        <v>13781</v>
      </c>
      <c r="AB724" t="s">
        <v>13782</v>
      </c>
      <c r="AC724" t="s">
        <v>72</v>
      </c>
      <c r="AD724" t="s">
        <v>72</v>
      </c>
      <c r="AE724" t="s">
        <v>72</v>
      </c>
      <c r="AF724" t="s">
        <v>72</v>
      </c>
      <c r="AG724">
        <v>22</v>
      </c>
      <c r="AH724">
        <v>7</v>
      </c>
      <c r="AI724">
        <v>7</v>
      </c>
      <c r="AJ724">
        <v>2</v>
      </c>
      <c r="AK724">
        <v>15</v>
      </c>
      <c r="AL724" t="s">
        <v>364</v>
      </c>
      <c r="AM724" t="s">
        <v>365</v>
      </c>
      <c r="AN724" t="s">
        <v>366</v>
      </c>
      <c r="AO724" t="s">
        <v>10774</v>
      </c>
      <c r="AP724" t="s">
        <v>10775</v>
      </c>
      <c r="AQ724" t="s">
        <v>72</v>
      </c>
      <c r="AR724" t="s">
        <v>10776</v>
      </c>
      <c r="AS724" t="s">
        <v>10777</v>
      </c>
      <c r="AT724" t="s">
        <v>72</v>
      </c>
      <c r="AU724">
        <v>2018</v>
      </c>
      <c r="AV724">
        <v>44</v>
      </c>
      <c r="AW724">
        <v>2</v>
      </c>
      <c r="AX724" t="s">
        <v>72</v>
      </c>
      <c r="AY724" t="s">
        <v>72</v>
      </c>
      <c r="AZ724" t="s">
        <v>72</v>
      </c>
      <c r="BA724" t="s">
        <v>72</v>
      </c>
      <c r="BB724">
        <v>321</v>
      </c>
      <c r="BC724">
        <v>336</v>
      </c>
      <c r="BD724" t="s">
        <v>72</v>
      </c>
      <c r="BE724" t="s">
        <v>13783</v>
      </c>
      <c r="BF724" t="str">
        <f>HYPERLINK("http://dx.doi.org/10.1080/03050629.2017.1345737","http://dx.doi.org/10.1080/03050629.2017.1345737")</f>
        <v>http://dx.doi.org/10.1080/03050629.2017.1345737</v>
      </c>
      <c r="BG724" t="s">
        <v>72</v>
      </c>
      <c r="BH724" t="s">
        <v>72</v>
      </c>
      <c r="BI724">
        <v>16</v>
      </c>
      <c r="BJ724" t="s">
        <v>886</v>
      </c>
      <c r="BK724" t="s">
        <v>886</v>
      </c>
      <c r="BL724" t="s">
        <v>13784</v>
      </c>
      <c r="BM724" t="s">
        <v>72</v>
      </c>
      <c r="BN724" t="s">
        <v>72</v>
      </c>
      <c r="BO724" t="s">
        <v>72</v>
      </c>
      <c r="BP724" t="s">
        <v>72</v>
      </c>
      <c r="BQ724" t="s">
        <v>100</v>
      </c>
      <c r="BR724" t="s">
        <v>13785</v>
      </c>
      <c r="BS724" t="str">
        <f>HYPERLINK("https%3A%2F%2Fwww.webofscience.com%2Fwos%2Fwoscc%2Ffull-record%2FWOS:000425699400006","View Full Record in Web of Science")</f>
        <v>View Full Record in Web of Science</v>
      </c>
    </row>
    <row r="725" spans="1:71" hidden="1" x14ac:dyDescent="0.2">
      <c r="A725" t="s">
        <v>70</v>
      </c>
      <c r="B725" t="s">
        <v>15017</v>
      </c>
      <c r="C725" t="s">
        <v>72</v>
      </c>
      <c r="D725" t="s">
        <v>72</v>
      </c>
      <c r="E725" t="s">
        <v>72</v>
      </c>
      <c r="F725" t="s">
        <v>15018</v>
      </c>
      <c r="G725" t="s">
        <v>72</v>
      </c>
      <c r="H725" t="s">
        <v>72</v>
      </c>
      <c r="I725" t="s">
        <v>15019</v>
      </c>
      <c r="J725" t="s">
        <v>13640</v>
      </c>
      <c r="K725" t="s">
        <v>72</v>
      </c>
      <c r="L725" t="s">
        <v>72</v>
      </c>
      <c r="M725" t="s">
        <v>76</v>
      </c>
      <c r="N725" t="s">
        <v>77</v>
      </c>
      <c r="O725" t="s">
        <v>72</v>
      </c>
      <c r="P725" t="s">
        <v>72</v>
      </c>
      <c r="Q725" t="s">
        <v>72</v>
      </c>
      <c r="R725" t="s">
        <v>72</v>
      </c>
      <c r="S725" t="s">
        <v>72</v>
      </c>
      <c r="T725" t="s">
        <v>15020</v>
      </c>
      <c r="U725" t="s">
        <v>15021</v>
      </c>
      <c r="V725" t="s">
        <v>15022</v>
      </c>
      <c r="W725" t="s">
        <v>15023</v>
      </c>
      <c r="X725" t="s">
        <v>15024</v>
      </c>
      <c r="Y725" t="s">
        <v>15025</v>
      </c>
      <c r="Z725" t="s">
        <v>15026</v>
      </c>
      <c r="AA725" t="s">
        <v>72</v>
      </c>
      <c r="AB725" t="s">
        <v>15027</v>
      </c>
      <c r="AC725" t="s">
        <v>72</v>
      </c>
      <c r="AD725" t="s">
        <v>72</v>
      </c>
      <c r="AE725" t="s">
        <v>72</v>
      </c>
      <c r="AF725" t="s">
        <v>72</v>
      </c>
      <c r="AG725">
        <v>112</v>
      </c>
      <c r="AH725">
        <v>4</v>
      </c>
      <c r="AI725">
        <v>4</v>
      </c>
      <c r="AJ725">
        <v>1</v>
      </c>
      <c r="AK725">
        <v>9</v>
      </c>
      <c r="AL725" t="s">
        <v>336</v>
      </c>
      <c r="AM725" t="s">
        <v>337</v>
      </c>
      <c r="AN725" t="s">
        <v>338</v>
      </c>
      <c r="AO725" t="s">
        <v>13649</v>
      </c>
      <c r="AP725" t="s">
        <v>13650</v>
      </c>
      <c r="AQ725" t="s">
        <v>72</v>
      </c>
      <c r="AR725" t="s">
        <v>13651</v>
      </c>
      <c r="AS725" t="s">
        <v>13652</v>
      </c>
      <c r="AT725" t="s">
        <v>299</v>
      </c>
      <c r="AU725">
        <v>2020</v>
      </c>
      <c r="AV725">
        <v>34</v>
      </c>
      <c r="AW725">
        <v>2</v>
      </c>
      <c r="AX725" t="s">
        <v>72</v>
      </c>
      <c r="AY725" t="s">
        <v>72</v>
      </c>
      <c r="AZ725" t="s">
        <v>72</v>
      </c>
      <c r="BA725" t="s">
        <v>72</v>
      </c>
      <c r="BB725">
        <v>180</v>
      </c>
      <c r="BC725">
        <v>203</v>
      </c>
      <c r="BD725">
        <v>47117819871996</v>
      </c>
      <c r="BE725" t="s">
        <v>15028</v>
      </c>
      <c r="BF725" t="str">
        <f>HYPERLINK("http://dx.doi.org/10.1177/0047117819871996","http://dx.doi.org/10.1177/0047117819871996")</f>
        <v>http://dx.doi.org/10.1177/0047117819871996</v>
      </c>
      <c r="BG725" t="s">
        <v>72</v>
      </c>
      <c r="BH725" t="s">
        <v>14258</v>
      </c>
      <c r="BI725">
        <v>24</v>
      </c>
      <c r="BJ725" t="s">
        <v>886</v>
      </c>
      <c r="BK725" t="s">
        <v>886</v>
      </c>
      <c r="BL725" t="s">
        <v>15029</v>
      </c>
      <c r="BM725" t="s">
        <v>72</v>
      </c>
      <c r="BN725" t="s">
        <v>72</v>
      </c>
      <c r="BO725" t="s">
        <v>72</v>
      </c>
      <c r="BP725" t="s">
        <v>72</v>
      </c>
      <c r="BQ725" t="s">
        <v>100</v>
      </c>
      <c r="BR725" t="s">
        <v>15030</v>
      </c>
      <c r="BS725" t="str">
        <f>HYPERLINK("https%3A%2F%2Fwww.webofscience.com%2Fwos%2Fwoscc%2Ffull-record%2FWOS:000485588400001","View Full Record in Web of Science")</f>
        <v>View Full Record in Web of Science</v>
      </c>
    </row>
    <row r="726" spans="1:71" hidden="1" x14ac:dyDescent="0.2">
      <c r="A726" t="s">
        <v>70</v>
      </c>
      <c r="B726" t="s">
        <v>15693</v>
      </c>
      <c r="C726" t="s">
        <v>72</v>
      </c>
      <c r="D726" t="s">
        <v>72</v>
      </c>
      <c r="E726" t="s">
        <v>72</v>
      </c>
      <c r="F726" t="s">
        <v>15694</v>
      </c>
      <c r="G726" t="s">
        <v>72</v>
      </c>
      <c r="H726" t="s">
        <v>72</v>
      </c>
      <c r="I726" t="s">
        <v>15695</v>
      </c>
      <c r="J726" t="s">
        <v>15696</v>
      </c>
      <c r="K726" t="s">
        <v>72</v>
      </c>
      <c r="L726" t="s">
        <v>72</v>
      </c>
      <c r="M726" t="s">
        <v>76</v>
      </c>
      <c r="N726" t="s">
        <v>77</v>
      </c>
      <c r="O726" t="s">
        <v>72</v>
      </c>
      <c r="P726" t="s">
        <v>72</v>
      </c>
      <c r="Q726" t="s">
        <v>72</v>
      </c>
      <c r="R726" t="s">
        <v>72</v>
      </c>
      <c r="S726" t="s">
        <v>72</v>
      </c>
      <c r="T726" t="s">
        <v>15697</v>
      </c>
      <c r="U726" t="s">
        <v>72</v>
      </c>
      <c r="V726" t="s">
        <v>15698</v>
      </c>
      <c r="W726" t="s">
        <v>15699</v>
      </c>
      <c r="X726" t="s">
        <v>15700</v>
      </c>
      <c r="Y726" t="s">
        <v>15701</v>
      </c>
      <c r="Z726" t="s">
        <v>15702</v>
      </c>
      <c r="AA726" t="s">
        <v>15703</v>
      </c>
      <c r="AB726" t="s">
        <v>15704</v>
      </c>
      <c r="AC726" t="s">
        <v>15705</v>
      </c>
      <c r="AD726" t="s">
        <v>15706</v>
      </c>
      <c r="AE726" t="s">
        <v>15707</v>
      </c>
      <c r="AF726" t="s">
        <v>72</v>
      </c>
      <c r="AG726">
        <v>29</v>
      </c>
      <c r="AH726">
        <v>5</v>
      </c>
      <c r="AI726">
        <v>5</v>
      </c>
      <c r="AJ726">
        <v>2</v>
      </c>
      <c r="AK726">
        <v>7</v>
      </c>
      <c r="AL726" t="s">
        <v>190</v>
      </c>
      <c r="AM726" t="s">
        <v>191</v>
      </c>
      <c r="AN726" t="s">
        <v>192</v>
      </c>
      <c r="AO726" t="s">
        <v>15708</v>
      </c>
      <c r="AP726" t="s">
        <v>15709</v>
      </c>
      <c r="AQ726" t="s">
        <v>72</v>
      </c>
      <c r="AR726" t="s">
        <v>15710</v>
      </c>
      <c r="AS726" t="s">
        <v>15711</v>
      </c>
      <c r="AT726" t="s">
        <v>951</v>
      </c>
      <c r="AU726">
        <v>2021</v>
      </c>
      <c r="AV726">
        <v>38</v>
      </c>
      <c r="AW726">
        <v>6</v>
      </c>
      <c r="AX726" t="s">
        <v>72</v>
      </c>
      <c r="AY726" t="s">
        <v>72</v>
      </c>
      <c r="AZ726" t="s">
        <v>72</v>
      </c>
      <c r="BA726" t="s">
        <v>72</v>
      </c>
      <c r="BB726">
        <v>762</v>
      </c>
      <c r="BC726">
        <v>781</v>
      </c>
      <c r="BD726">
        <v>738894220930326</v>
      </c>
      <c r="BE726" t="s">
        <v>15712</v>
      </c>
      <c r="BF726" t="str">
        <f>HYPERLINK("http://dx.doi.org/10.1177/0738894220930326","http://dx.doi.org/10.1177/0738894220930326")</f>
        <v>http://dx.doi.org/10.1177/0738894220930326</v>
      </c>
      <c r="BG726" t="s">
        <v>72</v>
      </c>
      <c r="BH726" t="s">
        <v>2942</v>
      </c>
      <c r="BI726">
        <v>20</v>
      </c>
      <c r="BJ726" t="s">
        <v>886</v>
      </c>
      <c r="BK726" t="s">
        <v>886</v>
      </c>
      <c r="BL726" t="s">
        <v>15713</v>
      </c>
      <c r="BM726" t="s">
        <v>72</v>
      </c>
      <c r="BN726" t="s">
        <v>1497</v>
      </c>
      <c r="BO726" t="s">
        <v>72</v>
      </c>
      <c r="BP726" t="s">
        <v>72</v>
      </c>
      <c r="BQ726" t="s">
        <v>100</v>
      </c>
      <c r="BR726" t="s">
        <v>15714</v>
      </c>
      <c r="BS726" t="str">
        <f>HYPERLINK("https%3A%2F%2Fwww.webofscience.com%2Fwos%2Fwoscc%2Ffull-record%2FWOS:000547460500001","View Full Record in Web of Science")</f>
        <v>View Full Record in Web of Science</v>
      </c>
    </row>
    <row r="727" spans="1:71" x14ac:dyDescent="0.2">
      <c r="A727" t="s">
        <v>70</v>
      </c>
      <c r="B727" t="s">
        <v>177</v>
      </c>
      <c r="C727" t="s">
        <v>72</v>
      </c>
      <c r="D727" t="s">
        <v>72</v>
      </c>
      <c r="E727" t="s">
        <v>72</v>
      </c>
      <c r="F727" t="s">
        <v>178</v>
      </c>
      <c r="G727" t="s">
        <v>72</v>
      </c>
      <c r="H727" t="s">
        <v>72</v>
      </c>
      <c r="I727" t="s">
        <v>179</v>
      </c>
      <c r="J727" t="s">
        <v>180</v>
      </c>
      <c r="K727" t="s">
        <v>72</v>
      </c>
      <c r="L727" t="s">
        <v>72</v>
      </c>
      <c r="M727" t="s">
        <v>76</v>
      </c>
      <c r="N727" t="s">
        <v>77</v>
      </c>
      <c r="O727" t="s">
        <v>72</v>
      </c>
      <c r="P727" t="s">
        <v>72</v>
      </c>
      <c r="Q727" t="s">
        <v>72</v>
      </c>
      <c r="R727" t="s">
        <v>72</v>
      </c>
      <c r="S727" t="s">
        <v>72</v>
      </c>
      <c r="T727" t="s">
        <v>181</v>
      </c>
      <c r="U727" t="s">
        <v>182</v>
      </c>
      <c r="V727" t="s">
        <v>183</v>
      </c>
      <c r="W727" t="s">
        <v>184</v>
      </c>
      <c r="X727" t="s">
        <v>72</v>
      </c>
      <c r="Y727" t="s">
        <v>185</v>
      </c>
      <c r="Z727" t="s">
        <v>186</v>
      </c>
      <c r="AA727" t="s">
        <v>72</v>
      </c>
      <c r="AB727" t="s">
        <v>72</v>
      </c>
      <c r="AC727" t="s">
        <v>187</v>
      </c>
      <c r="AD727" t="s">
        <v>188</v>
      </c>
      <c r="AE727" t="s">
        <v>189</v>
      </c>
      <c r="AF727" t="s">
        <v>72</v>
      </c>
      <c r="AG727">
        <v>42</v>
      </c>
      <c r="AH727">
        <v>4</v>
      </c>
      <c r="AI727">
        <v>4</v>
      </c>
      <c r="AJ727">
        <v>1</v>
      </c>
      <c r="AK727">
        <v>9</v>
      </c>
      <c r="AL727" t="s">
        <v>190</v>
      </c>
      <c r="AM727" t="s">
        <v>191</v>
      </c>
      <c r="AN727" t="s">
        <v>192</v>
      </c>
      <c r="AO727" t="s">
        <v>193</v>
      </c>
      <c r="AP727" t="s">
        <v>194</v>
      </c>
      <c r="AQ727" t="s">
        <v>72</v>
      </c>
      <c r="AR727" t="s">
        <v>195</v>
      </c>
      <c r="AS727" t="s">
        <v>196</v>
      </c>
      <c r="AT727" t="s">
        <v>197</v>
      </c>
      <c r="AU727">
        <v>2020</v>
      </c>
      <c r="AV727">
        <v>22</v>
      </c>
      <c r="AW727">
        <v>2</v>
      </c>
      <c r="AX727" t="s">
        <v>72</v>
      </c>
      <c r="AY727" t="s">
        <v>72</v>
      </c>
      <c r="AZ727" t="s">
        <v>72</v>
      </c>
      <c r="BA727" t="s">
        <v>72</v>
      </c>
      <c r="BB727">
        <v>256</v>
      </c>
      <c r="BC727">
        <v>273</v>
      </c>
      <c r="BD727">
        <v>1369148120910984</v>
      </c>
      <c r="BE727" t="s">
        <v>198</v>
      </c>
      <c r="BF727" t="str">
        <f>HYPERLINK("http://dx.doi.org/10.1177/1369148120910984","http://dx.doi.org/10.1177/1369148120910984")</f>
        <v>http://dx.doi.org/10.1177/1369148120910984</v>
      </c>
      <c r="BG727" t="s">
        <v>72</v>
      </c>
      <c r="BH727" t="s">
        <v>199</v>
      </c>
      <c r="BI727">
        <v>18</v>
      </c>
      <c r="BJ727" t="s">
        <v>200</v>
      </c>
      <c r="BK727" s="1" t="s">
        <v>17619</v>
      </c>
      <c r="BL727" t="s">
        <v>201</v>
      </c>
      <c r="BM727" t="s">
        <v>72</v>
      </c>
      <c r="BN727" t="s">
        <v>72</v>
      </c>
      <c r="BO727" t="s">
        <v>72</v>
      </c>
      <c r="BP727" t="s">
        <v>72</v>
      </c>
      <c r="BQ727" t="s">
        <v>100</v>
      </c>
      <c r="BR727" t="s">
        <v>202</v>
      </c>
      <c r="BS727" t="str">
        <f>HYPERLINK("https%3A%2F%2Fwww.webofscience.com%2Fwos%2Fwoscc%2Ffull-record%2FWOS:000523796600001","View Full Record in Web of Science")</f>
        <v>View Full Record in Web of Science</v>
      </c>
    </row>
    <row r="728" spans="1:71" x14ac:dyDescent="0.2">
      <c r="A728" t="s">
        <v>70</v>
      </c>
      <c r="B728" t="s">
        <v>324</v>
      </c>
      <c r="C728" t="s">
        <v>72</v>
      </c>
      <c r="D728" t="s">
        <v>72</v>
      </c>
      <c r="E728" t="s">
        <v>72</v>
      </c>
      <c r="F728" t="s">
        <v>325</v>
      </c>
      <c r="G728" t="s">
        <v>72</v>
      </c>
      <c r="H728" t="s">
        <v>72</v>
      </c>
      <c r="I728" t="s">
        <v>326</v>
      </c>
      <c r="J728" t="s">
        <v>327</v>
      </c>
      <c r="K728" t="s">
        <v>72</v>
      </c>
      <c r="L728" t="s">
        <v>72</v>
      </c>
      <c r="M728" t="s">
        <v>76</v>
      </c>
      <c r="N728" t="s">
        <v>77</v>
      </c>
      <c r="O728" t="s">
        <v>72</v>
      </c>
      <c r="P728" t="s">
        <v>72</v>
      </c>
      <c r="Q728" t="s">
        <v>72</v>
      </c>
      <c r="R728" t="s">
        <v>72</v>
      </c>
      <c r="S728" t="s">
        <v>72</v>
      </c>
      <c r="T728" t="s">
        <v>328</v>
      </c>
      <c r="U728" t="s">
        <v>72</v>
      </c>
      <c r="V728" t="s">
        <v>329</v>
      </c>
      <c r="W728" t="s">
        <v>330</v>
      </c>
      <c r="X728" t="s">
        <v>331</v>
      </c>
      <c r="Y728" t="s">
        <v>332</v>
      </c>
      <c r="Z728" t="s">
        <v>333</v>
      </c>
      <c r="AA728" t="s">
        <v>334</v>
      </c>
      <c r="AB728" t="s">
        <v>335</v>
      </c>
      <c r="AC728" t="s">
        <v>72</v>
      </c>
      <c r="AD728" t="s">
        <v>72</v>
      </c>
      <c r="AE728" t="s">
        <v>72</v>
      </c>
      <c r="AF728" t="s">
        <v>72</v>
      </c>
      <c r="AG728">
        <v>19</v>
      </c>
      <c r="AH728">
        <v>0</v>
      </c>
      <c r="AI728">
        <v>0</v>
      </c>
      <c r="AJ728">
        <v>0</v>
      </c>
      <c r="AK728">
        <v>5</v>
      </c>
      <c r="AL728" t="s">
        <v>336</v>
      </c>
      <c r="AM728" t="s">
        <v>337</v>
      </c>
      <c r="AN728" t="s">
        <v>338</v>
      </c>
      <c r="AO728" t="s">
        <v>339</v>
      </c>
      <c r="AP728" t="s">
        <v>340</v>
      </c>
      <c r="AQ728" t="s">
        <v>72</v>
      </c>
      <c r="AR728" t="s">
        <v>341</v>
      </c>
      <c r="AS728" t="s">
        <v>342</v>
      </c>
      <c r="AT728" t="s">
        <v>95</v>
      </c>
      <c r="AU728">
        <v>2021</v>
      </c>
      <c r="AV728">
        <v>58</v>
      </c>
      <c r="AW728">
        <v>5</v>
      </c>
      <c r="AX728" t="s">
        <v>72</v>
      </c>
      <c r="AY728" t="s">
        <v>72</v>
      </c>
      <c r="AZ728" t="s">
        <v>72</v>
      </c>
      <c r="BA728" t="s">
        <v>72</v>
      </c>
      <c r="BB728">
        <v>1137</v>
      </c>
      <c r="BC728">
        <v>1148</v>
      </c>
      <c r="BD728">
        <v>22343320978693</v>
      </c>
      <c r="BE728" t="s">
        <v>343</v>
      </c>
      <c r="BF728" t="str">
        <f>HYPERLINK("http://dx.doi.org/10.1177/0022343320978693","http://dx.doi.org/10.1177/0022343320978693")</f>
        <v>http://dx.doi.org/10.1177/0022343320978693</v>
      </c>
      <c r="BG728" t="s">
        <v>72</v>
      </c>
      <c r="BH728" t="s">
        <v>344</v>
      </c>
      <c r="BI728">
        <v>12</v>
      </c>
      <c r="BJ728" t="s">
        <v>200</v>
      </c>
      <c r="BK728" s="1" t="s">
        <v>17619</v>
      </c>
      <c r="BL728" t="s">
        <v>345</v>
      </c>
      <c r="BM728" t="s">
        <v>72</v>
      </c>
      <c r="BN728" t="s">
        <v>346</v>
      </c>
      <c r="BO728" t="s">
        <v>72</v>
      </c>
      <c r="BP728" t="s">
        <v>72</v>
      </c>
      <c r="BQ728" t="s">
        <v>100</v>
      </c>
      <c r="BR728" t="s">
        <v>347</v>
      </c>
      <c r="BS728" t="str">
        <f>HYPERLINK("https%3A%2F%2Fwww.webofscience.com%2Fwos%2Fwoscc%2Ffull-record%2FWOS:000626213000001","View Full Record in Web of Science")</f>
        <v>View Full Record in Web of Science</v>
      </c>
    </row>
    <row r="729" spans="1:71" x14ac:dyDescent="0.2">
      <c r="A729" t="s">
        <v>70</v>
      </c>
      <c r="B729" t="s">
        <v>1897</v>
      </c>
      <c r="C729" t="s">
        <v>72</v>
      </c>
      <c r="D729" t="s">
        <v>72</v>
      </c>
      <c r="E729" t="s">
        <v>72</v>
      </c>
      <c r="F729" t="s">
        <v>1898</v>
      </c>
      <c r="G729" t="s">
        <v>72</v>
      </c>
      <c r="H729" t="s">
        <v>72</v>
      </c>
      <c r="I729" t="s">
        <v>1899</v>
      </c>
      <c r="J729" t="s">
        <v>1900</v>
      </c>
      <c r="K729" t="s">
        <v>72</v>
      </c>
      <c r="L729" t="s">
        <v>72</v>
      </c>
      <c r="M729" t="s">
        <v>76</v>
      </c>
      <c r="N729" t="s">
        <v>77</v>
      </c>
      <c r="O729" t="s">
        <v>72</v>
      </c>
      <c r="P729" t="s">
        <v>72</v>
      </c>
      <c r="Q729" t="s">
        <v>72</v>
      </c>
      <c r="R729" t="s">
        <v>72</v>
      </c>
      <c r="S729" t="s">
        <v>72</v>
      </c>
      <c r="T729" t="s">
        <v>1901</v>
      </c>
      <c r="U729" t="s">
        <v>72</v>
      </c>
      <c r="V729" t="s">
        <v>1902</v>
      </c>
      <c r="W729" t="s">
        <v>1903</v>
      </c>
      <c r="X729" t="s">
        <v>1904</v>
      </c>
      <c r="Y729" t="s">
        <v>1905</v>
      </c>
      <c r="Z729" t="s">
        <v>72</v>
      </c>
      <c r="AA729" t="s">
        <v>72</v>
      </c>
      <c r="AB729" t="s">
        <v>72</v>
      </c>
      <c r="AC729" t="s">
        <v>72</v>
      </c>
      <c r="AD729" t="s">
        <v>72</v>
      </c>
      <c r="AE729" t="s">
        <v>72</v>
      </c>
      <c r="AF729" t="s">
        <v>72</v>
      </c>
      <c r="AG729">
        <v>36</v>
      </c>
      <c r="AH729">
        <v>5</v>
      </c>
      <c r="AI729">
        <v>5</v>
      </c>
      <c r="AJ729">
        <v>0</v>
      </c>
      <c r="AK729">
        <v>11</v>
      </c>
      <c r="AL729" t="s">
        <v>1906</v>
      </c>
      <c r="AM729" t="s">
        <v>1907</v>
      </c>
      <c r="AN729" t="s">
        <v>1908</v>
      </c>
      <c r="AO729" t="s">
        <v>1909</v>
      </c>
      <c r="AP729" t="s">
        <v>1910</v>
      </c>
      <c r="AQ729" t="s">
        <v>72</v>
      </c>
      <c r="AR729" t="s">
        <v>1911</v>
      </c>
      <c r="AS729" t="s">
        <v>1912</v>
      </c>
      <c r="AT729" t="s">
        <v>299</v>
      </c>
      <c r="AU729">
        <v>2014</v>
      </c>
      <c r="AV729">
        <v>47</v>
      </c>
      <c r="AW729">
        <v>2</v>
      </c>
      <c r="AX729" t="s">
        <v>72</v>
      </c>
      <c r="AY729" t="s">
        <v>72</v>
      </c>
      <c r="AZ729" t="s">
        <v>478</v>
      </c>
      <c r="BA729" t="s">
        <v>72</v>
      </c>
      <c r="BB729">
        <v>127</v>
      </c>
      <c r="BC729">
        <v>136</v>
      </c>
      <c r="BD729" t="s">
        <v>72</v>
      </c>
      <c r="BE729" t="s">
        <v>1913</v>
      </c>
      <c r="BF729" t="str">
        <f>HYPERLINK("http://dx.doi.org/10.1016/j.postcomstud.2014.04.001","http://dx.doi.org/10.1016/j.postcomstud.2014.04.001")</f>
        <v>http://dx.doi.org/10.1016/j.postcomstud.2014.04.001</v>
      </c>
      <c r="BG729" t="s">
        <v>72</v>
      </c>
      <c r="BH729" t="s">
        <v>72</v>
      </c>
      <c r="BI729">
        <v>10</v>
      </c>
      <c r="BJ729" t="s">
        <v>200</v>
      </c>
      <c r="BK729" s="1" t="s">
        <v>17619</v>
      </c>
      <c r="BL729" t="s">
        <v>1914</v>
      </c>
      <c r="BM729" t="s">
        <v>72</v>
      </c>
      <c r="BN729" t="s">
        <v>72</v>
      </c>
      <c r="BO729" t="s">
        <v>72</v>
      </c>
      <c r="BP729" t="s">
        <v>72</v>
      </c>
      <c r="BQ729" t="s">
        <v>100</v>
      </c>
      <c r="BR729" t="s">
        <v>1915</v>
      </c>
      <c r="BS729" t="str">
        <f>HYPERLINK("https%3A%2F%2Fwww.webofscience.com%2Fwos%2Fwoscc%2Ffull-record%2FWOS:000338596300003","View Full Record in Web of Science")</f>
        <v>View Full Record in Web of Science</v>
      </c>
    </row>
    <row r="730" spans="1:71" x14ac:dyDescent="0.2">
      <c r="A730" t="s">
        <v>70</v>
      </c>
      <c r="B730" t="s">
        <v>3759</v>
      </c>
      <c r="C730" t="s">
        <v>72</v>
      </c>
      <c r="D730" t="s">
        <v>72</v>
      </c>
      <c r="E730" t="s">
        <v>72</v>
      </c>
      <c r="F730" t="s">
        <v>3760</v>
      </c>
      <c r="G730" t="s">
        <v>72</v>
      </c>
      <c r="H730" t="s">
        <v>72</v>
      </c>
      <c r="I730" t="s">
        <v>3761</v>
      </c>
      <c r="J730" t="s">
        <v>327</v>
      </c>
      <c r="K730" t="s">
        <v>72</v>
      </c>
      <c r="L730" t="s">
        <v>72</v>
      </c>
      <c r="M730" t="s">
        <v>76</v>
      </c>
      <c r="N730" t="s">
        <v>77</v>
      </c>
      <c r="O730" t="s">
        <v>72</v>
      </c>
      <c r="P730" t="s">
        <v>72</v>
      </c>
      <c r="Q730" t="s">
        <v>72</v>
      </c>
      <c r="R730" t="s">
        <v>72</v>
      </c>
      <c r="S730" t="s">
        <v>72</v>
      </c>
      <c r="T730" t="s">
        <v>3762</v>
      </c>
      <c r="U730" t="s">
        <v>3763</v>
      </c>
      <c r="V730" t="s">
        <v>3764</v>
      </c>
      <c r="W730" t="s">
        <v>3765</v>
      </c>
      <c r="X730" t="s">
        <v>3766</v>
      </c>
      <c r="Y730" t="s">
        <v>3767</v>
      </c>
      <c r="Z730" t="s">
        <v>3768</v>
      </c>
      <c r="AA730" t="s">
        <v>3769</v>
      </c>
      <c r="AB730" t="s">
        <v>3770</v>
      </c>
      <c r="AC730" t="s">
        <v>3771</v>
      </c>
      <c r="AD730" t="s">
        <v>3772</v>
      </c>
      <c r="AE730" t="s">
        <v>3773</v>
      </c>
      <c r="AF730" t="s">
        <v>72</v>
      </c>
      <c r="AG730">
        <v>31</v>
      </c>
      <c r="AH730">
        <v>3</v>
      </c>
      <c r="AI730">
        <v>3</v>
      </c>
      <c r="AJ730">
        <v>2</v>
      </c>
      <c r="AK730">
        <v>3</v>
      </c>
      <c r="AL730" t="s">
        <v>336</v>
      </c>
      <c r="AM730" t="s">
        <v>337</v>
      </c>
      <c r="AN730" t="s">
        <v>338</v>
      </c>
      <c r="AO730" t="s">
        <v>339</v>
      </c>
      <c r="AP730" t="s">
        <v>340</v>
      </c>
      <c r="AQ730" t="s">
        <v>72</v>
      </c>
      <c r="AR730" t="s">
        <v>341</v>
      </c>
      <c r="AS730" t="s">
        <v>342</v>
      </c>
      <c r="AT730" t="s">
        <v>951</v>
      </c>
      <c r="AU730">
        <v>2020</v>
      </c>
      <c r="AV730">
        <v>57</v>
      </c>
      <c r="AW730">
        <v>6</v>
      </c>
      <c r="AX730" t="s">
        <v>72</v>
      </c>
      <c r="AY730" t="s">
        <v>72</v>
      </c>
      <c r="AZ730" t="s">
        <v>478</v>
      </c>
      <c r="BA730" t="s">
        <v>72</v>
      </c>
      <c r="BB730">
        <v>777</v>
      </c>
      <c r="BC730">
        <v>788</v>
      </c>
      <c r="BD730" t="s">
        <v>72</v>
      </c>
      <c r="BE730" t="s">
        <v>3774</v>
      </c>
      <c r="BF730" t="str">
        <f>HYPERLINK("http://dx.doi.org/10.1177/0022343320959122","http://dx.doi.org/10.1177/0022343320959122")</f>
        <v>http://dx.doi.org/10.1177/0022343320959122</v>
      </c>
      <c r="BG730" t="s">
        <v>72</v>
      </c>
      <c r="BH730" t="s">
        <v>72</v>
      </c>
      <c r="BI730">
        <v>12</v>
      </c>
      <c r="BJ730" t="s">
        <v>200</v>
      </c>
      <c r="BK730" s="1" t="s">
        <v>17619</v>
      </c>
      <c r="BL730" t="s">
        <v>3775</v>
      </c>
      <c r="BM730" t="s">
        <v>72</v>
      </c>
      <c r="BN730" t="s">
        <v>559</v>
      </c>
      <c r="BO730" t="s">
        <v>72</v>
      </c>
      <c r="BP730" t="s">
        <v>72</v>
      </c>
      <c r="BQ730" t="s">
        <v>100</v>
      </c>
      <c r="BR730" t="s">
        <v>3776</v>
      </c>
      <c r="BS730" t="str">
        <f>HYPERLINK("https%3A%2F%2Fwww.webofscience.com%2Fwos%2Fwoscc%2Ffull-record%2FWOS:000597616400010","View Full Record in Web of Science")</f>
        <v>View Full Record in Web of Science</v>
      </c>
    </row>
    <row r="731" spans="1:71" x14ac:dyDescent="0.2">
      <c r="A731" t="s">
        <v>70</v>
      </c>
      <c r="B731" t="s">
        <v>4583</v>
      </c>
      <c r="C731" t="s">
        <v>72</v>
      </c>
      <c r="D731" t="s">
        <v>72</v>
      </c>
      <c r="E731" t="s">
        <v>72</v>
      </c>
      <c r="F731" t="s">
        <v>4584</v>
      </c>
      <c r="G731" t="s">
        <v>72</v>
      </c>
      <c r="H731" t="s">
        <v>72</v>
      </c>
      <c r="I731" t="s">
        <v>4585</v>
      </c>
      <c r="J731" t="s">
        <v>4586</v>
      </c>
      <c r="K731" t="s">
        <v>72</v>
      </c>
      <c r="L731" t="s">
        <v>72</v>
      </c>
      <c r="M731" t="s">
        <v>76</v>
      </c>
      <c r="N731" t="s">
        <v>77</v>
      </c>
      <c r="O731" t="s">
        <v>72</v>
      </c>
      <c r="P731" t="s">
        <v>72</v>
      </c>
      <c r="Q731" t="s">
        <v>72</v>
      </c>
      <c r="R731" t="s">
        <v>72</v>
      </c>
      <c r="S731" t="s">
        <v>72</v>
      </c>
      <c r="T731" t="s">
        <v>4587</v>
      </c>
      <c r="U731" t="s">
        <v>72</v>
      </c>
      <c r="V731" t="s">
        <v>4588</v>
      </c>
      <c r="W731" t="s">
        <v>4589</v>
      </c>
      <c r="X731" t="s">
        <v>4590</v>
      </c>
      <c r="Y731" t="s">
        <v>4591</v>
      </c>
      <c r="Z731" t="s">
        <v>4592</v>
      </c>
      <c r="AA731" t="s">
        <v>72</v>
      </c>
      <c r="AB731" t="s">
        <v>4593</v>
      </c>
      <c r="AC731" t="s">
        <v>4594</v>
      </c>
      <c r="AD731" t="s">
        <v>4594</v>
      </c>
      <c r="AE731" t="s">
        <v>4595</v>
      </c>
      <c r="AF731" t="s">
        <v>72</v>
      </c>
      <c r="AG731">
        <v>82</v>
      </c>
      <c r="AH731">
        <v>6</v>
      </c>
      <c r="AI731">
        <v>6</v>
      </c>
      <c r="AJ731">
        <v>2</v>
      </c>
      <c r="AK731">
        <v>5</v>
      </c>
      <c r="AL731" t="s">
        <v>190</v>
      </c>
      <c r="AM731" t="s">
        <v>191</v>
      </c>
      <c r="AN731" t="s">
        <v>192</v>
      </c>
      <c r="AO731" t="s">
        <v>4596</v>
      </c>
      <c r="AP731" t="s">
        <v>4597</v>
      </c>
      <c r="AQ731" t="s">
        <v>72</v>
      </c>
      <c r="AR731" t="s">
        <v>4598</v>
      </c>
      <c r="AS731" t="s">
        <v>4599</v>
      </c>
      <c r="AT731" t="s">
        <v>197</v>
      </c>
      <c r="AU731">
        <v>2021</v>
      </c>
      <c r="AV731">
        <v>65</v>
      </c>
      <c r="AW731">
        <v>5</v>
      </c>
      <c r="AX731" t="s">
        <v>72</v>
      </c>
      <c r="AY731" t="s">
        <v>72</v>
      </c>
      <c r="AZ731" t="s">
        <v>72</v>
      </c>
      <c r="BA731" t="s">
        <v>72</v>
      </c>
      <c r="BB731">
        <v>919</v>
      </c>
      <c r="BC731">
        <v>949</v>
      </c>
      <c r="BD731">
        <v>22002720975090</v>
      </c>
      <c r="BE731" t="s">
        <v>4600</v>
      </c>
      <c r="BF731" t="str">
        <f>HYPERLINK("http://dx.doi.org/10.1177/0022002720975090","http://dx.doi.org/10.1177/0022002720975090")</f>
        <v>http://dx.doi.org/10.1177/0022002720975090</v>
      </c>
      <c r="BG731" t="s">
        <v>72</v>
      </c>
      <c r="BH731" t="s">
        <v>4447</v>
      </c>
      <c r="BI731">
        <v>31</v>
      </c>
      <c r="BJ731" t="s">
        <v>200</v>
      </c>
      <c r="BK731" s="1" t="s">
        <v>17619</v>
      </c>
      <c r="BL731" t="s">
        <v>4601</v>
      </c>
      <c r="BM731" t="s">
        <v>72</v>
      </c>
      <c r="BN731" t="s">
        <v>72</v>
      </c>
      <c r="BO731" t="s">
        <v>72</v>
      </c>
      <c r="BP731" t="s">
        <v>72</v>
      </c>
      <c r="BQ731" t="s">
        <v>100</v>
      </c>
      <c r="BR731" t="s">
        <v>4602</v>
      </c>
      <c r="BS731" t="str">
        <f>HYPERLINK("https%3A%2F%2Fwww.webofscience.com%2Fwos%2Fwoscc%2Ffull-record%2FWOS:000629724100001","View Full Record in Web of Science")</f>
        <v>View Full Record in Web of Science</v>
      </c>
    </row>
    <row r="732" spans="1:71" x14ac:dyDescent="0.2">
      <c r="A732" t="s">
        <v>70</v>
      </c>
      <c r="B732" t="s">
        <v>5308</v>
      </c>
      <c r="C732" t="s">
        <v>72</v>
      </c>
      <c r="D732" t="s">
        <v>72</v>
      </c>
      <c r="E732" t="s">
        <v>72</v>
      </c>
      <c r="F732" t="s">
        <v>5309</v>
      </c>
      <c r="G732" t="s">
        <v>72</v>
      </c>
      <c r="H732" t="s">
        <v>72</v>
      </c>
      <c r="I732" t="s">
        <v>5310</v>
      </c>
      <c r="J732" t="s">
        <v>5311</v>
      </c>
      <c r="K732" t="s">
        <v>72</v>
      </c>
      <c r="L732" t="s">
        <v>72</v>
      </c>
      <c r="M732" t="s">
        <v>76</v>
      </c>
      <c r="N732" t="s">
        <v>77</v>
      </c>
      <c r="O732" t="s">
        <v>72</v>
      </c>
      <c r="P732" t="s">
        <v>72</v>
      </c>
      <c r="Q732" t="s">
        <v>72</v>
      </c>
      <c r="R732" t="s">
        <v>72</v>
      </c>
      <c r="S732" t="s">
        <v>72</v>
      </c>
      <c r="T732" t="s">
        <v>5312</v>
      </c>
      <c r="U732" t="s">
        <v>5313</v>
      </c>
      <c r="V732" t="s">
        <v>5314</v>
      </c>
      <c r="W732" t="s">
        <v>5315</v>
      </c>
      <c r="X732" t="s">
        <v>72</v>
      </c>
      <c r="Y732" t="s">
        <v>5316</v>
      </c>
      <c r="Z732" t="s">
        <v>5317</v>
      </c>
      <c r="AA732" t="s">
        <v>72</v>
      </c>
      <c r="AB732" t="s">
        <v>5318</v>
      </c>
      <c r="AC732" t="s">
        <v>72</v>
      </c>
      <c r="AD732" t="s">
        <v>72</v>
      </c>
      <c r="AE732" t="s">
        <v>72</v>
      </c>
      <c r="AF732" t="s">
        <v>72</v>
      </c>
      <c r="AG732">
        <v>61</v>
      </c>
      <c r="AH732">
        <v>5</v>
      </c>
      <c r="AI732">
        <v>5</v>
      </c>
      <c r="AJ732">
        <v>1</v>
      </c>
      <c r="AK732">
        <v>12</v>
      </c>
      <c r="AL732" t="s">
        <v>364</v>
      </c>
      <c r="AM732" t="s">
        <v>365</v>
      </c>
      <c r="AN732" t="s">
        <v>366</v>
      </c>
      <c r="AO732" t="s">
        <v>5319</v>
      </c>
      <c r="AP732" t="s">
        <v>5320</v>
      </c>
      <c r="AQ732" t="s">
        <v>72</v>
      </c>
      <c r="AR732" t="s">
        <v>5321</v>
      </c>
      <c r="AS732" t="s">
        <v>5322</v>
      </c>
      <c r="AT732" t="s">
        <v>5323</v>
      </c>
      <c r="AU732">
        <v>2020</v>
      </c>
      <c r="AV732">
        <v>43</v>
      </c>
      <c r="AW732">
        <v>5</v>
      </c>
      <c r="AX732" t="s">
        <v>72</v>
      </c>
      <c r="AY732" t="s">
        <v>72</v>
      </c>
      <c r="AZ732" t="s">
        <v>72</v>
      </c>
      <c r="BA732" t="s">
        <v>72</v>
      </c>
      <c r="BB732">
        <v>686</v>
      </c>
      <c r="BC732">
        <v>709</v>
      </c>
      <c r="BD732" t="s">
        <v>72</v>
      </c>
      <c r="BE732" t="s">
        <v>5324</v>
      </c>
      <c r="BF732" t="str">
        <f>HYPERLINK("http://dx.doi.org/10.1080/01402390.2018.1545645","http://dx.doi.org/10.1080/01402390.2018.1545645")</f>
        <v>http://dx.doi.org/10.1080/01402390.2018.1545645</v>
      </c>
      <c r="BG732" t="s">
        <v>72</v>
      </c>
      <c r="BH732" t="s">
        <v>72</v>
      </c>
      <c r="BI732">
        <v>24</v>
      </c>
      <c r="BJ732" t="s">
        <v>200</v>
      </c>
      <c r="BK732" s="1" t="s">
        <v>17619</v>
      </c>
      <c r="BL732" t="s">
        <v>5325</v>
      </c>
      <c r="BM732" t="s">
        <v>72</v>
      </c>
      <c r="BN732" t="s">
        <v>72</v>
      </c>
      <c r="BO732" t="s">
        <v>72</v>
      </c>
      <c r="BP732" t="s">
        <v>72</v>
      </c>
      <c r="BQ732" t="s">
        <v>100</v>
      </c>
      <c r="BR732" t="s">
        <v>5326</v>
      </c>
      <c r="BS732" t="str">
        <f>HYPERLINK("https%3A%2F%2Fwww.webofscience.com%2Fwos%2Fwoscc%2Ffull-record%2FWOS:000558827000004","View Full Record in Web of Science")</f>
        <v>View Full Record in Web of Science</v>
      </c>
    </row>
    <row r="733" spans="1:71" x14ac:dyDescent="0.2">
      <c r="A733" t="s">
        <v>70</v>
      </c>
      <c r="B733" t="s">
        <v>5417</v>
      </c>
      <c r="C733" t="s">
        <v>72</v>
      </c>
      <c r="D733" t="s">
        <v>72</v>
      </c>
      <c r="E733" t="s">
        <v>72</v>
      </c>
      <c r="F733" t="s">
        <v>5418</v>
      </c>
      <c r="G733" t="s">
        <v>72</v>
      </c>
      <c r="H733" t="s">
        <v>72</v>
      </c>
      <c r="I733" t="s">
        <v>5419</v>
      </c>
      <c r="J733" t="s">
        <v>5420</v>
      </c>
      <c r="K733" t="s">
        <v>72</v>
      </c>
      <c r="L733" t="s">
        <v>72</v>
      </c>
      <c r="M733" t="s">
        <v>76</v>
      </c>
      <c r="N733" t="s">
        <v>77</v>
      </c>
      <c r="O733" t="s">
        <v>72</v>
      </c>
      <c r="P733" t="s">
        <v>72</v>
      </c>
      <c r="Q733" t="s">
        <v>72</v>
      </c>
      <c r="R733" t="s">
        <v>72</v>
      </c>
      <c r="S733" t="s">
        <v>72</v>
      </c>
      <c r="T733" t="s">
        <v>72</v>
      </c>
      <c r="U733" t="s">
        <v>5421</v>
      </c>
      <c r="V733" t="s">
        <v>5422</v>
      </c>
      <c r="W733" t="s">
        <v>5423</v>
      </c>
      <c r="X733" t="s">
        <v>5424</v>
      </c>
      <c r="Y733" t="s">
        <v>5425</v>
      </c>
      <c r="Z733" t="s">
        <v>5426</v>
      </c>
      <c r="AA733" t="s">
        <v>72</v>
      </c>
      <c r="AB733" t="s">
        <v>5427</v>
      </c>
      <c r="AC733" t="s">
        <v>72</v>
      </c>
      <c r="AD733" t="s">
        <v>72</v>
      </c>
      <c r="AE733" t="s">
        <v>72</v>
      </c>
      <c r="AF733" t="s">
        <v>72</v>
      </c>
      <c r="AG733">
        <v>61</v>
      </c>
      <c r="AH733">
        <v>0</v>
      </c>
      <c r="AI733">
        <v>0</v>
      </c>
      <c r="AJ733">
        <v>3</v>
      </c>
      <c r="AK733">
        <v>5</v>
      </c>
      <c r="AL733" t="s">
        <v>269</v>
      </c>
      <c r="AM733" t="s">
        <v>270</v>
      </c>
      <c r="AN733" t="s">
        <v>271</v>
      </c>
      <c r="AO733" t="s">
        <v>5428</v>
      </c>
      <c r="AP733" t="s">
        <v>5429</v>
      </c>
      <c r="AQ733" t="s">
        <v>72</v>
      </c>
      <c r="AR733" t="s">
        <v>5430</v>
      </c>
      <c r="AS733" t="s">
        <v>5431</v>
      </c>
      <c r="AT733" t="s">
        <v>5432</v>
      </c>
      <c r="AU733">
        <v>2021</v>
      </c>
      <c r="AV733">
        <v>44</v>
      </c>
      <c r="AW733">
        <v>8</v>
      </c>
      <c r="AX733" t="s">
        <v>72</v>
      </c>
      <c r="AY733" t="s">
        <v>72</v>
      </c>
      <c r="AZ733" t="s">
        <v>72</v>
      </c>
      <c r="BA733" t="s">
        <v>72</v>
      </c>
      <c r="BB733">
        <v>646</v>
      </c>
      <c r="BC733">
        <v>667</v>
      </c>
      <c r="BD733" t="s">
        <v>72</v>
      </c>
      <c r="BE733" t="s">
        <v>5433</v>
      </c>
      <c r="BF733" t="str">
        <f>HYPERLINK("http://dx.doi.org/10.1080/1057610X.2019.1575036","http://dx.doi.org/10.1080/1057610X.2019.1575036")</f>
        <v>http://dx.doi.org/10.1080/1057610X.2019.1575036</v>
      </c>
      <c r="BG733" t="s">
        <v>72</v>
      </c>
      <c r="BH733" t="s">
        <v>5434</v>
      </c>
      <c r="BI733">
        <v>22</v>
      </c>
      <c r="BJ733" t="s">
        <v>200</v>
      </c>
      <c r="BK733" s="1" t="s">
        <v>17619</v>
      </c>
      <c r="BL733" t="s">
        <v>5435</v>
      </c>
      <c r="BM733" t="s">
        <v>72</v>
      </c>
      <c r="BN733" t="s">
        <v>251</v>
      </c>
      <c r="BO733" t="s">
        <v>72</v>
      </c>
      <c r="BP733" t="s">
        <v>72</v>
      </c>
      <c r="BQ733" t="s">
        <v>100</v>
      </c>
      <c r="BR733" t="s">
        <v>5436</v>
      </c>
      <c r="BS733" t="str">
        <f>HYPERLINK("https%3A%2F%2Fwww.webofscience.com%2Fwos%2Fwoscc%2Ffull-record%2FWOS:000465818400001","View Full Record in Web of Science")</f>
        <v>View Full Record in Web of Science</v>
      </c>
    </row>
    <row r="734" spans="1:71" x14ac:dyDescent="0.2">
      <c r="A734" t="s">
        <v>70</v>
      </c>
      <c r="B734" t="s">
        <v>5791</v>
      </c>
      <c r="C734" t="s">
        <v>72</v>
      </c>
      <c r="D734" t="s">
        <v>72</v>
      </c>
      <c r="E734" t="s">
        <v>72</v>
      </c>
      <c r="F734" t="s">
        <v>5792</v>
      </c>
      <c r="G734" t="s">
        <v>72</v>
      </c>
      <c r="H734" t="s">
        <v>72</v>
      </c>
      <c r="I734" t="s">
        <v>5793</v>
      </c>
      <c r="J734" t="s">
        <v>5794</v>
      </c>
      <c r="K734" t="s">
        <v>72</v>
      </c>
      <c r="L734" t="s">
        <v>72</v>
      </c>
      <c r="M734" t="s">
        <v>76</v>
      </c>
      <c r="N734" t="s">
        <v>77</v>
      </c>
      <c r="O734" t="s">
        <v>72</v>
      </c>
      <c r="P734" t="s">
        <v>72</v>
      </c>
      <c r="Q734" t="s">
        <v>72</v>
      </c>
      <c r="R734" t="s">
        <v>72</v>
      </c>
      <c r="S734" t="s">
        <v>72</v>
      </c>
      <c r="T734" t="s">
        <v>72</v>
      </c>
      <c r="U734" t="s">
        <v>5795</v>
      </c>
      <c r="V734" t="s">
        <v>5796</v>
      </c>
      <c r="W734" t="s">
        <v>5797</v>
      </c>
      <c r="X734" t="s">
        <v>5798</v>
      </c>
      <c r="Y734" t="s">
        <v>5799</v>
      </c>
      <c r="Z734" t="s">
        <v>5800</v>
      </c>
      <c r="AA734" t="s">
        <v>5801</v>
      </c>
      <c r="AB734" t="s">
        <v>5802</v>
      </c>
      <c r="AC734" t="s">
        <v>5803</v>
      </c>
      <c r="AD734" t="s">
        <v>2446</v>
      </c>
      <c r="AE734" t="s">
        <v>5804</v>
      </c>
      <c r="AF734" t="s">
        <v>72</v>
      </c>
      <c r="AG734">
        <v>33</v>
      </c>
      <c r="AH734">
        <v>12</v>
      </c>
      <c r="AI734">
        <v>12</v>
      </c>
      <c r="AJ734">
        <v>1</v>
      </c>
      <c r="AK734">
        <v>7</v>
      </c>
      <c r="AL734" t="s">
        <v>364</v>
      </c>
      <c r="AM734" t="s">
        <v>365</v>
      </c>
      <c r="AN734" t="s">
        <v>366</v>
      </c>
      <c r="AO734" t="s">
        <v>5805</v>
      </c>
      <c r="AP734" t="s">
        <v>5806</v>
      </c>
      <c r="AQ734" t="s">
        <v>72</v>
      </c>
      <c r="AR734" t="s">
        <v>5807</v>
      </c>
      <c r="AS734" t="s">
        <v>5808</v>
      </c>
      <c r="AT734" t="s">
        <v>5248</v>
      </c>
      <c r="AU734">
        <v>2020</v>
      </c>
      <c r="AV734">
        <v>19</v>
      </c>
      <c r="AW734">
        <v>1</v>
      </c>
      <c r="AX734" t="s">
        <v>72</v>
      </c>
      <c r="AY734" t="s">
        <v>72</v>
      </c>
      <c r="AZ734" t="s">
        <v>478</v>
      </c>
      <c r="BA734" t="s">
        <v>72</v>
      </c>
      <c r="BB734">
        <v>3</v>
      </c>
      <c r="BC734">
        <v>18</v>
      </c>
      <c r="BD734" t="s">
        <v>72</v>
      </c>
      <c r="BE734" t="s">
        <v>5809</v>
      </c>
      <c r="BF734" t="str">
        <f>HYPERLINK("http://dx.doi.org/10.1080/14754835.2019.1671175","http://dx.doi.org/10.1080/14754835.2019.1671175")</f>
        <v>http://dx.doi.org/10.1080/14754835.2019.1671175</v>
      </c>
      <c r="BG734" t="s">
        <v>72</v>
      </c>
      <c r="BH734" t="s">
        <v>72</v>
      </c>
      <c r="BI734">
        <v>16</v>
      </c>
      <c r="BJ734" t="s">
        <v>200</v>
      </c>
      <c r="BK734" s="1" t="s">
        <v>17619</v>
      </c>
      <c r="BL734" t="s">
        <v>5810</v>
      </c>
      <c r="BM734" t="s">
        <v>72</v>
      </c>
      <c r="BN734" t="s">
        <v>72</v>
      </c>
      <c r="BO734" t="s">
        <v>72</v>
      </c>
      <c r="BP734" t="s">
        <v>72</v>
      </c>
      <c r="BQ734" t="s">
        <v>100</v>
      </c>
      <c r="BR734" t="s">
        <v>5811</v>
      </c>
      <c r="BS734" t="str">
        <f>HYPERLINK("https%3A%2F%2Fwww.webofscience.com%2Fwos%2Fwoscc%2Ffull-record%2FWOS:000507772300002","View Full Record in Web of Science")</f>
        <v>View Full Record in Web of Science</v>
      </c>
    </row>
    <row r="735" spans="1:71" x14ac:dyDescent="0.2">
      <c r="A735" t="s">
        <v>70</v>
      </c>
      <c r="B735" t="s">
        <v>7424</v>
      </c>
      <c r="C735" t="s">
        <v>72</v>
      </c>
      <c r="D735" t="s">
        <v>72</v>
      </c>
      <c r="E735" t="s">
        <v>72</v>
      </c>
      <c r="F735" t="s">
        <v>7425</v>
      </c>
      <c r="G735" t="s">
        <v>72</v>
      </c>
      <c r="H735" t="s">
        <v>72</v>
      </c>
      <c r="I735" t="s">
        <v>7426</v>
      </c>
      <c r="J735" t="s">
        <v>7427</v>
      </c>
      <c r="K735" t="s">
        <v>72</v>
      </c>
      <c r="L735" t="s">
        <v>72</v>
      </c>
      <c r="M735" t="s">
        <v>76</v>
      </c>
      <c r="N735" t="s">
        <v>77</v>
      </c>
      <c r="O735" t="s">
        <v>72</v>
      </c>
      <c r="P735" t="s">
        <v>72</v>
      </c>
      <c r="Q735" t="s">
        <v>72</v>
      </c>
      <c r="R735" t="s">
        <v>72</v>
      </c>
      <c r="S735" t="s">
        <v>72</v>
      </c>
      <c r="T735" t="s">
        <v>72</v>
      </c>
      <c r="U735" t="s">
        <v>7428</v>
      </c>
      <c r="V735" t="s">
        <v>7429</v>
      </c>
      <c r="W735" t="s">
        <v>7430</v>
      </c>
      <c r="X735" t="s">
        <v>7431</v>
      </c>
      <c r="Y735" t="s">
        <v>7432</v>
      </c>
      <c r="Z735" t="s">
        <v>7433</v>
      </c>
      <c r="AA735" t="s">
        <v>7434</v>
      </c>
      <c r="AB735" t="s">
        <v>7435</v>
      </c>
      <c r="AC735" t="s">
        <v>7436</v>
      </c>
      <c r="AD735" t="s">
        <v>7437</v>
      </c>
      <c r="AE735" t="s">
        <v>7438</v>
      </c>
      <c r="AF735" t="s">
        <v>72</v>
      </c>
      <c r="AG735">
        <v>63</v>
      </c>
      <c r="AH735">
        <v>23</v>
      </c>
      <c r="AI735">
        <v>28</v>
      </c>
      <c r="AJ735">
        <v>0</v>
      </c>
      <c r="AK735">
        <v>14</v>
      </c>
      <c r="AL735" t="s">
        <v>364</v>
      </c>
      <c r="AM735" t="s">
        <v>365</v>
      </c>
      <c r="AN735" t="s">
        <v>366</v>
      </c>
      <c r="AO735" t="s">
        <v>7439</v>
      </c>
      <c r="AP735" t="s">
        <v>7440</v>
      </c>
      <c r="AQ735" t="s">
        <v>72</v>
      </c>
      <c r="AR735" t="s">
        <v>7441</v>
      </c>
      <c r="AS735" t="s">
        <v>7442</v>
      </c>
      <c r="AT735" t="s">
        <v>72</v>
      </c>
      <c r="AU735">
        <v>2017</v>
      </c>
      <c r="AV735">
        <v>30</v>
      </c>
      <c r="AW735" t="s">
        <v>7443</v>
      </c>
      <c r="AX735" t="s">
        <v>72</v>
      </c>
      <c r="AY735" t="s">
        <v>72</v>
      </c>
      <c r="AZ735" t="s">
        <v>72</v>
      </c>
      <c r="BA735" t="s">
        <v>72</v>
      </c>
      <c r="BB735">
        <v>195</v>
      </c>
      <c r="BC735">
        <v>215</v>
      </c>
      <c r="BD735" t="s">
        <v>72</v>
      </c>
      <c r="BE735" t="s">
        <v>7444</v>
      </c>
      <c r="BF735" t="str">
        <f>HYPERLINK("http://dx.doi.org/10.1080/09557571.2017.1383358","http://dx.doi.org/10.1080/09557571.2017.1383358")</f>
        <v>http://dx.doi.org/10.1080/09557571.2017.1383358</v>
      </c>
      <c r="BG735" t="s">
        <v>72</v>
      </c>
      <c r="BH735" t="s">
        <v>72</v>
      </c>
      <c r="BI735">
        <v>21</v>
      </c>
      <c r="BJ735" t="s">
        <v>200</v>
      </c>
      <c r="BK735" s="1" t="s">
        <v>17619</v>
      </c>
      <c r="BL735" t="s">
        <v>7445</v>
      </c>
      <c r="BM735" t="s">
        <v>72</v>
      </c>
      <c r="BN735" t="s">
        <v>251</v>
      </c>
      <c r="BO735" t="s">
        <v>72</v>
      </c>
      <c r="BP735" t="s">
        <v>72</v>
      </c>
      <c r="BQ735" t="s">
        <v>100</v>
      </c>
      <c r="BR735" t="s">
        <v>7446</v>
      </c>
      <c r="BS735" t="str">
        <f>HYPERLINK("https%3A%2F%2Fwww.webofscience.com%2Fwos%2Fwoscc%2Ffull-record%2FWOS:000424147300006","View Full Record in Web of Science")</f>
        <v>View Full Record in Web of Science</v>
      </c>
    </row>
    <row r="736" spans="1:71" x14ac:dyDescent="0.2">
      <c r="A736" t="s">
        <v>70</v>
      </c>
      <c r="B736" t="s">
        <v>5791</v>
      </c>
      <c r="C736" t="s">
        <v>72</v>
      </c>
      <c r="D736" t="s">
        <v>72</v>
      </c>
      <c r="E736" t="s">
        <v>72</v>
      </c>
      <c r="F736" t="s">
        <v>5792</v>
      </c>
      <c r="G736" t="s">
        <v>72</v>
      </c>
      <c r="H736" t="s">
        <v>72</v>
      </c>
      <c r="I736" t="s">
        <v>8114</v>
      </c>
      <c r="J736" t="s">
        <v>8115</v>
      </c>
      <c r="K736" t="s">
        <v>72</v>
      </c>
      <c r="L736" t="s">
        <v>72</v>
      </c>
      <c r="M736" t="s">
        <v>76</v>
      </c>
      <c r="N736" t="s">
        <v>77</v>
      </c>
      <c r="O736" t="s">
        <v>72</v>
      </c>
      <c r="P736" t="s">
        <v>72</v>
      </c>
      <c r="Q736" t="s">
        <v>72</v>
      </c>
      <c r="R736" t="s">
        <v>72</v>
      </c>
      <c r="S736" t="s">
        <v>72</v>
      </c>
      <c r="T736" t="s">
        <v>72</v>
      </c>
      <c r="U736" t="s">
        <v>8116</v>
      </c>
      <c r="V736" t="s">
        <v>8117</v>
      </c>
      <c r="W736" t="s">
        <v>8118</v>
      </c>
      <c r="X736" t="s">
        <v>8119</v>
      </c>
      <c r="Y736" t="s">
        <v>3767</v>
      </c>
      <c r="Z736" t="s">
        <v>72</v>
      </c>
      <c r="AA736" t="s">
        <v>72</v>
      </c>
      <c r="AB736" t="s">
        <v>8120</v>
      </c>
      <c r="AC736" t="s">
        <v>5803</v>
      </c>
      <c r="AD736" t="s">
        <v>2446</v>
      </c>
      <c r="AE736" t="s">
        <v>8121</v>
      </c>
      <c r="AF736" t="s">
        <v>72</v>
      </c>
      <c r="AG736">
        <v>42</v>
      </c>
      <c r="AH736">
        <v>1</v>
      </c>
      <c r="AI736">
        <v>1</v>
      </c>
      <c r="AJ736">
        <v>1</v>
      </c>
      <c r="AK736">
        <v>1</v>
      </c>
      <c r="AL736" t="s">
        <v>879</v>
      </c>
      <c r="AM736" t="s">
        <v>451</v>
      </c>
      <c r="AN736" t="s">
        <v>880</v>
      </c>
      <c r="AO736" t="s">
        <v>8122</v>
      </c>
      <c r="AP736" t="s">
        <v>8123</v>
      </c>
      <c r="AQ736" t="s">
        <v>72</v>
      </c>
      <c r="AR736" t="s">
        <v>8124</v>
      </c>
      <c r="AS736" t="s">
        <v>8125</v>
      </c>
      <c r="AT736" t="s">
        <v>8126</v>
      </c>
      <c r="AU736">
        <v>2022</v>
      </c>
      <c r="AV736">
        <v>66</v>
      </c>
      <c r="AW736">
        <v>2</v>
      </c>
      <c r="AX736" t="s">
        <v>72</v>
      </c>
      <c r="AY736" t="s">
        <v>72</v>
      </c>
      <c r="AZ736" t="s">
        <v>72</v>
      </c>
      <c r="BA736" t="s">
        <v>72</v>
      </c>
      <c r="BB736" t="s">
        <v>72</v>
      </c>
      <c r="BC736" t="s">
        <v>72</v>
      </c>
      <c r="BD736" t="s">
        <v>8127</v>
      </c>
      <c r="BE736" t="s">
        <v>8128</v>
      </c>
      <c r="BF736" t="str">
        <f>HYPERLINK("http://dx.doi.org/10.1093/isq/sqac016","http://dx.doi.org/10.1093/isq/sqac016")</f>
        <v>http://dx.doi.org/10.1093/isq/sqac016</v>
      </c>
      <c r="BG736" t="s">
        <v>72</v>
      </c>
      <c r="BH736" t="s">
        <v>72</v>
      </c>
      <c r="BI736">
        <v>11</v>
      </c>
      <c r="BJ736" t="s">
        <v>200</v>
      </c>
      <c r="BK736" s="1" t="s">
        <v>17619</v>
      </c>
      <c r="BL736" t="s">
        <v>8129</v>
      </c>
      <c r="BM736" t="s">
        <v>72</v>
      </c>
      <c r="BN736" t="s">
        <v>72</v>
      </c>
      <c r="BO736" t="s">
        <v>72</v>
      </c>
      <c r="BP736" t="s">
        <v>72</v>
      </c>
      <c r="BQ736" t="s">
        <v>100</v>
      </c>
      <c r="BR736" t="s">
        <v>8130</v>
      </c>
      <c r="BS736" t="str">
        <f>HYPERLINK("https%3A%2F%2Fwww.webofscience.com%2Fwos%2Fwoscc%2Ffull-record%2FWOS:000804422700003","View Full Record in Web of Science")</f>
        <v>View Full Record in Web of Science</v>
      </c>
    </row>
    <row r="737" spans="1:71" x14ac:dyDescent="0.2">
      <c r="A737" t="s">
        <v>70</v>
      </c>
      <c r="B737" t="s">
        <v>9749</v>
      </c>
      <c r="C737" t="s">
        <v>72</v>
      </c>
      <c r="D737" t="s">
        <v>72</v>
      </c>
      <c r="E737" t="s">
        <v>72</v>
      </c>
      <c r="F737" t="s">
        <v>9750</v>
      </c>
      <c r="G737" t="s">
        <v>72</v>
      </c>
      <c r="H737" t="s">
        <v>72</v>
      </c>
      <c r="I737" t="s">
        <v>9751</v>
      </c>
      <c r="J737" t="s">
        <v>180</v>
      </c>
      <c r="K737" t="s">
        <v>72</v>
      </c>
      <c r="L737" t="s">
        <v>72</v>
      </c>
      <c r="M737" t="s">
        <v>76</v>
      </c>
      <c r="N737" t="s">
        <v>77</v>
      </c>
      <c r="O737" t="s">
        <v>72</v>
      </c>
      <c r="P737" t="s">
        <v>72</v>
      </c>
      <c r="Q737" t="s">
        <v>72</v>
      </c>
      <c r="R737" t="s">
        <v>72</v>
      </c>
      <c r="S737" t="s">
        <v>72</v>
      </c>
      <c r="T737" t="s">
        <v>9752</v>
      </c>
      <c r="U737" t="s">
        <v>9753</v>
      </c>
      <c r="V737" t="s">
        <v>9754</v>
      </c>
      <c r="W737" t="s">
        <v>9755</v>
      </c>
      <c r="X737" t="s">
        <v>9756</v>
      </c>
      <c r="Y737" t="s">
        <v>9757</v>
      </c>
      <c r="Z737" t="s">
        <v>9758</v>
      </c>
      <c r="AA737" t="s">
        <v>9759</v>
      </c>
      <c r="AB737" t="s">
        <v>9760</v>
      </c>
      <c r="AC737" t="s">
        <v>72</v>
      </c>
      <c r="AD737" t="s">
        <v>72</v>
      </c>
      <c r="AE737" t="s">
        <v>72</v>
      </c>
      <c r="AF737" t="s">
        <v>72</v>
      </c>
      <c r="AG737">
        <v>63</v>
      </c>
      <c r="AH737">
        <v>18</v>
      </c>
      <c r="AI737">
        <v>18</v>
      </c>
      <c r="AJ737">
        <v>0</v>
      </c>
      <c r="AK737">
        <v>16</v>
      </c>
      <c r="AL737" t="s">
        <v>190</v>
      </c>
      <c r="AM737" t="s">
        <v>191</v>
      </c>
      <c r="AN737" t="s">
        <v>192</v>
      </c>
      <c r="AO737" t="s">
        <v>193</v>
      </c>
      <c r="AP737" t="s">
        <v>194</v>
      </c>
      <c r="AQ737" t="s">
        <v>72</v>
      </c>
      <c r="AR737" t="s">
        <v>195</v>
      </c>
      <c r="AS737" t="s">
        <v>196</v>
      </c>
      <c r="AT737" t="s">
        <v>951</v>
      </c>
      <c r="AU737">
        <v>2017</v>
      </c>
      <c r="AV737">
        <v>19</v>
      </c>
      <c r="AW737">
        <v>4</v>
      </c>
      <c r="AX737" t="s">
        <v>72</v>
      </c>
      <c r="AY737" t="s">
        <v>72</v>
      </c>
      <c r="AZ737" t="s">
        <v>478</v>
      </c>
      <c r="BA737" t="s">
        <v>72</v>
      </c>
      <c r="BB737">
        <v>715</v>
      </c>
      <c r="BC737">
        <v>734</v>
      </c>
      <c r="BD737" t="s">
        <v>72</v>
      </c>
      <c r="BE737" t="s">
        <v>9761</v>
      </c>
      <c r="BF737" t="str">
        <f>HYPERLINK("http://dx.doi.org/10.1177/1369148117715646","http://dx.doi.org/10.1177/1369148117715646")</f>
        <v>http://dx.doi.org/10.1177/1369148117715646</v>
      </c>
      <c r="BG737" t="s">
        <v>72</v>
      </c>
      <c r="BH737" t="s">
        <v>72</v>
      </c>
      <c r="BI737">
        <v>20</v>
      </c>
      <c r="BJ737" t="s">
        <v>200</v>
      </c>
      <c r="BK737" s="1" t="s">
        <v>17619</v>
      </c>
      <c r="BL737" t="s">
        <v>9762</v>
      </c>
      <c r="BM737" t="s">
        <v>72</v>
      </c>
      <c r="BN737" t="s">
        <v>483</v>
      </c>
      <c r="BO737" t="s">
        <v>72</v>
      </c>
      <c r="BP737" t="s">
        <v>72</v>
      </c>
      <c r="BQ737" t="s">
        <v>100</v>
      </c>
      <c r="BR737" t="s">
        <v>9763</v>
      </c>
      <c r="BS737" t="str">
        <f>HYPERLINK("https%3A%2F%2Fwww.webofscience.com%2Fwos%2Fwoscc%2Ffull-record%2FWOS:000413896300006","View Full Record in Web of Science")</f>
        <v>View Full Record in Web of Science</v>
      </c>
    </row>
    <row r="738" spans="1:71" x14ac:dyDescent="0.2">
      <c r="A738" t="s">
        <v>70</v>
      </c>
      <c r="B738" t="s">
        <v>10635</v>
      </c>
      <c r="C738" t="s">
        <v>72</v>
      </c>
      <c r="D738" t="s">
        <v>72</v>
      </c>
      <c r="E738" t="s">
        <v>72</v>
      </c>
      <c r="F738" t="s">
        <v>10636</v>
      </c>
      <c r="G738" t="s">
        <v>72</v>
      </c>
      <c r="H738" t="s">
        <v>72</v>
      </c>
      <c r="I738" t="s">
        <v>10637</v>
      </c>
      <c r="J738" t="s">
        <v>7427</v>
      </c>
      <c r="K738" t="s">
        <v>72</v>
      </c>
      <c r="L738" t="s">
        <v>72</v>
      </c>
      <c r="M738" t="s">
        <v>76</v>
      </c>
      <c r="N738" t="s">
        <v>77</v>
      </c>
      <c r="O738" t="s">
        <v>72</v>
      </c>
      <c r="P738" t="s">
        <v>72</v>
      </c>
      <c r="Q738" t="s">
        <v>72</v>
      </c>
      <c r="R738" t="s">
        <v>72</v>
      </c>
      <c r="S738" t="s">
        <v>72</v>
      </c>
      <c r="T738" t="s">
        <v>72</v>
      </c>
      <c r="U738" t="s">
        <v>10638</v>
      </c>
      <c r="V738" t="s">
        <v>10639</v>
      </c>
      <c r="W738" t="s">
        <v>10640</v>
      </c>
      <c r="X738" t="s">
        <v>9668</v>
      </c>
      <c r="Y738" t="s">
        <v>10641</v>
      </c>
      <c r="Z738" t="s">
        <v>10642</v>
      </c>
      <c r="AA738" t="s">
        <v>72</v>
      </c>
      <c r="AB738" t="s">
        <v>72</v>
      </c>
      <c r="AC738" t="s">
        <v>10643</v>
      </c>
      <c r="AD738" t="s">
        <v>10644</v>
      </c>
      <c r="AE738" t="s">
        <v>10645</v>
      </c>
      <c r="AF738" t="s">
        <v>72</v>
      </c>
      <c r="AG738">
        <v>71</v>
      </c>
      <c r="AH738">
        <v>28</v>
      </c>
      <c r="AI738">
        <v>28</v>
      </c>
      <c r="AJ738">
        <v>3</v>
      </c>
      <c r="AK738">
        <v>28</v>
      </c>
      <c r="AL738" t="s">
        <v>364</v>
      </c>
      <c r="AM738" t="s">
        <v>365</v>
      </c>
      <c r="AN738" t="s">
        <v>366</v>
      </c>
      <c r="AO738" t="s">
        <v>7439</v>
      </c>
      <c r="AP738" t="s">
        <v>7440</v>
      </c>
      <c r="AQ738" t="s">
        <v>72</v>
      </c>
      <c r="AR738" t="s">
        <v>7441</v>
      </c>
      <c r="AS738" t="s">
        <v>7442</v>
      </c>
      <c r="AT738" t="s">
        <v>477</v>
      </c>
      <c r="AU738">
        <v>2019</v>
      </c>
      <c r="AV738">
        <v>32</v>
      </c>
      <c r="AW738">
        <v>4</v>
      </c>
      <c r="AX738" t="s">
        <v>72</v>
      </c>
      <c r="AY738" t="s">
        <v>72</v>
      </c>
      <c r="AZ738" t="s">
        <v>478</v>
      </c>
      <c r="BA738" t="s">
        <v>72</v>
      </c>
      <c r="BB738">
        <v>429</v>
      </c>
      <c r="BC738">
        <v>455</v>
      </c>
      <c r="BD738" t="s">
        <v>72</v>
      </c>
      <c r="BE738" t="s">
        <v>10646</v>
      </c>
      <c r="BF738" t="str">
        <f>HYPERLINK("http://dx.doi.org/10.1080/09557571.2019.1622083","http://dx.doi.org/10.1080/09557571.2019.1622083")</f>
        <v>http://dx.doi.org/10.1080/09557571.2019.1622083</v>
      </c>
      <c r="BG738" t="s">
        <v>72</v>
      </c>
      <c r="BH738" t="s">
        <v>10647</v>
      </c>
      <c r="BI738">
        <v>27</v>
      </c>
      <c r="BJ738" t="s">
        <v>200</v>
      </c>
      <c r="BK738" s="1" t="s">
        <v>17619</v>
      </c>
      <c r="BL738" t="s">
        <v>10648</v>
      </c>
      <c r="BM738" t="s">
        <v>72</v>
      </c>
      <c r="BN738" t="s">
        <v>72</v>
      </c>
      <c r="BO738" t="s">
        <v>72</v>
      </c>
      <c r="BP738" t="s">
        <v>72</v>
      </c>
      <c r="BQ738" t="s">
        <v>100</v>
      </c>
      <c r="BR738" t="s">
        <v>10649</v>
      </c>
      <c r="BS738" t="str">
        <f>HYPERLINK("https%3A%2F%2Fwww.webofscience.com%2Fwos%2Fwoscc%2Ffull-record%2FWOS:000475036200001","View Full Record in Web of Science")</f>
        <v>View Full Record in Web of Science</v>
      </c>
    </row>
    <row r="739" spans="1:71" x14ac:dyDescent="0.2">
      <c r="A739" t="s">
        <v>70</v>
      </c>
      <c r="B739" t="s">
        <v>10717</v>
      </c>
      <c r="C739" t="s">
        <v>72</v>
      </c>
      <c r="D739" t="s">
        <v>72</v>
      </c>
      <c r="E739" t="s">
        <v>72</v>
      </c>
      <c r="F739" t="s">
        <v>10718</v>
      </c>
      <c r="G739" t="s">
        <v>72</v>
      </c>
      <c r="H739" t="s">
        <v>72</v>
      </c>
      <c r="I739" t="s">
        <v>10719</v>
      </c>
      <c r="J739" t="s">
        <v>10720</v>
      </c>
      <c r="K739" t="s">
        <v>72</v>
      </c>
      <c r="L739" t="s">
        <v>72</v>
      </c>
      <c r="M739" t="s">
        <v>76</v>
      </c>
      <c r="N739" t="s">
        <v>77</v>
      </c>
      <c r="O739" t="s">
        <v>72</v>
      </c>
      <c r="P739" t="s">
        <v>72</v>
      </c>
      <c r="Q739" t="s">
        <v>72</v>
      </c>
      <c r="R739" t="s">
        <v>72</v>
      </c>
      <c r="S739" t="s">
        <v>72</v>
      </c>
      <c r="T739" t="s">
        <v>10721</v>
      </c>
      <c r="U739" t="s">
        <v>10722</v>
      </c>
      <c r="V739" t="s">
        <v>10723</v>
      </c>
      <c r="W739" t="s">
        <v>10724</v>
      </c>
      <c r="X739" t="s">
        <v>10725</v>
      </c>
      <c r="Y739" t="s">
        <v>10726</v>
      </c>
      <c r="Z739" t="s">
        <v>1375</v>
      </c>
      <c r="AA739" t="s">
        <v>1376</v>
      </c>
      <c r="AB739" t="s">
        <v>1377</v>
      </c>
      <c r="AC739" t="s">
        <v>10727</v>
      </c>
      <c r="AD739" t="s">
        <v>10727</v>
      </c>
      <c r="AE739" t="s">
        <v>10728</v>
      </c>
      <c r="AF739" t="s">
        <v>72</v>
      </c>
      <c r="AG739">
        <v>42</v>
      </c>
      <c r="AH739">
        <v>1</v>
      </c>
      <c r="AI739">
        <v>1</v>
      </c>
      <c r="AJ739">
        <v>1</v>
      </c>
      <c r="AK739">
        <v>1</v>
      </c>
      <c r="AL739" t="s">
        <v>240</v>
      </c>
      <c r="AM739" t="s">
        <v>241</v>
      </c>
      <c r="AN739" t="s">
        <v>242</v>
      </c>
      <c r="AO739" t="s">
        <v>72</v>
      </c>
      <c r="AP739" t="s">
        <v>10729</v>
      </c>
      <c r="AQ739" t="s">
        <v>72</v>
      </c>
      <c r="AR739" t="s">
        <v>10730</v>
      </c>
      <c r="AS739" t="s">
        <v>10731</v>
      </c>
      <c r="AT739" t="s">
        <v>299</v>
      </c>
      <c r="AU739">
        <v>2021</v>
      </c>
      <c r="AV739">
        <v>23</v>
      </c>
      <c r="AW739">
        <v>2</v>
      </c>
      <c r="AX739" t="s">
        <v>72</v>
      </c>
      <c r="AY739" t="s">
        <v>72</v>
      </c>
      <c r="AZ739" t="s">
        <v>72</v>
      </c>
      <c r="BA739" t="s">
        <v>72</v>
      </c>
      <c r="BB739">
        <v>179</v>
      </c>
      <c r="BC739">
        <v>201</v>
      </c>
      <c r="BD739" t="s">
        <v>10732</v>
      </c>
      <c r="BE739" t="s">
        <v>10733</v>
      </c>
      <c r="BF739" t="str">
        <f>HYPERLINK("http://dx.doi.org/10.1017/bap.2020.8","http://dx.doi.org/10.1017/bap.2020.8")</f>
        <v>http://dx.doi.org/10.1017/bap.2020.8</v>
      </c>
      <c r="BG739" t="s">
        <v>72</v>
      </c>
      <c r="BH739" t="s">
        <v>72</v>
      </c>
      <c r="BI739">
        <v>23</v>
      </c>
      <c r="BJ739" t="s">
        <v>200</v>
      </c>
      <c r="BK739" s="1" t="s">
        <v>17619</v>
      </c>
      <c r="BL739" t="s">
        <v>10734</v>
      </c>
      <c r="BM739" t="s">
        <v>72</v>
      </c>
      <c r="BN739" t="s">
        <v>280</v>
      </c>
      <c r="BO739" t="s">
        <v>72</v>
      </c>
      <c r="BP739" t="s">
        <v>72</v>
      </c>
      <c r="BQ739" t="s">
        <v>100</v>
      </c>
      <c r="BR739" t="s">
        <v>10735</v>
      </c>
      <c r="BS739" t="str">
        <f>HYPERLINK("https%3A%2F%2Fwww.webofscience.com%2Fwos%2Fwoscc%2Ffull-record%2FWOS:000646258500001","View Full Record in Web of Science")</f>
        <v>View Full Record in Web of Science</v>
      </c>
    </row>
    <row r="740" spans="1:71" x14ac:dyDescent="0.2">
      <c r="A740" t="s">
        <v>70</v>
      </c>
      <c r="B740" t="s">
        <v>10736</v>
      </c>
      <c r="C740" t="s">
        <v>72</v>
      </c>
      <c r="D740" t="s">
        <v>72</v>
      </c>
      <c r="E740" t="s">
        <v>72</v>
      </c>
      <c r="F740" t="s">
        <v>10737</v>
      </c>
      <c r="G740" t="s">
        <v>72</v>
      </c>
      <c r="H740" t="s">
        <v>72</v>
      </c>
      <c r="I740" t="s">
        <v>10738</v>
      </c>
      <c r="J740" t="s">
        <v>10739</v>
      </c>
      <c r="K740" t="s">
        <v>72</v>
      </c>
      <c r="L740" t="s">
        <v>72</v>
      </c>
      <c r="M740" t="s">
        <v>76</v>
      </c>
      <c r="N740" t="s">
        <v>352</v>
      </c>
      <c r="O740" t="s">
        <v>72</v>
      </c>
      <c r="P740" t="s">
        <v>72</v>
      </c>
      <c r="Q740" t="s">
        <v>72</v>
      </c>
      <c r="R740" t="s">
        <v>72</v>
      </c>
      <c r="S740" t="s">
        <v>72</v>
      </c>
      <c r="T740" t="s">
        <v>10740</v>
      </c>
      <c r="U740" t="s">
        <v>10741</v>
      </c>
      <c r="V740" t="s">
        <v>10742</v>
      </c>
      <c r="W740" t="s">
        <v>10743</v>
      </c>
      <c r="X740" t="s">
        <v>10744</v>
      </c>
      <c r="Y740" t="s">
        <v>10745</v>
      </c>
      <c r="Z740" t="s">
        <v>10746</v>
      </c>
      <c r="AA740" t="s">
        <v>72</v>
      </c>
      <c r="AB740" t="s">
        <v>10747</v>
      </c>
      <c r="AC740" t="s">
        <v>10748</v>
      </c>
      <c r="AD740" t="s">
        <v>10749</v>
      </c>
      <c r="AE740" t="s">
        <v>10750</v>
      </c>
      <c r="AF740" t="s">
        <v>72</v>
      </c>
      <c r="AG740">
        <v>59</v>
      </c>
      <c r="AH740">
        <v>0</v>
      </c>
      <c r="AI740">
        <v>0</v>
      </c>
      <c r="AJ740">
        <v>1</v>
      </c>
      <c r="AK740">
        <v>1</v>
      </c>
      <c r="AL740" t="s">
        <v>336</v>
      </c>
      <c r="AM740" t="s">
        <v>337</v>
      </c>
      <c r="AN740" t="s">
        <v>338</v>
      </c>
      <c r="AO740" t="s">
        <v>10751</v>
      </c>
      <c r="AP740" t="s">
        <v>10752</v>
      </c>
      <c r="AQ740" t="s">
        <v>72</v>
      </c>
      <c r="AR740" t="s">
        <v>10753</v>
      </c>
      <c r="AS740" t="s">
        <v>10754</v>
      </c>
      <c r="AT740" t="s">
        <v>72</v>
      </c>
      <c r="AU740" t="s">
        <v>72</v>
      </c>
      <c r="AV740" t="s">
        <v>72</v>
      </c>
      <c r="AW740" t="s">
        <v>72</v>
      </c>
      <c r="AX740" t="s">
        <v>72</v>
      </c>
      <c r="AY740" t="s">
        <v>72</v>
      </c>
      <c r="AZ740" t="s">
        <v>72</v>
      </c>
      <c r="BA740" t="s">
        <v>72</v>
      </c>
      <c r="BB740" t="s">
        <v>72</v>
      </c>
      <c r="BC740" t="s">
        <v>72</v>
      </c>
      <c r="BD740">
        <v>108367221093155</v>
      </c>
      <c r="BE740" t="s">
        <v>10755</v>
      </c>
      <c r="BF740" t="str">
        <f>HYPERLINK("http://dx.doi.org/10.1177/00108367221093155","http://dx.doi.org/10.1177/00108367221093155")</f>
        <v>http://dx.doi.org/10.1177/00108367221093155</v>
      </c>
      <c r="BG740" t="s">
        <v>72</v>
      </c>
      <c r="BH740" t="s">
        <v>1403</v>
      </c>
      <c r="BI740">
        <v>21</v>
      </c>
      <c r="BJ740" t="s">
        <v>200</v>
      </c>
      <c r="BK740" s="1" t="s">
        <v>17619</v>
      </c>
      <c r="BL740" t="s">
        <v>10756</v>
      </c>
      <c r="BM740" t="s">
        <v>72</v>
      </c>
      <c r="BN740" t="s">
        <v>2403</v>
      </c>
      <c r="BO740" t="s">
        <v>72</v>
      </c>
      <c r="BP740" t="s">
        <v>72</v>
      </c>
      <c r="BQ740" t="s">
        <v>100</v>
      </c>
      <c r="BR740" t="s">
        <v>10757</v>
      </c>
      <c r="BS740" t="str">
        <f>HYPERLINK("https%3A%2F%2Fwww.webofscience.com%2Fwos%2Fwoscc%2Ffull-record%2FWOS:000797492300001","View Full Record in Web of Science")</f>
        <v>View Full Record in Web of Science</v>
      </c>
    </row>
    <row r="741" spans="1:71" x14ac:dyDescent="0.2">
      <c r="A741" t="s">
        <v>70</v>
      </c>
      <c r="B741" t="s">
        <v>11973</v>
      </c>
      <c r="C741" t="s">
        <v>72</v>
      </c>
      <c r="D741" t="s">
        <v>72</v>
      </c>
      <c r="E741" t="s">
        <v>72</v>
      </c>
      <c r="F741" t="s">
        <v>11974</v>
      </c>
      <c r="G741" t="s">
        <v>72</v>
      </c>
      <c r="H741" t="s">
        <v>72</v>
      </c>
      <c r="I741" t="s">
        <v>11975</v>
      </c>
      <c r="J741" t="s">
        <v>8115</v>
      </c>
      <c r="K741" t="s">
        <v>72</v>
      </c>
      <c r="L741" t="s">
        <v>72</v>
      </c>
      <c r="M741" t="s">
        <v>76</v>
      </c>
      <c r="N741" t="s">
        <v>77</v>
      </c>
      <c r="O741" t="s">
        <v>72</v>
      </c>
      <c r="P741" t="s">
        <v>72</v>
      </c>
      <c r="Q741" t="s">
        <v>72</v>
      </c>
      <c r="R741" t="s">
        <v>72</v>
      </c>
      <c r="S741" t="s">
        <v>72</v>
      </c>
      <c r="T741" t="s">
        <v>72</v>
      </c>
      <c r="U741" t="s">
        <v>11976</v>
      </c>
      <c r="V741" t="s">
        <v>11977</v>
      </c>
      <c r="W741" t="s">
        <v>11978</v>
      </c>
      <c r="X741" t="s">
        <v>11979</v>
      </c>
      <c r="Y741" t="s">
        <v>11980</v>
      </c>
      <c r="Z741" t="s">
        <v>72</v>
      </c>
      <c r="AA741" t="s">
        <v>11981</v>
      </c>
      <c r="AB741" t="s">
        <v>11982</v>
      </c>
      <c r="AC741" t="s">
        <v>11983</v>
      </c>
      <c r="AD741" t="s">
        <v>11984</v>
      </c>
      <c r="AE741" t="s">
        <v>11985</v>
      </c>
      <c r="AF741" t="s">
        <v>72</v>
      </c>
      <c r="AG741">
        <v>111</v>
      </c>
      <c r="AH741">
        <v>3</v>
      </c>
      <c r="AI741">
        <v>3</v>
      </c>
      <c r="AJ741">
        <v>1</v>
      </c>
      <c r="AK741">
        <v>5</v>
      </c>
      <c r="AL741" t="s">
        <v>879</v>
      </c>
      <c r="AM741" t="s">
        <v>451</v>
      </c>
      <c r="AN741" t="s">
        <v>880</v>
      </c>
      <c r="AO741" t="s">
        <v>8122</v>
      </c>
      <c r="AP741" t="s">
        <v>8123</v>
      </c>
      <c r="AQ741" t="s">
        <v>72</v>
      </c>
      <c r="AR741" t="s">
        <v>8124</v>
      </c>
      <c r="AS741" t="s">
        <v>8125</v>
      </c>
      <c r="AT741" t="s">
        <v>299</v>
      </c>
      <c r="AU741">
        <v>2021</v>
      </c>
      <c r="AV741">
        <v>65</v>
      </c>
      <c r="AW741">
        <v>2</v>
      </c>
      <c r="AX741" t="s">
        <v>72</v>
      </c>
      <c r="AY741" t="s">
        <v>72</v>
      </c>
      <c r="AZ741" t="s">
        <v>72</v>
      </c>
      <c r="BA741" t="s">
        <v>72</v>
      </c>
      <c r="BB741">
        <v>263</v>
      </c>
      <c r="BC741">
        <v>276</v>
      </c>
      <c r="BD741" t="s">
        <v>72</v>
      </c>
      <c r="BE741" t="s">
        <v>11986</v>
      </c>
      <c r="BF741" t="str">
        <f>HYPERLINK("http://dx.doi.org/10.1093/isq/sqab003","http://dx.doi.org/10.1093/isq/sqab003")</f>
        <v>http://dx.doi.org/10.1093/isq/sqab003</v>
      </c>
      <c r="BG741" t="s">
        <v>72</v>
      </c>
      <c r="BH741" t="s">
        <v>344</v>
      </c>
      <c r="BI741">
        <v>14</v>
      </c>
      <c r="BJ741" t="s">
        <v>200</v>
      </c>
      <c r="BK741" s="1" t="s">
        <v>17619</v>
      </c>
      <c r="BL741" t="s">
        <v>11987</v>
      </c>
      <c r="BM741" t="s">
        <v>72</v>
      </c>
      <c r="BN741" t="s">
        <v>6375</v>
      </c>
      <c r="BO741" t="s">
        <v>72</v>
      </c>
      <c r="BP741" t="s">
        <v>72</v>
      </c>
      <c r="BQ741" t="s">
        <v>100</v>
      </c>
      <c r="BR741" t="s">
        <v>11988</v>
      </c>
      <c r="BS741" t="str">
        <f>HYPERLINK("https%3A%2F%2Fwww.webofscience.com%2Fwos%2Fwoscc%2Ffull-record%2FWOS:000670967200001","View Full Record in Web of Science")</f>
        <v>View Full Record in Web of Science</v>
      </c>
    </row>
    <row r="742" spans="1:71" x14ac:dyDescent="0.2">
      <c r="A742" t="s">
        <v>70</v>
      </c>
      <c r="B742" t="s">
        <v>12059</v>
      </c>
      <c r="C742" t="s">
        <v>72</v>
      </c>
      <c r="D742" t="s">
        <v>72</v>
      </c>
      <c r="E742" t="s">
        <v>72</v>
      </c>
      <c r="F742" t="s">
        <v>12060</v>
      </c>
      <c r="G742" t="s">
        <v>72</v>
      </c>
      <c r="H742" t="s">
        <v>72</v>
      </c>
      <c r="I742" t="s">
        <v>12061</v>
      </c>
      <c r="J742" t="s">
        <v>12062</v>
      </c>
      <c r="K742" t="s">
        <v>72</v>
      </c>
      <c r="L742" t="s">
        <v>72</v>
      </c>
      <c r="M742" t="s">
        <v>76</v>
      </c>
      <c r="N742" t="s">
        <v>77</v>
      </c>
      <c r="O742" t="s">
        <v>72</v>
      </c>
      <c r="P742" t="s">
        <v>72</v>
      </c>
      <c r="Q742" t="s">
        <v>72</v>
      </c>
      <c r="R742" t="s">
        <v>72</v>
      </c>
      <c r="S742" t="s">
        <v>72</v>
      </c>
      <c r="T742" t="s">
        <v>12063</v>
      </c>
      <c r="U742" t="s">
        <v>12064</v>
      </c>
      <c r="V742" t="s">
        <v>12065</v>
      </c>
      <c r="W742" t="s">
        <v>12066</v>
      </c>
      <c r="X742" t="s">
        <v>2669</v>
      </c>
      <c r="Y742" t="s">
        <v>12067</v>
      </c>
      <c r="Z742" t="s">
        <v>12068</v>
      </c>
      <c r="AA742" t="s">
        <v>72</v>
      </c>
      <c r="AB742" t="s">
        <v>12069</v>
      </c>
      <c r="AC742" t="s">
        <v>12070</v>
      </c>
      <c r="AD742" t="s">
        <v>12071</v>
      </c>
      <c r="AE742" t="s">
        <v>12072</v>
      </c>
      <c r="AF742" t="s">
        <v>72</v>
      </c>
      <c r="AG742">
        <v>95</v>
      </c>
      <c r="AH742">
        <v>4</v>
      </c>
      <c r="AI742">
        <v>4</v>
      </c>
      <c r="AJ742">
        <v>0</v>
      </c>
      <c r="AK742">
        <v>8</v>
      </c>
      <c r="AL742" t="s">
        <v>1005</v>
      </c>
      <c r="AM742" t="s">
        <v>1006</v>
      </c>
      <c r="AN742" t="s">
        <v>1007</v>
      </c>
      <c r="AO742" t="s">
        <v>12073</v>
      </c>
      <c r="AP742" t="s">
        <v>12074</v>
      </c>
      <c r="AQ742" t="s">
        <v>72</v>
      </c>
      <c r="AR742" t="s">
        <v>12075</v>
      </c>
      <c r="AS742" t="s">
        <v>12076</v>
      </c>
      <c r="AT742" t="s">
        <v>299</v>
      </c>
      <c r="AU742">
        <v>2020</v>
      </c>
      <c r="AV742">
        <v>23</v>
      </c>
      <c r="AW742">
        <v>2</v>
      </c>
      <c r="AX742" t="s">
        <v>72</v>
      </c>
      <c r="AY742" t="s">
        <v>72</v>
      </c>
      <c r="AZ742" t="s">
        <v>72</v>
      </c>
      <c r="BA742" t="s">
        <v>72</v>
      </c>
      <c r="BB742">
        <v>385</v>
      </c>
      <c r="BC742">
        <v>413</v>
      </c>
      <c r="BD742" t="s">
        <v>72</v>
      </c>
      <c r="BE742" t="s">
        <v>12077</v>
      </c>
      <c r="BF742" t="str">
        <f>HYPERLINK("http://dx.doi.org/10.1057/s41268-018-0143-3","http://dx.doi.org/10.1057/s41268-018-0143-3")</f>
        <v>http://dx.doi.org/10.1057/s41268-018-0143-3</v>
      </c>
      <c r="BG742" t="s">
        <v>72</v>
      </c>
      <c r="BH742" t="s">
        <v>72</v>
      </c>
      <c r="BI742">
        <v>29</v>
      </c>
      <c r="BJ742" t="s">
        <v>200</v>
      </c>
      <c r="BK742" s="1" t="s">
        <v>17619</v>
      </c>
      <c r="BL742" t="s">
        <v>12078</v>
      </c>
      <c r="BM742" t="s">
        <v>72</v>
      </c>
      <c r="BN742" t="s">
        <v>72</v>
      </c>
      <c r="BO742" t="s">
        <v>72</v>
      </c>
      <c r="BP742" t="s">
        <v>72</v>
      </c>
      <c r="BQ742" t="s">
        <v>100</v>
      </c>
      <c r="BR742" t="s">
        <v>12079</v>
      </c>
      <c r="BS742" t="str">
        <f>HYPERLINK("https%3A%2F%2Fwww.webofscience.com%2Fwos%2Fwoscc%2Ffull-record%2FWOS:000531144400007","View Full Record in Web of Science")</f>
        <v>View Full Record in Web of Science</v>
      </c>
    </row>
    <row r="743" spans="1:71" x14ac:dyDescent="0.2">
      <c r="A743" t="s">
        <v>70</v>
      </c>
      <c r="B743" t="s">
        <v>12760</v>
      </c>
      <c r="C743" t="s">
        <v>72</v>
      </c>
      <c r="D743" t="s">
        <v>72</v>
      </c>
      <c r="E743" t="s">
        <v>72</v>
      </c>
      <c r="F743" t="s">
        <v>12761</v>
      </c>
      <c r="G743" t="s">
        <v>72</v>
      </c>
      <c r="H743" t="s">
        <v>72</v>
      </c>
      <c r="I743" t="s">
        <v>12762</v>
      </c>
      <c r="J743" t="s">
        <v>12763</v>
      </c>
      <c r="K743" t="s">
        <v>72</v>
      </c>
      <c r="L743" t="s">
        <v>72</v>
      </c>
      <c r="M743" t="s">
        <v>76</v>
      </c>
      <c r="N743" t="s">
        <v>77</v>
      </c>
      <c r="O743" t="s">
        <v>72</v>
      </c>
      <c r="P743" t="s">
        <v>72</v>
      </c>
      <c r="Q743" t="s">
        <v>72</v>
      </c>
      <c r="R743" t="s">
        <v>72</v>
      </c>
      <c r="S743" t="s">
        <v>72</v>
      </c>
      <c r="T743" t="s">
        <v>12764</v>
      </c>
      <c r="U743" t="s">
        <v>12765</v>
      </c>
      <c r="V743" t="s">
        <v>12766</v>
      </c>
      <c r="W743" t="s">
        <v>12767</v>
      </c>
      <c r="X743" t="s">
        <v>8320</v>
      </c>
      <c r="Y743" t="s">
        <v>12768</v>
      </c>
      <c r="Z743" t="s">
        <v>12769</v>
      </c>
      <c r="AA743" t="s">
        <v>72</v>
      </c>
      <c r="AB743" t="s">
        <v>12770</v>
      </c>
      <c r="AC743" t="s">
        <v>12771</v>
      </c>
      <c r="AD743" t="s">
        <v>12772</v>
      </c>
      <c r="AE743" t="s">
        <v>12773</v>
      </c>
      <c r="AF743" t="s">
        <v>72</v>
      </c>
      <c r="AG743">
        <v>85</v>
      </c>
      <c r="AH743">
        <v>6</v>
      </c>
      <c r="AI743">
        <v>6</v>
      </c>
      <c r="AJ743">
        <v>0</v>
      </c>
      <c r="AK743">
        <v>4</v>
      </c>
      <c r="AL743" t="s">
        <v>879</v>
      </c>
      <c r="AM743" t="s">
        <v>451</v>
      </c>
      <c r="AN743" t="s">
        <v>880</v>
      </c>
      <c r="AO743" t="s">
        <v>12774</v>
      </c>
      <c r="AP743" t="s">
        <v>12775</v>
      </c>
      <c r="AQ743" t="s">
        <v>72</v>
      </c>
      <c r="AR743" t="s">
        <v>12776</v>
      </c>
      <c r="AS743" t="s">
        <v>12777</v>
      </c>
      <c r="AT743" t="s">
        <v>555</v>
      </c>
      <c r="AU743">
        <v>2017</v>
      </c>
      <c r="AV743">
        <v>11</v>
      </c>
      <c r="AW743">
        <v>1</v>
      </c>
      <c r="AX743" t="s">
        <v>72</v>
      </c>
      <c r="AY743" t="s">
        <v>72</v>
      </c>
      <c r="AZ743" t="s">
        <v>478</v>
      </c>
      <c r="BA743" t="s">
        <v>72</v>
      </c>
      <c r="BB743">
        <v>154</v>
      </c>
      <c r="BC743">
        <v>175</v>
      </c>
      <c r="BD743" t="s">
        <v>72</v>
      </c>
      <c r="BE743" t="s">
        <v>12778</v>
      </c>
      <c r="BF743" t="str">
        <f>HYPERLINK("http://dx.doi.org/10.1093/ijtj/ijw023","http://dx.doi.org/10.1093/ijtj/ijw023")</f>
        <v>http://dx.doi.org/10.1093/ijtj/ijw023</v>
      </c>
      <c r="BG743" t="s">
        <v>72</v>
      </c>
      <c r="BH743" t="s">
        <v>72</v>
      </c>
      <c r="BI743">
        <v>22</v>
      </c>
      <c r="BJ743" t="s">
        <v>12779</v>
      </c>
      <c r="BK743" s="1" t="s">
        <v>17619</v>
      </c>
      <c r="BL743" t="s">
        <v>12780</v>
      </c>
      <c r="BM743" t="s">
        <v>72</v>
      </c>
      <c r="BN743" t="s">
        <v>559</v>
      </c>
      <c r="BO743" t="s">
        <v>72</v>
      </c>
      <c r="BP743" t="s">
        <v>72</v>
      </c>
      <c r="BQ743" t="s">
        <v>100</v>
      </c>
      <c r="BR743" t="s">
        <v>12781</v>
      </c>
      <c r="BS743" t="str">
        <f>HYPERLINK("https%3A%2F%2Fwww.webofscience.com%2Fwos%2Fwoscc%2Ffull-record%2FWOS:000397427700009","View Full Record in Web of Science")</f>
        <v>View Full Record in Web of Science</v>
      </c>
    </row>
    <row r="744" spans="1:71" x14ac:dyDescent="0.2">
      <c r="A744" t="s">
        <v>70</v>
      </c>
      <c r="B744" t="s">
        <v>15049</v>
      </c>
      <c r="C744" t="s">
        <v>72</v>
      </c>
      <c r="D744" t="s">
        <v>72</v>
      </c>
      <c r="E744" t="s">
        <v>72</v>
      </c>
      <c r="F744" t="s">
        <v>15050</v>
      </c>
      <c r="G744" t="s">
        <v>72</v>
      </c>
      <c r="H744" t="s">
        <v>72</v>
      </c>
      <c r="I744" t="s">
        <v>15051</v>
      </c>
      <c r="J744" t="s">
        <v>15052</v>
      </c>
      <c r="K744" t="s">
        <v>72</v>
      </c>
      <c r="L744" t="s">
        <v>72</v>
      </c>
      <c r="M744" t="s">
        <v>76</v>
      </c>
      <c r="N744" t="s">
        <v>77</v>
      </c>
      <c r="O744" t="s">
        <v>72</v>
      </c>
      <c r="P744" t="s">
        <v>72</v>
      </c>
      <c r="Q744" t="s">
        <v>72</v>
      </c>
      <c r="R744" t="s">
        <v>72</v>
      </c>
      <c r="S744" t="s">
        <v>72</v>
      </c>
      <c r="T744" t="s">
        <v>15053</v>
      </c>
      <c r="U744" t="s">
        <v>15054</v>
      </c>
      <c r="V744" t="s">
        <v>15055</v>
      </c>
      <c r="W744" t="s">
        <v>15056</v>
      </c>
      <c r="X744" t="s">
        <v>6756</v>
      </c>
      <c r="Y744" t="s">
        <v>15057</v>
      </c>
      <c r="Z744" t="s">
        <v>15058</v>
      </c>
      <c r="AA744" t="s">
        <v>72</v>
      </c>
      <c r="AB744" t="s">
        <v>15059</v>
      </c>
      <c r="AC744" t="s">
        <v>72</v>
      </c>
      <c r="AD744" t="s">
        <v>72</v>
      </c>
      <c r="AE744" t="s">
        <v>72</v>
      </c>
      <c r="AF744" t="s">
        <v>72</v>
      </c>
      <c r="AG744">
        <v>44</v>
      </c>
      <c r="AH744">
        <v>0</v>
      </c>
      <c r="AI744">
        <v>0</v>
      </c>
      <c r="AJ744">
        <v>4</v>
      </c>
      <c r="AK744">
        <v>9</v>
      </c>
      <c r="AL744" t="s">
        <v>240</v>
      </c>
      <c r="AM744" t="s">
        <v>707</v>
      </c>
      <c r="AN744" t="s">
        <v>1205</v>
      </c>
      <c r="AO744" t="s">
        <v>15060</v>
      </c>
      <c r="AP744" t="s">
        <v>15061</v>
      </c>
      <c r="AQ744" t="s">
        <v>72</v>
      </c>
      <c r="AR744" t="s">
        <v>15062</v>
      </c>
      <c r="AS744" t="s">
        <v>15063</v>
      </c>
      <c r="AT744" t="s">
        <v>72</v>
      </c>
      <c r="AU744">
        <v>2022</v>
      </c>
      <c r="AV744">
        <v>76</v>
      </c>
      <c r="AW744">
        <v>1</v>
      </c>
      <c r="AX744" t="s">
        <v>72</v>
      </c>
      <c r="AY744" t="s">
        <v>72</v>
      </c>
      <c r="AZ744" t="s">
        <v>72</v>
      </c>
      <c r="BA744" t="s">
        <v>72</v>
      </c>
      <c r="BB744">
        <v>251</v>
      </c>
      <c r="BC744">
        <v>272</v>
      </c>
      <c r="BD744" t="s">
        <v>15064</v>
      </c>
      <c r="BE744" t="s">
        <v>15065</v>
      </c>
      <c r="BF744" t="str">
        <f>HYPERLINK("http://dx.doi.org/10.1017/S0020818321000242","http://dx.doi.org/10.1017/S0020818321000242")</f>
        <v>http://dx.doi.org/10.1017/S0020818321000242</v>
      </c>
      <c r="BG744" t="s">
        <v>72</v>
      </c>
      <c r="BH744" t="s">
        <v>72</v>
      </c>
      <c r="BI744">
        <v>22</v>
      </c>
      <c r="BJ744" t="s">
        <v>200</v>
      </c>
      <c r="BK744" s="1" t="s">
        <v>17619</v>
      </c>
      <c r="BL744" t="s">
        <v>15066</v>
      </c>
      <c r="BM744" t="s">
        <v>72</v>
      </c>
      <c r="BN744" t="s">
        <v>72</v>
      </c>
      <c r="BO744" t="s">
        <v>72</v>
      </c>
      <c r="BP744" t="s">
        <v>72</v>
      </c>
      <c r="BQ744" t="s">
        <v>100</v>
      </c>
      <c r="BR744" t="s">
        <v>15067</v>
      </c>
      <c r="BS744" t="str">
        <f>HYPERLINK("https%3A%2F%2Fwww.webofscience.com%2Fwos%2Fwoscc%2Ffull-record%2FWOS:000756624700012","View Full Record in Web of Science")</f>
        <v>View Full Record in Web of Science</v>
      </c>
    </row>
    <row r="745" spans="1:71" x14ac:dyDescent="0.2">
      <c r="A745" t="s">
        <v>70</v>
      </c>
      <c r="B745" t="s">
        <v>15505</v>
      </c>
      <c r="C745" t="s">
        <v>72</v>
      </c>
      <c r="D745" t="s">
        <v>72</v>
      </c>
      <c r="E745" t="s">
        <v>72</v>
      </c>
      <c r="F745" t="s">
        <v>15506</v>
      </c>
      <c r="G745" t="s">
        <v>72</v>
      </c>
      <c r="H745" t="s">
        <v>72</v>
      </c>
      <c r="I745" t="s">
        <v>15507</v>
      </c>
      <c r="J745" t="s">
        <v>327</v>
      </c>
      <c r="K745" t="s">
        <v>72</v>
      </c>
      <c r="L745" t="s">
        <v>72</v>
      </c>
      <c r="M745" t="s">
        <v>76</v>
      </c>
      <c r="N745" t="s">
        <v>77</v>
      </c>
      <c r="O745" t="s">
        <v>72</v>
      </c>
      <c r="P745" t="s">
        <v>72</v>
      </c>
      <c r="Q745" t="s">
        <v>72</v>
      </c>
      <c r="R745" t="s">
        <v>72</v>
      </c>
      <c r="S745" t="s">
        <v>72</v>
      </c>
      <c r="T745" t="s">
        <v>15508</v>
      </c>
      <c r="U745" t="s">
        <v>15509</v>
      </c>
      <c r="V745" t="s">
        <v>15510</v>
      </c>
      <c r="W745" t="s">
        <v>15511</v>
      </c>
      <c r="X745" t="s">
        <v>4590</v>
      </c>
      <c r="Y745" t="s">
        <v>15512</v>
      </c>
      <c r="Z745" t="s">
        <v>15513</v>
      </c>
      <c r="AA745" t="s">
        <v>72</v>
      </c>
      <c r="AB745" t="s">
        <v>15514</v>
      </c>
      <c r="AC745" t="s">
        <v>15515</v>
      </c>
      <c r="AD745" t="s">
        <v>15515</v>
      </c>
      <c r="AE745" t="s">
        <v>15516</v>
      </c>
      <c r="AF745" t="s">
        <v>72</v>
      </c>
      <c r="AG745">
        <v>51</v>
      </c>
      <c r="AH745">
        <v>9</v>
      </c>
      <c r="AI745">
        <v>9</v>
      </c>
      <c r="AJ745">
        <v>2</v>
      </c>
      <c r="AK745">
        <v>8</v>
      </c>
      <c r="AL745" t="s">
        <v>336</v>
      </c>
      <c r="AM745" t="s">
        <v>337</v>
      </c>
      <c r="AN745" t="s">
        <v>338</v>
      </c>
      <c r="AO745" t="s">
        <v>339</v>
      </c>
      <c r="AP745" t="s">
        <v>340</v>
      </c>
      <c r="AQ745" t="s">
        <v>72</v>
      </c>
      <c r="AR745" t="s">
        <v>341</v>
      </c>
      <c r="AS745" t="s">
        <v>342</v>
      </c>
      <c r="AT745" t="s">
        <v>951</v>
      </c>
      <c r="AU745">
        <v>2020</v>
      </c>
      <c r="AV745">
        <v>57</v>
      </c>
      <c r="AW745">
        <v>6</v>
      </c>
      <c r="AX745" t="s">
        <v>72</v>
      </c>
      <c r="AY745" t="s">
        <v>72</v>
      </c>
      <c r="AZ745" t="s">
        <v>478</v>
      </c>
      <c r="BA745" t="s">
        <v>72</v>
      </c>
      <c r="BB745">
        <v>740</v>
      </c>
      <c r="BC745">
        <v>751</v>
      </c>
      <c r="BD745" t="s">
        <v>72</v>
      </c>
      <c r="BE745" t="s">
        <v>15517</v>
      </c>
      <c r="BF745" t="str">
        <f>HYPERLINK("http://dx.doi.org/10.1177/0022343320960523","http://dx.doi.org/10.1177/0022343320960523")</f>
        <v>http://dx.doi.org/10.1177/0022343320960523</v>
      </c>
      <c r="BG745" t="s">
        <v>72</v>
      </c>
      <c r="BH745" t="s">
        <v>72</v>
      </c>
      <c r="BI745">
        <v>12</v>
      </c>
      <c r="BJ745" t="s">
        <v>200</v>
      </c>
      <c r="BK745" s="1" t="s">
        <v>17619</v>
      </c>
      <c r="BL745" t="s">
        <v>3775</v>
      </c>
      <c r="BM745" t="s">
        <v>72</v>
      </c>
      <c r="BN745" t="s">
        <v>72</v>
      </c>
      <c r="BO745" t="s">
        <v>72</v>
      </c>
      <c r="BP745" t="s">
        <v>72</v>
      </c>
      <c r="BQ745" t="s">
        <v>100</v>
      </c>
      <c r="BR745" t="s">
        <v>15518</v>
      </c>
      <c r="BS745" t="str">
        <f>HYPERLINK("https%3A%2F%2Fwww.webofscience.com%2Fwos%2Fwoscc%2Ffull-record%2FWOS:000597616400007","View Full Record in Web of Science")</f>
        <v>View Full Record in Web of Science</v>
      </c>
    </row>
    <row r="746" spans="1:71" x14ac:dyDescent="0.2">
      <c r="A746" t="s">
        <v>70</v>
      </c>
      <c r="B746" t="s">
        <v>16031</v>
      </c>
      <c r="C746" t="s">
        <v>72</v>
      </c>
      <c r="D746" t="s">
        <v>72</v>
      </c>
      <c r="E746" t="s">
        <v>72</v>
      </c>
      <c r="F746" t="s">
        <v>16032</v>
      </c>
      <c r="G746" t="s">
        <v>72</v>
      </c>
      <c r="H746" t="s">
        <v>72</v>
      </c>
      <c r="I746" t="s">
        <v>16033</v>
      </c>
      <c r="J746" t="s">
        <v>16034</v>
      </c>
      <c r="K746" t="s">
        <v>72</v>
      </c>
      <c r="L746" t="s">
        <v>72</v>
      </c>
      <c r="M746" t="s">
        <v>76</v>
      </c>
      <c r="N746" t="s">
        <v>1503</v>
      </c>
      <c r="O746" t="s">
        <v>72</v>
      </c>
      <c r="P746" t="s">
        <v>72</v>
      </c>
      <c r="Q746" t="s">
        <v>72</v>
      </c>
      <c r="R746" t="s">
        <v>72</v>
      </c>
      <c r="S746" t="s">
        <v>72</v>
      </c>
      <c r="T746" t="s">
        <v>16035</v>
      </c>
      <c r="U746" t="s">
        <v>16036</v>
      </c>
      <c r="V746" t="s">
        <v>16037</v>
      </c>
      <c r="W746" t="s">
        <v>16038</v>
      </c>
      <c r="X746" t="s">
        <v>8320</v>
      </c>
      <c r="Y746" t="s">
        <v>16039</v>
      </c>
      <c r="Z746" t="s">
        <v>72</v>
      </c>
      <c r="AA746" t="s">
        <v>16040</v>
      </c>
      <c r="AB746" t="s">
        <v>16041</v>
      </c>
      <c r="AC746" t="s">
        <v>16042</v>
      </c>
      <c r="AD746" t="s">
        <v>16042</v>
      </c>
      <c r="AE746" t="s">
        <v>16043</v>
      </c>
      <c r="AF746" t="s">
        <v>72</v>
      </c>
      <c r="AG746">
        <v>173</v>
      </c>
      <c r="AH746">
        <v>0</v>
      </c>
      <c r="AI746">
        <v>0</v>
      </c>
      <c r="AJ746">
        <v>2</v>
      </c>
      <c r="AK746">
        <v>2</v>
      </c>
      <c r="AL746" t="s">
        <v>879</v>
      </c>
      <c r="AM746" t="s">
        <v>451</v>
      </c>
      <c r="AN746" t="s">
        <v>880</v>
      </c>
      <c r="AO746" t="s">
        <v>16044</v>
      </c>
      <c r="AP746" t="s">
        <v>16045</v>
      </c>
      <c r="AQ746" t="s">
        <v>72</v>
      </c>
      <c r="AR746" t="s">
        <v>16046</v>
      </c>
      <c r="AS746" t="s">
        <v>16047</v>
      </c>
      <c r="AT746" t="s">
        <v>14077</v>
      </c>
      <c r="AU746">
        <v>2022</v>
      </c>
      <c r="AV746">
        <v>24</v>
      </c>
      <c r="AW746">
        <v>3</v>
      </c>
      <c r="AX746" t="s">
        <v>72</v>
      </c>
      <c r="AY746" t="s">
        <v>72</v>
      </c>
      <c r="AZ746" t="s">
        <v>72</v>
      </c>
      <c r="BA746" t="s">
        <v>72</v>
      </c>
      <c r="BB746" t="s">
        <v>72</v>
      </c>
      <c r="BC746" t="s">
        <v>72</v>
      </c>
      <c r="BD746" t="s">
        <v>16048</v>
      </c>
      <c r="BE746" t="s">
        <v>16049</v>
      </c>
      <c r="BF746" t="str">
        <f>HYPERLINK("http://dx.doi.org/10.1093/isr/viac025","http://dx.doi.org/10.1093/isr/viac025")</f>
        <v>http://dx.doi.org/10.1093/isr/viac025</v>
      </c>
      <c r="BG746" t="s">
        <v>72</v>
      </c>
      <c r="BH746" t="s">
        <v>72</v>
      </c>
      <c r="BI746">
        <v>28</v>
      </c>
      <c r="BJ746" t="s">
        <v>200</v>
      </c>
      <c r="BK746" s="1" t="s">
        <v>17619</v>
      </c>
      <c r="BL746" t="s">
        <v>16050</v>
      </c>
      <c r="BM746" t="s">
        <v>72</v>
      </c>
      <c r="BN746" t="s">
        <v>280</v>
      </c>
      <c r="BO746" t="s">
        <v>72</v>
      </c>
      <c r="BP746" t="s">
        <v>72</v>
      </c>
      <c r="BQ746" t="s">
        <v>100</v>
      </c>
      <c r="BR746" t="s">
        <v>16051</v>
      </c>
      <c r="BS746" t="str">
        <f>HYPERLINK("https%3A%2F%2Fwww.webofscience.com%2Fwos%2Fwoscc%2Ffull-record%2FWOS:000794892800001","View Full Record in Web of Science")</f>
        <v>View Full Record in Web of Science</v>
      </c>
    </row>
    <row r="747" spans="1:71" x14ac:dyDescent="0.2">
      <c r="A747" t="s">
        <v>70</v>
      </c>
      <c r="B747" t="s">
        <v>16266</v>
      </c>
      <c r="C747" t="s">
        <v>72</v>
      </c>
      <c r="D747" t="s">
        <v>72</v>
      </c>
      <c r="E747" t="s">
        <v>72</v>
      </c>
      <c r="F747" t="s">
        <v>16267</v>
      </c>
      <c r="G747" t="s">
        <v>72</v>
      </c>
      <c r="H747" t="s">
        <v>72</v>
      </c>
      <c r="I747" t="s">
        <v>16268</v>
      </c>
      <c r="J747" t="s">
        <v>16269</v>
      </c>
      <c r="K747" t="s">
        <v>72</v>
      </c>
      <c r="L747" t="s">
        <v>72</v>
      </c>
      <c r="M747" t="s">
        <v>76</v>
      </c>
      <c r="N747" t="s">
        <v>77</v>
      </c>
      <c r="O747" t="s">
        <v>72</v>
      </c>
      <c r="P747" t="s">
        <v>72</v>
      </c>
      <c r="Q747" t="s">
        <v>72</v>
      </c>
      <c r="R747" t="s">
        <v>72</v>
      </c>
      <c r="S747" t="s">
        <v>72</v>
      </c>
      <c r="T747" t="s">
        <v>72</v>
      </c>
      <c r="U747" t="s">
        <v>16270</v>
      </c>
      <c r="V747" t="s">
        <v>16271</v>
      </c>
      <c r="W747" t="s">
        <v>16272</v>
      </c>
      <c r="X747" t="s">
        <v>16273</v>
      </c>
      <c r="Y747" t="s">
        <v>16274</v>
      </c>
      <c r="Z747" t="s">
        <v>72</v>
      </c>
      <c r="AA747" t="s">
        <v>72</v>
      </c>
      <c r="AB747" t="s">
        <v>16275</v>
      </c>
      <c r="AC747" t="s">
        <v>72</v>
      </c>
      <c r="AD747" t="s">
        <v>72</v>
      </c>
      <c r="AE747" t="s">
        <v>72</v>
      </c>
      <c r="AF747" t="s">
        <v>72</v>
      </c>
      <c r="AG747">
        <v>20</v>
      </c>
      <c r="AH747">
        <v>17</v>
      </c>
      <c r="AI747">
        <v>17</v>
      </c>
      <c r="AJ747">
        <v>1</v>
      </c>
      <c r="AK747">
        <v>11</v>
      </c>
      <c r="AL747" t="s">
        <v>1260</v>
      </c>
      <c r="AM747" t="s">
        <v>964</v>
      </c>
      <c r="AN747" t="s">
        <v>965</v>
      </c>
      <c r="AO747" t="s">
        <v>16276</v>
      </c>
      <c r="AP747" t="s">
        <v>16277</v>
      </c>
      <c r="AQ747" t="s">
        <v>72</v>
      </c>
      <c r="AR747" t="s">
        <v>16278</v>
      </c>
      <c r="AS747" t="s">
        <v>16279</v>
      </c>
      <c r="AT747" t="s">
        <v>197</v>
      </c>
      <c r="AU747">
        <v>2017</v>
      </c>
      <c r="AV747">
        <v>8</v>
      </c>
      <c r="AW747">
        <v>2</v>
      </c>
      <c r="AX747" t="s">
        <v>72</v>
      </c>
      <c r="AY747" t="s">
        <v>72</v>
      </c>
      <c r="AZ747" t="s">
        <v>72</v>
      </c>
      <c r="BA747" t="s">
        <v>72</v>
      </c>
      <c r="BB747">
        <v>246</v>
      </c>
      <c r="BC747">
        <v>252</v>
      </c>
      <c r="BD747" t="s">
        <v>72</v>
      </c>
      <c r="BE747" t="s">
        <v>16280</v>
      </c>
      <c r="BF747" t="str">
        <f>HYPERLINK("http://dx.doi.org/10.1111/1758-5899.12420","http://dx.doi.org/10.1111/1758-5899.12420")</f>
        <v>http://dx.doi.org/10.1111/1758-5899.12420</v>
      </c>
      <c r="BG747" t="s">
        <v>72</v>
      </c>
      <c r="BH747" t="s">
        <v>72</v>
      </c>
      <c r="BI747">
        <v>7</v>
      </c>
      <c r="BJ747" t="s">
        <v>200</v>
      </c>
      <c r="BK747" s="1" t="s">
        <v>17619</v>
      </c>
      <c r="BL747" t="s">
        <v>16281</v>
      </c>
      <c r="BM747" t="s">
        <v>72</v>
      </c>
      <c r="BN747" t="s">
        <v>72</v>
      </c>
      <c r="BO747" t="s">
        <v>72</v>
      </c>
      <c r="BP747" t="s">
        <v>72</v>
      </c>
      <c r="BQ747" t="s">
        <v>100</v>
      </c>
      <c r="BR747" t="s">
        <v>16282</v>
      </c>
      <c r="BS747" t="str">
        <f>HYPERLINK("https%3A%2F%2Fwww.webofscience.com%2Fwos%2Fwoscc%2Ffull-record%2FWOS:000400582700012","View Full Record in Web of Science")</f>
        <v>View Full Record in Web of Science</v>
      </c>
    </row>
    <row r="748" spans="1:71" hidden="1" x14ac:dyDescent="0.2">
      <c r="A748" t="s">
        <v>70</v>
      </c>
      <c r="B748" t="s">
        <v>15416</v>
      </c>
      <c r="C748" t="s">
        <v>72</v>
      </c>
      <c r="D748" t="s">
        <v>72</v>
      </c>
      <c r="E748" t="s">
        <v>72</v>
      </c>
      <c r="F748" t="s">
        <v>15417</v>
      </c>
      <c r="G748" t="s">
        <v>72</v>
      </c>
      <c r="H748" t="s">
        <v>72</v>
      </c>
      <c r="I748" t="s">
        <v>15418</v>
      </c>
      <c r="J748" t="s">
        <v>15419</v>
      </c>
      <c r="K748" t="s">
        <v>72</v>
      </c>
      <c r="L748" t="s">
        <v>72</v>
      </c>
      <c r="M748" t="s">
        <v>76</v>
      </c>
      <c r="N748" t="s">
        <v>77</v>
      </c>
      <c r="O748" t="s">
        <v>72</v>
      </c>
      <c r="P748" t="s">
        <v>72</v>
      </c>
      <c r="Q748" t="s">
        <v>72</v>
      </c>
      <c r="R748" t="s">
        <v>72</v>
      </c>
      <c r="S748" t="s">
        <v>72</v>
      </c>
      <c r="T748" t="s">
        <v>15420</v>
      </c>
      <c r="U748" t="s">
        <v>15421</v>
      </c>
      <c r="V748" t="s">
        <v>15422</v>
      </c>
      <c r="W748" t="s">
        <v>15423</v>
      </c>
      <c r="X748" t="s">
        <v>15424</v>
      </c>
      <c r="Y748" t="s">
        <v>15425</v>
      </c>
      <c r="Z748" t="s">
        <v>15426</v>
      </c>
      <c r="AA748" t="s">
        <v>72</v>
      </c>
      <c r="AB748" t="s">
        <v>15427</v>
      </c>
      <c r="AC748" t="s">
        <v>72</v>
      </c>
      <c r="AD748" t="s">
        <v>72</v>
      </c>
      <c r="AE748" t="s">
        <v>72</v>
      </c>
      <c r="AF748" t="s">
        <v>72</v>
      </c>
      <c r="AG748">
        <v>47</v>
      </c>
      <c r="AH748">
        <v>0</v>
      </c>
      <c r="AI748">
        <v>0</v>
      </c>
      <c r="AJ748">
        <v>2</v>
      </c>
      <c r="AK748">
        <v>2</v>
      </c>
      <c r="AL748" t="s">
        <v>1596</v>
      </c>
      <c r="AM748" t="s">
        <v>451</v>
      </c>
      <c r="AN748" t="s">
        <v>1597</v>
      </c>
      <c r="AO748" t="s">
        <v>15428</v>
      </c>
      <c r="AP748" t="s">
        <v>15429</v>
      </c>
      <c r="AQ748" t="s">
        <v>72</v>
      </c>
      <c r="AR748" t="s">
        <v>15430</v>
      </c>
      <c r="AS748" t="s">
        <v>15431</v>
      </c>
      <c r="AT748" t="s">
        <v>197</v>
      </c>
      <c r="AU748">
        <v>2022</v>
      </c>
      <c r="AV748">
        <v>62</v>
      </c>
      <c r="AW748">
        <v>3</v>
      </c>
      <c r="AX748" t="s">
        <v>72</v>
      </c>
      <c r="AY748" t="s">
        <v>72</v>
      </c>
      <c r="AZ748" t="s">
        <v>72</v>
      </c>
      <c r="BA748" t="s">
        <v>72</v>
      </c>
      <c r="BB748">
        <v>385</v>
      </c>
      <c r="BC748">
        <v>398</v>
      </c>
      <c r="BD748" t="s">
        <v>72</v>
      </c>
      <c r="BE748" t="s">
        <v>15432</v>
      </c>
      <c r="BF748" t="str">
        <f>HYPERLINK("http://dx.doi.org/10.1016/j.scijus.2022.03.011","http://dx.doi.org/10.1016/j.scijus.2022.03.011")</f>
        <v>http://dx.doi.org/10.1016/j.scijus.2022.03.011</v>
      </c>
      <c r="BG748" t="s">
        <v>72</v>
      </c>
      <c r="BH748" t="s">
        <v>72</v>
      </c>
      <c r="BI748">
        <v>14</v>
      </c>
      <c r="BJ748" t="s">
        <v>15433</v>
      </c>
      <c r="BK748" t="s">
        <v>15434</v>
      </c>
      <c r="BL748" t="s">
        <v>15435</v>
      </c>
      <c r="BM748">
        <v>35598931</v>
      </c>
      <c r="BN748" t="s">
        <v>72</v>
      </c>
      <c r="BO748" t="s">
        <v>72</v>
      </c>
      <c r="BP748" t="s">
        <v>72</v>
      </c>
      <c r="BQ748" t="s">
        <v>100</v>
      </c>
      <c r="BR748" t="s">
        <v>15436</v>
      </c>
      <c r="BS748" t="str">
        <f>HYPERLINK("https%3A%2F%2Fwww.webofscience.com%2Fwos%2Fwoscc%2Ffull-record%2FWOS:000793721400002","View Full Record in Web of Science")</f>
        <v>View Full Record in Web of Science</v>
      </c>
    </row>
    <row r="749" spans="1:71" hidden="1" x14ac:dyDescent="0.2">
      <c r="A749" t="s">
        <v>70</v>
      </c>
      <c r="B749" t="s">
        <v>3613</v>
      </c>
      <c r="C749" t="s">
        <v>72</v>
      </c>
      <c r="D749" t="s">
        <v>72</v>
      </c>
      <c r="E749" t="s">
        <v>72</v>
      </c>
      <c r="F749" t="s">
        <v>3614</v>
      </c>
      <c r="G749" t="s">
        <v>72</v>
      </c>
      <c r="H749" t="s">
        <v>72</v>
      </c>
      <c r="I749" t="s">
        <v>3615</v>
      </c>
      <c r="J749" t="s">
        <v>3616</v>
      </c>
      <c r="K749" t="s">
        <v>72</v>
      </c>
      <c r="L749" t="s">
        <v>72</v>
      </c>
      <c r="M749" t="s">
        <v>76</v>
      </c>
      <c r="N749" t="s">
        <v>77</v>
      </c>
      <c r="O749" t="s">
        <v>72</v>
      </c>
      <c r="P749" t="s">
        <v>72</v>
      </c>
      <c r="Q749" t="s">
        <v>72</v>
      </c>
      <c r="R749" t="s">
        <v>72</v>
      </c>
      <c r="S749" t="s">
        <v>72</v>
      </c>
      <c r="T749" t="s">
        <v>3617</v>
      </c>
      <c r="U749" t="s">
        <v>3618</v>
      </c>
      <c r="V749" t="s">
        <v>3619</v>
      </c>
      <c r="W749" t="s">
        <v>3620</v>
      </c>
      <c r="X749" t="s">
        <v>3621</v>
      </c>
      <c r="Y749" t="s">
        <v>3622</v>
      </c>
      <c r="Z749" t="s">
        <v>3623</v>
      </c>
      <c r="AA749" t="s">
        <v>3624</v>
      </c>
      <c r="AB749" t="s">
        <v>3625</v>
      </c>
      <c r="AC749" t="s">
        <v>3626</v>
      </c>
      <c r="AD749" t="s">
        <v>3627</v>
      </c>
      <c r="AE749" t="s">
        <v>3628</v>
      </c>
      <c r="AF749" t="s">
        <v>72</v>
      </c>
      <c r="AG749">
        <v>61</v>
      </c>
      <c r="AH749">
        <v>39</v>
      </c>
      <c r="AI749">
        <v>40</v>
      </c>
      <c r="AJ749">
        <v>0</v>
      </c>
      <c r="AK749">
        <v>21</v>
      </c>
      <c r="AL749" t="s">
        <v>879</v>
      </c>
      <c r="AM749" t="s">
        <v>451</v>
      </c>
      <c r="AN749" t="s">
        <v>880</v>
      </c>
      <c r="AO749" t="s">
        <v>3629</v>
      </c>
      <c r="AP749" t="s">
        <v>3630</v>
      </c>
      <c r="AQ749" t="s">
        <v>72</v>
      </c>
      <c r="AR749" t="s">
        <v>3616</v>
      </c>
      <c r="AS749" t="s">
        <v>3631</v>
      </c>
      <c r="AT749" t="s">
        <v>395</v>
      </c>
      <c r="AU749">
        <v>2019</v>
      </c>
      <c r="AV749">
        <v>69</v>
      </c>
      <c r="AW749">
        <v>10</v>
      </c>
      <c r="AX749" t="s">
        <v>72</v>
      </c>
      <c r="AY749" t="s">
        <v>72</v>
      </c>
      <c r="AZ749" t="s">
        <v>72</v>
      </c>
      <c r="BA749" t="s">
        <v>72</v>
      </c>
      <c r="BB749">
        <v>812</v>
      </c>
      <c r="BC749">
        <v>822</v>
      </c>
      <c r="BD749" t="s">
        <v>72</v>
      </c>
      <c r="BE749" t="s">
        <v>3632</v>
      </c>
      <c r="BF749" t="str">
        <f>HYPERLINK("http://dx.doi.org/10.1093/biosci/biz094","http://dx.doi.org/10.1093/biosci/biz094")</f>
        <v>http://dx.doi.org/10.1093/biosci/biz094</v>
      </c>
      <c r="BG749" t="s">
        <v>72</v>
      </c>
      <c r="BH749" t="s">
        <v>72</v>
      </c>
      <c r="BI749">
        <v>11</v>
      </c>
      <c r="BJ749" s="8" t="s">
        <v>17617</v>
      </c>
      <c r="BK749" t="s">
        <v>3633</v>
      </c>
      <c r="BL749" t="s">
        <v>3634</v>
      </c>
      <c r="BM749" t="s">
        <v>72</v>
      </c>
      <c r="BN749" t="s">
        <v>72</v>
      </c>
      <c r="BO749" t="s">
        <v>72</v>
      </c>
      <c r="BP749" t="s">
        <v>72</v>
      </c>
      <c r="BQ749" t="s">
        <v>100</v>
      </c>
      <c r="BR749" t="s">
        <v>3635</v>
      </c>
      <c r="BS749" t="str">
        <f>HYPERLINK("https%3A%2F%2Fwww.webofscience.com%2Fwos%2Fwoscc%2Ffull-record%2FWOS:000491239400007","View Full Record in Web of Science")</f>
        <v>View Full Record in Web of Science</v>
      </c>
    </row>
    <row r="750" spans="1:71" hidden="1" x14ac:dyDescent="0.2">
      <c r="A750" t="s">
        <v>70</v>
      </c>
      <c r="B750" t="s">
        <v>6767</v>
      </c>
      <c r="C750" t="s">
        <v>72</v>
      </c>
      <c r="D750" t="s">
        <v>72</v>
      </c>
      <c r="E750" t="s">
        <v>72</v>
      </c>
      <c r="F750" t="s">
        <v>6768</v>
      </c>
      <c r="G750" t="s">
        <v>72</v>
      </c>
      <c r="H750" t="s">
        <v>72</v>
      </c>
      <c r="I750" t="s">
        <v>6769</v>
      </c>
      <c r="J750" t="s">
        <v>3616</v>
      </c>
      <c r="K750" t="s">
        <v>72</v>
      </c>
      <c r="L750" t="s">
        <v>72</v>
      </c>
      <c r="M750" t="s">
        <v>76</v>
      </c>
      <c r="N750" t="s">
        <v>77</v>
      </c>
      <c r="O750" t="s">
        <v>72</v>
      </c>
      <c r="P750" t="s">
        <v>72</v>
      </c>
      <c r="Q750" t="s">
        <v>72</v>
      </c>
      <c r="R750" t="s">
        <v>72</v>
      </c>
      <c r="S750" t="s">
        <v>72</v>
      </c>
      <c r="T750" t="s">
        <v>6770</v>
      </c>
      <c r="U750" t="s">
        <v>6771</v>
      </c>
      <c r="V750" t="s">
        <v>6772</v>
      </c>
      <c r="W750" t="s">
        <v>6773</v>
      </c>
      <c r="X750" t="s">
        <v>6774</v>
      </c>
      <c r="Y750" t="s">
        <v>6775</v>
      </c>
      <c r="Z750" t="s">
        <v>6776</v>
      </c>
      <c r="AA750" t="s">
        <v>72</v>
      </c>
      <c r="AB750" t="s">
        <v>72</v>
      </c>
      <c r="AC750" t="s">
        <v>6777</v>
      </c>
      <c r="AD750" t="s">
        <v>6777</v>
      </c>
      <c r="AE750" t="s">
        <v>6778</v>
      </c>
      <c r="AF750" t="s">
        <v>72</v>
      </c>
      <c r="AG750">
        <v>52</v>
      </c>
      <c r="AH750">
        <v>0</v>
      </c>
      <c r="AI750">
        <v>0</v>
      </c>
      <c r="AJ750">
        <v>2</v>
      </c>
      <c r="AK750">
        <v>2</v>
      </c>
      <c r="AL750" t="s">
        <v>879</v>
      </c>
      <c r="AM750" t="s">
        <v>451</v>
      </c>
      <c r="AN750" t="s">
        <v>880</v>
      </c>
      <c r="AO750" t="s">
        <v>3629</v>
      </c>
      <c r="AP750" t="s">
        <v>3630</v>
      </c>
      <c r="AQ750" t="s">
        <v>72</v>
      </c>
      <c r="AR750" t="s">
        <v>3616</v>
      </c>
      <c r="AS750" t="s">
        <v>3631</v>
      </c>
      <c r="AT750" t="s">
        <v>6779</v>
      </c>
      <c r="AU750">
        <v>2022</v>
      </c>
      <c r="AV750">
        <v>72</v>
      </c>
      <c r="AW750">
        <v>8</v>
      </c>
      <c r="AX750" t="s">
        <v>72</v>
      </c>
      <c r="AY750" t="s">
        <v>72</v>
      </c>
      <c r="AZ750" t="s">
        <v>72</v>
      </c>
      <c r="BA750" t="s">
        <v>72</v>
      </c>
      <c r="BB750">
        <v>789</v>
      </c>
      <c r="BC750">
        <v>797</v>
      </c>
      <c r="BD750" t="s">
        <v>72</v>
      </c>
      <c r="BE750" t="s">
        <v>6780</v>
      </c>
      <c r="BF750" t="str">
        <f>HYPERLINK("http://dx.doi.org/10.1093/biosci/biac051","http://dx.doi.org/10.1093/biosci/biac051")</f>
        <v>http://dx.doi.org/10.1093/biosci/biac051</v>
      </c>
      <c r="BG750" t="s">
        <v>72</v>
      </c>
      <c r="BH750" t="s">
        <v>372</v>
      </c>
      <c r="BI750">
        <v>9</v>
      </c>
      <c r="BJ750" s="8" t="s">
        <v>17617</v>
      </c>
      <c r="BK750" t="s">
        <v>3633</v>
      </c>
      <c r="BL750" t="s">
        <v>6781</v>
      </c>
      <c r="BM750">
        <v>35923185</v>
      </c>
      <c r="BN750" t="s">
        <v>346</v>
      </c>
      <c r="BO750" t="s">
        <v>72</v>
      </c>
      <c r="BP750" t="s">
        <v>72</v>
      </c>
      <c r="BQ750" t="s">
        <v>100</v>
      </c>
      <c r="BR750" t="s">
        <v>6782</v>
      </c>
      <c r="BS750" t="str">
        <f>HYPERLINK("https%3A%2F%2Fwww.webofscience.com%2Fwos%2Fwoscc%2Ffull-record%2FWOS:000823587600001","View Full Record in Web of Science")</f>
        <v>View Full Record in Web of Science</v>
      </c>
    </row>
    <row r="751" spans="1:71" hidden="1" x14ac:dyDescent="0.2">
      <c r="A751" t="s">
        <v>70</v>
      </c>
      <c r="B751" t="s">
        <v>13430</v>
      </c>
      <c r="C751" t="s">
        <v>72</v>
      </c>
      <c r="D751" t="s">
        <v>72</v>
      </c>
      <c r="E751" t="s">
        <v>72</v>
      </c>
      <c r="F751" t="s">
        <v>13431</v>
      </c>
      <c r="G751" t="s">
        <v>72</v>
      </c>
      <c r="H751" t="s">
        <v>72</v>
      </c>
      <c r="I751" t="s">
        <v>13432</v>
      </c>
      <c r="J751" t="s">
        <v>13433</v>
      </c>
      <c r="K751" t="s">
        <v>72</v>
      </c>
      <c r="L751" t="s">
        <v>72</v>
      </c>
      <c r="M751" t="s">
        <v>76</v>
      </c>
      <c r="N751" t="s">
        <v>77</v>
      </c>
      <c r="O751" t="s">
        <v>72</v>
      </c>
      <c r="P751" t="s">
        <v>72</v>
      </c>
      <c r="Q751" t="s">
        <v>72</v>
      </c>
      <c r="R751" t="s">
        <v>72</v>
      </c>
      <c r="S751" t="s">
        <v>72</v>
      </c>
      <c r="T751" t="s">
        <v>13434</v>
      </c>
      <c r="U751" t="s">
        <v>13435</v>
      </c>
      <c r="V751" t="s">
        <v>13436</v>
      </c>
      <c r="W751" t="s">
        <v>13437</v>
      </c>
      <c r="X751" t="s">
        <v>13438</v>
      </c>
      <c r="Y751" t="s">
        <v>13439</v>
      </c>
      <c r="Z751" t="s">
        <v>13440</v>
      </c>
      <c r="AA751" t="s">
        <v>72</v>
      </c>
      <c r="AB751" t="s">
        <v>72</v>
      </c>
      <c r="AC751" t="s">
        <v>72</v>
      </c>
      <c r="AD751" t="s">
        <v>72</v>
      </c>
      <c r="AE751" t="s">
        <v>72</v>
      </c>
      <c r="AF751" t="s">
        <v>72</v>
      </c>
      <c r="AG751">
        <v>59</v>
      </c>
      <c r="AH751">
        <v>2</v>
      </c>
      <c r="AI751">
        <v>2</v>
      </c>
      <c r="AJ751">
        <v>0</v>
      </c>
      <c r="AK751">
        <v>11</v>
      </c>
      <c r="AL751" t="s">
        <v>450</v>
      </c>
      <c r="AM751" t="s">
        <v>451</v>
      </c>
      <c r="AN751" t="s">
        <v>452</v>
      </c>
      <c r="AO751" t="s">
        <v>13441</v>
      </c>
      <c r="AP751" t="s">
        <v>13442</v>
      </c>
      <c r="AQ751" t="s">
        <v>72</v>
      </c>
      <c r="AR751" t="s">
        <v>13443</v>
      </c>
      <c r="AS751" t="s">
        <v>13444</v>
      </c>
      <c r="AT751" t="s">
        <v>3449</v>
      </c>
      <c r="AU751">
        <v>2016</v>
      </c>
      <c r="AV751">
        <v>73</v>
      </c>
      <c r="AW751" t="s">
        <v>72</v>
      </c>
      <c r="AX751" t="s">
        <v>72</v>
      </c>
      <c r="AY751" t="s">
        <v>72</v>
      </c>
      <c r="AZ751" t="s">
        <v>72</v>
      </c>
      <c r="BA751" t="s">
        <v>72</v>
      </c>
      <c r="BB751">
        <v>173</v>
      </c>
      <c r="BC751">
        <v>185</v>
      </c>
      <c r="BD751" t="s">
        <v>72</v>
      </c>
      <c r="BE751" t="s">
        <v>13445</v>
      </c>
      <c r="BF751" t="str">
        <f>HYPERLINK("http://dx.doi.org/10.1016/j.compbiomed.2016.03.016","http://dx.doi.org/10.1016/j.compbiomed.2016.03.016")</f>
        <v>http://dx.doi.org/10.1016/j.compbiomed.2016.03.016</v>
      </c>
      <c r="BG751" t="s">
        <v>72</v>
      </c>
      <c r="BH751" t="s">
        <v>72</v>
      </c>
      <c r="BI751">
        <v>13</v>
      </c>
      <c r="BJ751" s="8" t="s">
        <v>17617</v>
      </c>
      <c r="BK751" t="s">
        <v>13446</v>
      </c>
      <c r="BL751" t="s">
        <v>13447</v>
      </c>
      <c r="BM751">
        <v>27208610</v>
      </c>
      <c r="BN751" t="s">
        <v>72</v>
      </c>
      <c r="BO751" t="s">
        <v>72</v>
      </c>
      <c r="BP751" t="s">
        <v>72</v>
      </c>
      <c r="BQ751" t="s">
        <v>100</v>
      </c>
      <c r="BR751" t="s">
        <v>13448</v>
      </c>
      <c r="BS751" t="str">
        <f>HYPERLINK("https%3A%2F%2Fwww.webofscience.com%2Fwos%2Fwoscc%2Ffull-record%2FWOS:000378455700017","View Full Record in Web of Science")</f>
        <v>View Full Record in Web of Science</v>
      </c>
    </row>
    <row r="752" spans="1:71" hidden="1" x14ac:dyDescent="0.2">
      <c r="A752" t="s">
        <v>70</v>
      </c>
      <c r="B752" t="s">
        <v>438</v>
      </c>
      <c r="C752" t="s">
        <v>72</v>
      </c>
      <c r="D752" t="s">
        <v>72</v>
      </c>
      <c r="E752" t="s">
        <v>72</v>
      </c>
      <c r="F752" t="s">
        <v>439</v>
      </c>
      <c r="G752" t="s">
        <v>72</v>
      </c>
      <c r="H752" t="s">
        <v>72</v>
      </c>
      <c r="I752" t="s">
        <v>440</v>
      </c>
      <c r="J752" t="s">
        <v>441</v>
      </c>
      <c r="K752" t="s">
        <v>72</v>
      </c>
      <c r="L752" t="s">
        <v>72</v>
      </c>
      <c r="M752" t="s">
        <v>76</v>
      </c>
      <c r="N752" t="s">
        <v>442</v>
      </c>
      <c r="O752" t="s">
        <v>72</v>
      </c>
      <c r="P752" t="s">
        <v>72</v>
      </c>
      <c r="Q752" t="s">
        <v>72</v>
      </c>
      <c r="R752" t="s">
        <v>72</v>
      </c>
      <c r="S752" t="s">
        <v>72</v>
      </c>
      <c r="T752" t="s">
        <v>72</v>
      </c>
      <c r="U752" t="s">
        <v>72</v>
      </c>
      <c r="V752" t="s">
        <v>72</v>
      </c>
      <c r="W752" t="s">
        <v>443</v>
      </c>
      <c r="X752" t="s">
        <v>444</v>
      </c>
      <c r="Y752" t="s">
        <v>445</v>
      </c>
      <c r="Z752" t="s">
        <v>446</v>
      </c>
      <c r="AA752" t="s">
        <v>72</v>
      </c>
      <c r="AB752" t="s">
        <v>72</v>
      </c>
      <c r="AC752" t="s">
        <v>447</v>
      </c>
      <c r="AD752" t="s">
        <v>448</v>
      </c>
      <c r="AE752" t="s">
        <v>449</v>
      </c>
      <c r="AF752" t="s">
        <v>72</v>
      </c>
      <c r="AG752">
        <v>3</v>
      </c>
      <c r="AH752">
        <v>0</v>
      </c>
      <c r="AI752">
        <v>0</v>
      </c>
      <c r="AJ752">
        <v>1</v>
      </c>
      <c r="AK752">
        <v>1</v>
      </c>
      <c r="AL752" t="s">
        <v>450</v>
      </c>
      <c r="AM752" t="s">
        <v>451</v>
      </c>
      <c r="AN752" t="s">
        <v>452</v>
      </c>
      <c r="AO752" t="s">
        <v>453</v>
      </c>
      <c r="AP752" t="s">
        <v>454</v>
      </c>
      <c r="AQ752" t="s">
        <v>72</v>
      </c>
      <c r="AR752" t="s">
        <v>455</v>
      </c>
      <c r="AS752" t="s">
        <v>456</v>
      </c>
      <c r="AT752" t="s">
        <v>395</v>
      </c>
      <c r="AU752">
        <v>2022</v>
      </c>
      <c r="AV752">
        <v>68</v>
      </c>
      <c r="AW752" t="s">
        <v>72</v>
      </c>
      <c r="AX752" t="s">
        <v>72</v>
      </c>
      <c r="AY752" t="s">
        <v>72</v>
      </c>
      <c r="AZ752" t="s">
        <v>72</v>
      </c>
      <c r="BA752" t="s">
        <v>72</v>
      </c>
      <c r="BB752">
        <v>131</v>
      </c>
      <c r="BC752">
        <v>133</v>
      </c>
      <c r="BD752" t="s">
        <v>72</v>
      </c>
      <c r="BE752" t="s">
        <v>457</v>
      </c>
      <c r="BF752" t="str">
        <f>HYPERLINK("http://dx.doi.org/10.1016/j.esp.2022.07.005","http://dx.doi.org/10.1016/j.esp.2022.07.005")</f>
        <v>http://dx.doi.org/10.1016/j.esp.2022.07.005</v>
      </c>
      <c r="BG752" t="s">
        <v>72</v>
      </c>
      <c r="BH752" t="s">
        <v>72</v>
      </c>
      <c r="BI752">
        <v>3</v>
      </c>
      <c r="BJ752" t="s">
        <v>458</v>
      </c>
      <c r="BK752" t="s">
        <v>458</v>
      </c>
      <c r="BL752" t="s">
        <v>459</v>
      </c>
      <c r="BM752" t="s">
        <v>72</v>
      </c>
      <c r="BN752" t="s">
        <v>72</v>
      </c>
      <c r="BO752" t="s">
        <v>72</v>
      </c>
      <c r="BP752" t="s">
        <v>72</v>
      </c>
      <c r="BQ752" t="s">
        <v>100</v>
      </c>
      <c r="BR752" t="s">
        <v>460</v>
      </c>
      <c r="BS752" t="str">
        <f>HYPERLINK("https%3A%2F%2Fwww.webofscience.com%2Fwos%2Fwoscc%2Ffull-record%2FWOS:000860500700001","View Full Record in Web of Science")</f>
        <v>View Full Record in Web of Science</v>
      </c>
    </row>
    <row r="753" spans="1:71" hidden="1" x14ac:dyDescent="0.2">
      <c r="A753" t="s">
        <v>70</v>
      </c>
      <c r="B753" t="s">
        <v>538</v>
      </c>
      <c r="C753" t="s">
        <v>72</v>
      </c>
      <c r="D753" t="s">
        <v>72</v>
      </c>
      <c r="E753" t="s">
        <v>72</v>
      </c>
      <c r="F753" t="s">
        <v>539</v>
      </c>
      <c r="G753" t="s">
        <v>72</v>
      </c>
      <c r="H753" t="s">
        <v>72</v>
      </c>
      <c r="I753" t="s">
        <v>540</v>
      </c>
      <c r="J753" t="s">
        <v>541</v>
      </c>
      <c r="K753" t="s">
        <v>72</v>
      </c>
      <c r="L753" t="s">
        <v>72</v>
      </c>
      <c r="M753" t="s">
        <v>542</v>
      </c>
      <c r="N753" t="s">
        <v>77</v>
      </c>
      <c r="O753" t="s">
        <v>72</v>
      </c>
      <c r="P753" t="s">
        <v>72</v>
      </c>
      <c r="Q753" t="s">
        <v>72</v>
      </c>
      <c r="R753" t="s">
        <v>72</v>
      </c>
      <c r="S753" t="s">
        <v>72</v>
      </c>
      <c r="T753" t="s">
        <v>72</v>
      </c>
      <c r="U753" t="s">
        <v>543</v>
      </c>
      <c r="V753" t="s">
        <v>72</v>
      </c>
      <c r="W753" t="s">
        <v>544</v>
      </c>
      <c r="X753" t="s">
        <v>545</v>
      </c>
      <c r="Y753" t="s">
        <v>546</v>
      </c>
      <c r="Z753" t="s">
        <v>547</v>
      </c>
      <c r="AA753" t="s">
        <v>72</v>
      </c>
      <c r="AB753" t="s">
        <v>72</v>
      </c>
      <c r="AC753" t="s">
        <v>72</v>
      </c>
      <c r="AD753" t="s">
        <v>72</v>
      </c>
      <c r="AE753" t="s">
        <v>72</v>
      </c>
      <c r="AF753" t="s">
        <v>72</v>
      </c>
      <c r="AG753">
        <v>86</v>
      </c>
      <c r="AH753">
        <v>7</v>
      </c>
      <c r="AI753">
        <v>7</v>
      </c>
      <c r="AJ753">
        <v>0</v>
      </c>
      <c r="AK753">
        <v>8</v>
      </c>
      <c r="AL753" t="s">
        <v>548</v>
      </c>
      <c r="AM753" t="s">
        <v>549</v>
      </c>
      <c r="AN753" t="s">
        <v>550</v>
      </c>
      <c r="AO753" t="s">
        <v>551</v>
      </c>
      <c r="AP753" t="s">
        <v>552</v>
      </c>
      <c r="AQ753" t="s">
        <v>72</v>
      </c>
      <c r="AR753" t="s">
        <v>553</v>
      </c>
      <c r="AS753" t="s">
        <v>554</v>
      </c>
      <c r="AT753" t="s">
        <v>555</v>
      </c>
      <c r="AU753">
        <v>2015</v>
      </c>
      <c r="AV753">
        <v>43</v>
      </c>
      <c r="AW753">
        <v>1</v>
      </c>
      <c r="AX753" t="s">
        <v>72</v>
      </c>
      <c r="AY753" t="s">
        <v>72</v>
      </c>
      <c r="AZ753" t="s">
        <v>72</v>
      </c>
      <c r="BA753" t="s">
        <v>72</v>
      </c>
      <c r="BB753">
        <v>1</v>
      </c>
      <c r="BC753">
        <v>26</v>
      </c>
      <c r="BD753" t="s">
        <v>72</v>
      </c>
      <c r="BE753" t="s">
        <v>556</v>
      </c>
      <c r="BF753" t="str">
        <f>HYPERLINK("http://dx.doi.org/10.1515/zgl-2015-0001","http://dx.doi.org/10.1515/zgl-2015-0001")</f>
        <v>http://dx.doi.org/10.1515/zgl-2015-0001</v>
      </c>
      <c r="BG753" t="s">
        <v>72</v>
      </c>
      <c r="BH753" t="s">
        <v>72</v>
      </c>
      <c r="BI753">
        <v>26</v>
      </c>
      <c r="BJ753" t="s">
        <v>557</v>
      </c>
      <c r="BK753" t="s">
        <v>458</v>
      </c>
      <c r="BL753" t="s">
        <v>558</v>
      </c>
      <c r="BM753" t="s">
        <v>72</v>
      </c>
      <c r="BN753" t="s">
        <v>559</v>
      </c>
      <c r="BO753" t="s">
        <v>72</v>
      </c>
      <c r="BP753" t="s">
        <v>72</v>
      </c>
      <c r="BQ753" t="s">
        <v>100</v>
      </c>
      <c r="BR753" t="s">
        <v>560</v>
      </c>
      <c r="BS753" t="str">
        <f>HYPERLINK("https%3A%2F%2Fwww.webofscience.com%2Fwos%2Fwoscc%2Ffull-record%2FWOS:000352084000001","View Full Record in Web of Science")</f>
        <v>View Full Record in Web of Science</v>
      </c>
    </row>
    <row r="754" spans="1:71" hidden="1" x14ac:dyDescent="0.2">
      <c r="A754" t="s">
        <v>561</v>
      </c>
      <c r="B754" t="s">
        <v>4109</v>
      </c>
      <c r="C754" t="s">
        <v>4110</v>
      </c>
      <c r="D754" t="s">
        <v>72</v>
      </c>
      <c r="E754" t="s">
        <v>72</v>
      </c>
      <c r="F754" t="s">
        <v>4111</v>
      </c>
      <c r="G754" t="s">
        <v>4110</v>
      </c>
      <c r="H754" t="s">
        <v>72</v>
      </c>
      <c r="I754" t="s">
        <v>4112</v>
      </c>
      <c r="J754" t="s">
        <v>4113</v>
      </c>
      <c r="K754" t="s">
        <v>4114</v>
      </c>
      <c r="L754" t="s">
        <v>72</v>
      </c>
      <c r="M754" t="s">
        <v>76</v>
      </c>
      <c r="N754" t="s">
        <v>567</v>
      </c>
      <c r="O754" t="s">
        <v>72</v>
      </c>
      <c r="P754" t="s">
        <v>72</v>
      </c>
      <c r="Q754" t="s">
        <v>72</v>
      </c>
      <c r="R754" t="s">
        <v>72</v>
      </c>
      <c r="S754" t="s">
        <v>72</v>
      </c>
      <c r="T754" t="s">
        <v>72</v>
      </c>
      <c r="U754" t="s">
        <v>4115</v>
      </c>
      <c r="V754" t="s">
        <v>4116</v>
      </c>
      <c r="W754" t="s">
        <v>72</v>
      </c>
      <c r="X754" t="s">
        <v>72</v>
      </c>
      <c r="Y754" t="s">
        <v>72</v>
      </c>
      <c r="Z754" t="s">
        <v>72</v>
      </c>
      <c r="AA754" t="s">
        <v>72</v>
      </c>
      <c r="AB754" t="s">
        <v>72</v>
      </c>
      <c r="AC754" t="s">
        <v>72</v>
      </c>
      <c r="AD754" t="s">
        <v>72</v>
      </c>
      <c r="AE754" t="s">
        <v>72</v>
      </c>
      <c r="AF754" t="s">
        <v>72</v>
      </c>
      <c r="AG754">
        <v>42</v>
      </c>
      <c r="AH754">
        <v>2</v>
      </c>
      <c r="AI754">
        <v>2</v>
      </c>
      <c r="AJ754">
        <v>0</v>
      </c>
      <c r="AK754">
        <v>2</v>
      </c>
      <c r="AL754" t="s">
        <v>4117</v>
      </c>
      <c r="AM754" t="s">
        <v>337</v>
      </c>
      <c r="AN754" t="s">
        <v>4118</v>
      </c>
      <c r="AO754" t="s">
        <v>72</v>
      </c>
      <c r="AP754" t="s">
        <v>72</v>
      </c>
      <c r="AQ754" t="s">
        <v>4119</v>
      </c>
      <c r="AR754" t="s">
        <v>4120</v>
      </c>
      <c r="AS754" t="s">
        <v>72</v>
      </c>
      <c r="AT754" t="s">
        <v>72</v>
      </c>
      <c r="AU754">
        <v>2016</v>
      </c>
      <c r="AV754">
        <v>4</v>
      </c>
      <c r="AW754" t="s">
        <v>72</v>
      </c>
      <c r="AX754" t="s">
        <v>72</v>
      </c>
      <c r="AY754" t="s">
        <v>72</v>
      </c>
      <c r="AZ754" t="s">
        <v>72</v>
      </c>
      <c r="BA754" t="s">
        <v>72</v>
      </c>
      <c r="BB754">
        <v>281</v>
      </c>
      <c r="BC754">
        <v>297</v>
      </c>
      <c r="BD754" t="s">
        <v>72</v>
      </c>
      <c r="BE754" t="s">
        <v>72</v>
      </c>
      <c r="BF754" t="s">
        <v>72</v>
      </c>
      <c r="BG754" t="s">
        <v>4121</v>
      </c>
      <c r="BH754" t="s">
        <v>72</v>
      </c>
      <c r="BI754">
        <v>17</v>
      </c>
      <c r="BJ754" t="s">
        <v>4122</v>
      </c>
      <c r="BK754" t="s">
        <v>458</v>
      </c>
      <c r="BL754" t="s">
        <v>4123</v>
      </c>
      <c r="BM754" t="s">
        <v>72</v>
      </c>
      <c r="BN754" t="s">
        <v>72</v>
      </c>
      <c r="BO754" t="s">
        <v>72</v>
      </c>
      <c r="BP754" t="s">
        <v>72</v>
      </c>
      <c r="BQ754" t="s">
        <v>100</v>
      </c>
      <c r="BR754" t="s">
        <v>4124</v>
      </c>
      <c r="BS754" t="str">
        <f>HYPERLINK("https%3A%2F%2Fwww.webofscience.com%2Fwos%2Fwoscc%2Ffull-record%2FWOS:000413068500015","View Full Record in Web of Science")</f>
        <v>View Full Record in Web of Science</v>
      </c>
    </row>
    <row r="755" spans="1:71" hidden="1" x14ac:dyDescent="0.2">
      <c r="A755" t="s">
        <v>70</v>
      </c>
      <c r="B755" t="s">
        <v>4895</v>
      </c>
      <c r="C755" t="s">
        <v>72</v>
      </c>
      <c r="D755" t="s">
        <v>72</v>
      </c>
      <c r="E755" t="s">
        <v>72</v>
      </c>
      <c r="F755" t="s">
        <v>4896</v>
      </c>
      <c r="G755" t="s">
        <v>72</v>
      </c>
      <c r="H755" t="s">
        <v>72</v>
      </c>
      <c r="I755" t="s">
        <v>4897</v>
      </c>
      <c r="J755" t="s">
        <v>4898</v>
      </c>
      <c r="K755" t="s">
        <v>72</v>
      </c>
      <c r="L755" t="s">
        <v>72</v>
      </c>
      <c r="M755" t="s">
        <v>76</v>
      </c>
      <c r="N755" t="s">
        <v>77</v>
      </c>
      <c r="O755" t="s">
        <v>72</v>
      </c>
      <c r="P755" t="s">
        <v>72</v>
      </c>
      <c r="Q755" t="s">
        <v>72</v>
      </c>
      <c r="R755" t="s">
        <v>72</v>
      </c>
      <c r="S755" t="s">
        <v>72</v>
      </c>
      <c r="T755" t="s">
        <v>72</v>
      </c>
      <c r="U755" t="s">
        <v>72</v>
      </c>
      <c r="V755" t="s">
        <v>4899</v>
      </c>
      <c r="W755" t="s">
        <v>4900</v>
      </c>
      <c r="X755" t="s">
        <v>4901</v>
      </c>
      <c r="Y755" t="s">
        <v>4902</v>
      </c>
      <c r="Z755" t="s">
        <v>4903</v>
      </c>
      <c r="AA755" t="s">
        <v>72</v>
      </c>
      <c r="AB755" t="s">
        <v>72</v>
      </c>
      <c r="AC755" t="s">
        <v>4904</v>
      </c>
      <c r="AD755" t="s">
        <v>4904</v>
      </c>
      <c r="AE755" t="s">
        <v>4905</v>
      </c>
      <c r="AF755" t="s">
        <v>72</v>
      </c>
      <c r="AG755">
        <v>14</v>
      </c>
      <c r="AH755">
        <v>0</v>
      </c>
      <c r="AI755">
        <v>0</v>
      </c>
      <c r="AJ755">
        <v>0</v>
      </c>
      <c r="AK755">
        <v>1</v>
      </c>
      <c r="AL755" t="s">
        <v>4906</v>
      </c>
      <c r="AM755" t="s">
        <v>4907</v>
      </c>
      <c r="AN755" t="s">
        <v>4908</v>
      </c>
      <c r="AO755" t="s">
        <v>4909</v>
      </c>
      <c r="AP755" t="s">
        <v>4910</v>
      </c>
      <c r="AQ755" t="s">
        <v>72</v>
      </c>
      <c r="AR755" t="s">
        <v>4911</v>
      </c>
      <c r="AS755" t="s">
        <v>4912</v>
      </c>
      <c r="AT755" t="s">
        <v>72</v>
      </c>
      <c r="AU755">
        <v>2017</v>
      </c>
      <c r="AV755">
        <v>35</v>
      </c>
      <c r="AW755">
        <v>2</v>
      </c>
      <c r="AX755" t="s">
        <v>72</v>
      </c>
      <c r="AY755" t="s">
        <v>72</v>
      </c>
      <c r="AZ755" t="s">
        <v>72</v>
      </c>
      <c r="BA755" t="s">
        <v>72</v>
      </c>
      <c r="BB755">
        <v>201</v>
      </c>
      <c r="BC755">
        <v>210</v>
      </c>
      <c r="BD755" t="s">
        <v>72</v>
      </c>
      <c r="BE755" t="s">
        <v>4913</v>
      </c>
      <c r="BF755" t="str">
        <f>HYPERLINK("http://dx.doi.org/10.2989/16073614.2017.1373368","http://dx.doi.org/10.2989/16073614.2017.1373368")</f>
        <v>http://dx.doi.org/10.2989/16073614.2017.1373368</v>
      </c>
      <c r="BG755" t="s">
        <v>72</v>
      </c>
      <c r="BH755" t="s">
        <v>72</v>
      </c>
      <c r="BI755">
        <v>10</v>
      </c>
      <c r="BJ755" t="s">
        <v>4122</v>
      </c>
      <c r="BK755" t="s">
        <v>458</v>
      </c>
      <c r="BL755" t="s">
        <v>4914</v>
      </c>
      <c r="BM755" t="s">
        <v>72</v>
      </c>
      <c r="BN755" t="s">
        <v>72</v>
      </c>
      <c r="BO755" t="s">
        <v>72</v>
      </c>
      <c r="BP755" t="s">
        <v>72</v>
      </c>
      <c r="BQ755" t="s">
        <v>100</v>
      </c>
      <c r="BR755" t="s">
        <v>4915</v>
      </c>
      <c r="BS755" t="str">
        <f>HYPERLINK("https%3A%2F%2Fwww.webofscience.com%2Fwos%2Fwoscc%2Ffull-record%2FWOS:000422801500005","View Full Record in Web of Science")</f>
        <v>View Full Record in Web of Science</v>
      </c>
    </row>
    <row r="756" spans="1:71" hidden="1" x14ac:dyDescent="0.2">
      <c r="A756" t="s">
        <v>70</v>
      </c>
      <c r="B756" t="s">
        <v>5652</v>
      </c>
      <c r="C756" t="s">
        <v>72</v>
      </c>
      <c r="D756" t="s">
        <v>72</v>
      </c>
      <c r="E756" t="s">
        <v>72</v>
      </c>
      <c r="F756" t="s">
        <v>5653</v>
      </c>
      <c r="G756" t="s">
        <v>72</v>
      </c>
      <c r="H756" t="s">
        <v>72</v>
      </c>
      <c r="I756" t="s">
        <v>5654</v>
      </c>
      <c r="J756" t="s">
        <v>5655</v>
      </c>
      <c r="K756" t="s">
        <v>72</v>
      </c>
      <c r="L756" t="s">
        <v>72</v>
      </c>
      <c r="M756" t="s">
        <v>76</v>
      </c>
      <c r="N756" t="s">
        <v>77</v>
      </c>
      <c r="O756" t="s">
        <v>72</v>
      </c>
      <c r="P756" t="s">
        <v>72</v>
      </c>
      <c r="Q756" t="s">
        <v>72</v>
      </c>
      <c r="R756" t="s">
        <v>72</v>
      </c>
      <c r="S756" t="s">
        <v>72</v>
      </c>
      <c r="T756" t="s">
        <v>5656</v>
      </c>
      <c r="U756" t="s">
        <v>5657</v>
      </c>
      <c r="V756" t="s">
        <v>5658</v>
      </c>
      <c r="W756" t="s">
        <v>5659</v>
      </c>
      <c r="X756" t="s">
        <v>5660</v>
      </c>
      <c r="Y756" t="s">
        <v>5661</v>
      </c>
      <c r="Z756" t="s">
        <v>72</v>
      </c>
      <c r="AA756" t="s">
        <v>72</v>
      </c>
      <c r="AB756" t="s">
        <v>72</v>
      </c>
      <c r="AC756" t="s">
        <v>72</v>
      </c>
      <c r="AD756" t="s">
        <v>72</v>
      </c>
      <c r="AE756" t="s">
        <v>72</v>
      </c>
      <c r="AF756" t="s">
        <v>72</v>
      </c>
      <c r="AG756">
        <v>47</v>
      </c>
      <c r="AH756">
        <v>3</v>
      </c>
      <c r="AI756">
        <v>3</v>
      </c>
      <c r="AJ756">
        <v>4</v>
      </c>
      <c r="AK756">
        <v>29</v>
      </c>
      <c r="AL756" t="s">
        <v>5662</v>
      </c>
      <c r="AM756" t="s">
        <v>168</v>
      </c>
      <c r="AN756" t="s">
        <v>5663</v>
      </c>
      <c r="AO756" t="s">
        <v>5664</v>
      </c>
      <c r="AP756" t="s">
        <v>5665</v>
      </c>
      <c r="AQ756" t="s">
        <v>72</v>
      </c>
      <c r="AR756" t="s">
        <v>5666</v>
      </c>
      <c r="AS756" t="s">
        <v>5667</v>
      </c>
      <c r="AT756" t="s">
        <v>72</v>
      </c>
      <c r="AU756">
        <v>2021</v>
      </c>
      <c r="AV756">
        <v>20</v>
      </c>
      <c r="AW756">
        <v>2</v>
      </c>
      <c r="AX756" t="s">
        <v>72</v>
      </c>
      <c r="AY756" t="s">
        <v>72</v>
      </c>
      <c r="AZ756" t="s">
        <v>72</v>
      </c>
      <c r="BA756" t="s">
        <v>72</v>
      </c>
      <c r="BB756">
        <v>197</v>
      </c>
      <c r="BC756">
        <v>225</v>
      </c>
      <c r="BD756" t="s">
        <v>72</v>
      </c>
      <c r="BE756" t="s">
        <v>5668</v>
      </c>
      <c r="BF756" t="str">
        <f>HYPERLINK("http://dx.doi.org/10.1075/jlp.19046.wig","http://dx.doi.org/10.1075/jlp.19046.wig")</f>
        <v>http://dx.doi.org/10.1075/jlp.19046.wig</v>
      </c>
      <c r="BG756" t="s">
        <v>72</v>
      </c>
      <c r="BH756" t="s">
        <v>72</v>
      </c>
      <c r="BI756">
        <v>29</v>
      </c>
      <c r="BJ756" t="s">
        <v>4122</v>
      </c>
      <c r="BK756" t="s">
        <v>458</v>
      </c>
      <c r="BL756" t="s">
        <v>5669</v>
      </c>
      <c r="BM756" t="s">
        <v>72</v>
      </c>
      <c r="BN756" t="s">
        <v>72</v>
      </c>
      <c r="BO756" t="s">
        <v>72</v>
      </c>
      <c r="BP756" t="s">
        <v>72</v>
      </c>
      <c r="BQ756" t="s">
        <v>100</v>
      </c>
      <c r="BR756" t="s">
        <v>5670</v>
      </c>
      <c r="BS756" t="str">
        <f>HYPERLINK("https%3A%2F%2Fwww.webofscience.com%2Fwos%2Fwoscc%2Ffull-record%2FWOS:000632669100001","View Full Record in Web of Science")</f>
        <v>View Full Record in Web of Science</v>
      </c>
    </row>
    <row r="757" spans="1:71" hidden="1" x14ac:dyDescent="0.2">
      <c r="A757" t="s">
        <v>70</v>
      </c>
      <c r="B757" t="s">
        <v>6976</v>
      </c>
      <c r="C757" t="s">
        <v>72</v>
      </c>
      <c r="D757" t="s">
        <v>72</v>
      </c>
      <c r="E757" t="s">
        <v>72</v>
      </c>
      <c r="F757" t="s">
        <v>6977</v>
      </c>
      <c r="G757" t="s">
        <v>72</v>
      </c>
      <c r="H757" t="s">
        <v>72</v>
      </c>
      <c r="I757" t="s">
        <v>6978</v>
      </c>
      <c r="J757" t="s">
        <v>6979</v>
      </c>
      <c r="K757" t="s">
        <v>72</v>
      </c>
      <c r="L757" t="s">
        <v>72</v>
      </c>
      <c r="M757" t="s">
        <v>76</v>
      </c>
      <c r="N757" t="s">
        <v>77</v>
      </c>
      <c r="O757" t="s">
        <v>72</v>
      </c>
      <c r="P757" t="s">
        <v>72</v>
      </c>
      <c r="Q757" t="s">
        <v>72</v>
      </c>
      <c r="R757" t="s">
        <v>72</v>
      </c>
      <c r="S757" t="s">
        <v>72</v>
      </c>
      <c r="T757" t="s">
        <v>6980</v>
      </c>
      <c r="U757" t="s">
        <v>72</v>
      </c>
      <c r="V757" t="s">
        <v>6981</v>
      </c>
      <c r="W757" t="s">
        <v>6982</v>
      </c>
      <c r="X757" t="s">
        <v>6983</v>
      </c>
      <c r="Y757" t="s">
        <v>6984</v>
      </c>
      <c r="Z757" t="s">
        <v>6985</v>
      </c>
      <c r="AA757" t="s">
        <v>72</v>
      </c>
      <c r="AB757" t="s">
        <v>72</v>
      </c>
      <c r="AC757" t="s">
        <v>72</v>
      </c>
      <c r="AD757" t="s">
        <v>72</v>
      </c>
      <c r="AE757" t="s">
        <v>72</v>
      </c>
      <c r="AF757" t="s">
        <v>72</v>
      </c>
      <c r="AG757">
        <v>17</v>
      </c>
      <c r="AH757">
        <v>4</v>
      </c>
      <c r="AI757">
        <v>4</v>
      </c>
      <c r="AJ757">
        <v>1</v>
      </c>
      <c r="AK757">
        <v>7</v>
      </c>
      <c r="AL757" t="s">
        <v>6338</v>
      </c>
      <c r="AM757" t="s">
        <v>337</v>
      </c>
      <c r="AN757" t="s">
        <v>6339</v>
      </c>
      <c r="AO757" t="s">
        <v>6986</v>
      </c>
      <c r="AP757" t="s">
        <v>6987</v>
      </c>
      <c r="AQ757" t="s">
        <v>72</v>
      </c>
      <c r="AR757" t="s">
        <v>6979</v>
      </c>
      <c r="AS757" t="s">
        <v>6988</v>
      </c>
      <c r="AT757" t="s">
        <v>95</v>
      </c>
      <c r="AU757">
        <v>2017</v>
      </c>
      <c r="AV757">
        <v>1</v>
      </c>
      <c r="AW757">
        <v>3</v>
      </c>
      <c r="AX757" t="s">
        <v>72</v>
      </c>
      <c r="AY757" t="s">
        <v>72</v>
      </c>
      <c r="AZ757" t="s">
        <v>72</v>
      </c>
      <c r="BA757" t="s">
        <v>72</v>
      </c>
      <c r="BB757">
        <v>185</v>
      </c>
      <c r="BC757">
        <v>199</v>
      </c>
      <c r="BD757" t="s">
        <v>72</v>
      </c>
      <c r="BE757" t="s">
        <v>6989</v>
      </c>
      <c r="BF757" t="str">
        <f>HYPERLINK("http://dx.doi.org/10.1007/s41701-017-0017-8","http://dx.doi.org/10.1007/s41701-017-0017-8")</f>
        <v>http://dx.doi.org/10.1007/s41701-017-0017-8</v>
      </c>
      <c r="BG757" t="s">
        <v>72</v>
      </c>
      <c r="BH757" t="s">
        <v>72</v>
      </c>
      <c r="BI757">
        <v>15</v>
      </c>
      <c r="BJ757" t="s">
        <v>4122</v>
      </c>
      <c r="BK757" t="s">
        <v>458</v>
      </c>
      <c r="BL757" t="s">
        <v>6990</v>
      </c>
      <c r="BM757" t="s">
        <v>72</v>
      </c>
      <c r="BN757" t="s">
        <v>72</v>
      </c>
      <c r="BO757" t="s">
        <v>72</v>
      </c>
      <c r="BP757" t="s">
        <v>72</v>
      </c>
      <c r="BQ757" t="s">
        <v>100</v>
      </c>
      <c r="BR757" t="s">
        <v>6991</v>
      </c>
      <c r="BS757" t="str">
        <f>HYPERLINK("https%3A%2F%2Fwww.webofscience.com%2Fwos%2Fwoscc%2Ffull-record%2FWOS:000651412400001","View Full Record in Web of Science")</f>
        <v>View Full Record in Web of Science</v>
      </c>
    </row>
    <row r="758" spans="1:71" hidden="1" x14ac:dyDescent="0.2">
      <c r="A758" t="s">
        <v>70</v>
      </c>
      <c r="B758" t="s">
        <v>2049</v>
      </c>
      <c r="C758" t="s">
        <v>72</v>
      </c>
      <c r="D758" t="s">
        <v>72</v>
      </c>
      <c r="E758" t="s">
        <v>72</v>
      </c>
      <c r="F758" t="s">
        <v>2050</v>
      </c>
      <c r="G758" t="s">
        <v>72</v>
      </c>
      <c r="H758" t="s">
        <v>72</v>
      </c>
      <c r="I758" t="s">
        <v>8729</v>
      </c>
      <c r="J758" t="s">
        <v>5655</v>
      </c>
      <c r="K758" t="s">
        <v>72</v>
      </c>
      <c r="L758" t="s">
        <v>72</v>
      </c>
      <c r="M758" t="s">
        <v>76</v>
      </c>
      <c r="N758" t="s">
        <v>77</v>
      </c>
      <c r="O758" t="s">
        <v>72</v>
      </c>
      <c r="P758" t="s">
        <v>72</v>
      </c>
      <c r="Q758" t="s">
        <v>72</v>
      </c>
      <c r="R758" t="s">
        <v>72</v>
      </c>
      <c r="S758" t="s">
        <v>72</v>
      </c>
      <c r="T758" t="s">
        <v>8730</v>
      </c>
      <c r="U758" t="s">
        <v>8731</v>
      </c>
      <c r="V758" t="s">
        <v>8732</v>
      </c>
      <c r="W758" t="s">
        <v>8733</v>
      </c>
      <c r="X758" t="s">
        <v>1781</v>
      </c>
      <c r="Y758" t="s">
        <v>8734</v>
      </c>
      <c r="Z758" t="s">
        <v>2057</v>
      </c>
      <c r="AA758" t="s">
        <v>72</v>
      </c>
      <c r="AB758" t="s">
        <v>2058</v>
      </c>
      <c r="AC758" t="s">
        <v>72</v>
      </c>
      <c r="AD758" t="s">
        <v>72</v>
      </c>
      <c r="AE758" t="s">
        <v>72</v>
      </c>
      <c r="AF758" t="s">
        <v>72</v>
      </c>
      <c r="AG758">
        <v>41</v>
      </c>
      <c r="AH758">
        <v>2</v>
      </c>
      <c r="AI758">
        <v>2</v>
      </c>
      <c r="AJ758">
        <v>2</v>
      </c>
      <c r="AK758">
        <v>12</v>
      </c>
      <c r="AL758" t="s">
        <v>5662</v>
      </c>
      <c r="AM758" t="s">
        <v>168</v>
      </c>
      <c r="AN758" t="s">
        <v>5663</v>
      </c>
      <c r="AO758" t="s">
        <v>5664</v>
      </c>
      <c r="AP758" t="s">
        <v>5665</v>
      </c>
      <c r="AQ758" t="s">
        <v>72</v>
      </c>
      <c r="AR758" t="s">
        <v>5666</v>
      </c>
      <c r="AS758" t="s">
        <v>5667</v>
      </c>
      <c r="AT758" t="s">
        <v>72</v>
      </c>
      <c r="AU758">
        <v>2015</v>
      </c>
      <c r="AV758">
        <v>14</v>
      </c>
      <c r="AW758">
        <v>4</v>
      </c>
      <c r="AX758" t="s">
        <v>72</v>
      </c>
      <c r="AY758" t="s">
        <v>72</v>
      </c>
      <c r="AZ758" t="s">
        <v>72</v>
      </c>
      <c r="BA758" t="s">
        <v>72</v>
      </c>
      <c r="BB758">
        <v>528</v>
      </c>
      <c r="BC758">
        <v>551</v>
      </c>
      <c r="BD758" t="s">
        <v>72</v>
      </c>
      <c r="BE758" t="s">
        <v>8735</v>
      </c>
      <c r="BF758" t="str">
        <f>HYPERLINK("http://dx.doi.org/10.1075/jlp.14.4.03cer","http://dx.doi.org/10.1075/jlp.14.4.03cer")</f>
        <v>http://dx.doi.org/10.1075/jlp.14.4.03cer</v>
      </c>
      <c r="BG758" t="s">
        <v>72</v>
      </c>
      <c r="BH758" t="s">
        <v>72</v>
      </c>
      <c r="BI758">
        <v>24</v>
      </c>
      <c r="BJ758" t="s">
        <v>4122</v>
      </c>
      <c r="BK758" t="s">
        <v>458</v>
      </c>
      <c r="BL758" t="s">
        <v>8736</v>
      </c>
      <c r="BM758" t="s">
        <v>72</v>
      </c>
      <c r="BN758" t="s">
        <v>251</v>
      </c>
      <c r="BO758" t="s">
        <v>72</v>
      </c>
      <c r="BP758" t="s">
        <v>72</v>
      </c>
      <c r="BQ758" t="s">
        <v>100</v>
      </c>
      <c r="BR758" t="s">
        <v>8737</v>
      </c>
      <c r="BS758" t="str">
        <f>HYPERLINK("https%3A%2F%2Fwww.webofscience.com%2Fwos%2Fwoscc%2Ffull-record%2FWOS:000367377900003","View Full Record in Web of Science")</f>
        <v>View Full Record in Web of Science</v>
      </c>
    </row>
    <row r="759" spans="1:71" hidden="1" x14ac:dyDescent="0.2">
      <c r="A759" t="s">
        <v>70</v>
      </c>
      <c r="B759" t="s">
        <v>10223</v>
      </c>
      <c r="C759" t="s">
        <v>72</v>
      </c>
      <c r="D759" t="s">
        <v>72</v>
      </c>
      <c r="E759" t="s">
        <v>72</v>
      </c>
      <c r="F759" t="s">
        <v>10224</v>
      </c>
      <c r="G759" t="s">
        <v>72</v>
      </c>
      <c r="H759" t="s">
        <v>72</v>
      </c>
      <c r="I759" t="s">
        <v>10225</v>
      </c>
      <c r="J759" t="s">
        <v>10226</v>
      </c>
      <c r="K759" t="s">
        <v>72</v>
      </c>
      <c r="L759" t="s">
        <v>72</v>
      </c>
      <c r="M759" t="s">
        <v>76</v>
      </c>
      <c r="N759" t="s">
        <v>77</v>
      </c>
      <c r="O759" t="s">
        <v>72</v>
      </c>
      <c r="P759" t="s">
        <v>72</v>
      </c>
      <c r="Q759" t="s">
        <v>72</v>
      </c>
      <c r="R759" t="s">
        <v>72</v>
      </c>
      <c r="S759" t="s">
        <v>72</v>
      </c>
      <c r="T759" t="s">
        <v>10227</v>
      </c>
      <c r="U759" t="s">
        <v>10228</v>
      </c>
      <c r="V759" t="s">
        <v>10229</v>
      </c>
      <c r="W759" t="s">
        <v>72</v>
      </c>
      <c r="X759" t="s">
        <v>72</v>
      </c>
      <c r="Y759" t="s">
        <v>72</v>
      </c>
      <c r="Z759" t="s">
        <v>10230</v>
      </c>
      <c r="AA759" t="s">
        <v>10231</v>
      </c>
      <c r="AB759" t="s">
        <v>10232</v>
      </c>
      <c r="AC759" t="s">
        <v>72</v>
      </c>
      <c r="AD759" t="s">
        <v>72</v>
      </c>
      <c r="AE759" t="s">
        <v>72</v>
      </c>
      <c r="AF759" t="s">
        <v>72</v>
      </c>
      <c r="AG759">
        <v>66</v>
      </c>
      <c r="AH759">
        <v>12</v>
      </c>
      <c r="AI759">
        <v>12</v>
      </c>
      <c r="AJ759">
        <v>0</v>
      </c>
      <c r="AK759">
        <v>11</v>
      </c>
      <c r="AL759" t="s">
        <v>336</v>
      </c>
      <c r="AM759" t="s">
        <v>337</v>
      </c>
      <c r="AN759" t="s">
        <v>338</v>
      </c>
      <c r="AO759" t="s">
        <v>10233</v>
      </c>
      <c r="AP759" t="s">
        <v>10234</v>
      </c>
      <c r="AQ759" t="s">
        <v>72</v>
      </c>
      <c r="AR759" t="s">
        <v>10235</v>
      </c>
      <c r="AS759" t="s">
        <v>10236</v>
      </c>
      <c r="AT759" t="s">
        <v>72</v>
      </c>
      <c r="AU759">
        <v>2010</v>
      </c>
      <c r="AV759">
        <v>27</v>
      </c>
      <c r="AW759">
        <v>2</v>
      </c>
      <c r="AX759" t="s">
        <v>72</v>
      </c>
      <c r="AY759" t="s">
        <v>72</v>
      </c>
      <c r="AZ759" t="s">
        <v>72</v>
      </c>
      <c r="BA759" t="s">
        <v>72</v>
      </c>
      <c r="BB759">
        <v>191</v>
      </c>
      <c r="BC759">
        <v>211</v>
      </c>
      <c r="BD759" t="s">
        <v>72</v>
      </c>
      <c r="BE759" t="s">
        <v>10237</v>
      </c>
      <c r="BF759" t="str">
        <f>HYPERLINK("http://dx.doi.org/10.1177/0265532209349471","http://dx.doi.org/10.1177/0265532209349471")</f>
        <v>http://dx.doi.org/10.1177/0265532209349471</v>
      </c>
      <c r="BG759" t="s">
        <v>72</v>
      </c>
      <c r="BH759" t="s">
        <v>72</v>
      </c>
      <c r="BI759">
        <v>21</v>
      </c>
      <c r="BJ759" t="s">
        <v>4122</v>
      </c>
      <c r="BK759" t="s">
        <v>458</v>
      </c>
      <c r="BL759" t="s">
        <v>10238</v>
      </c>
      <c r="BM759" t="s">
        <v>72</v>
      </c>
      <c r="BN759" t="s">
        <v>72</v>
      </c>
      <c r="BO759" t="s">
        <v>72</v>
      </c>
      <c r="BP759" t="s">
        <v>72</v>
      </c>
      <c r="BQ759" t="s">
        <v>100</v>
      </c>
      <c r="BR759" t="s">
        <v>10239</v>
      </c>
      <c r="BS759" t="str">
        <f>HYPERLINK("https%3A%2F%2Fwww.webofscience.com%2Fwos%2Fwoscc%2Ffull-record%2FWOS:000277367400005","View Full Record in Web of Science")</f>
        <v>View Full Record in Web of Science</v>
      </c>
    </row>
    <row r="760" spans="1:71" hidden="1" x14ac:dyDescent="0.2">
      <c r="A760" t="s">
        <v>70</v>
      </c>
      <c r="B760" t="s">
        <v>11662</v>
      </c>
      <c r="C760" t="s">
        <v>72</v>
      </c>
      <c r="D760" t="s">
        <v>72</v>
      </c>
      <c r="E760" t="s">
        <v>72</v>
      </c>
      <c r="F760" t="s">
        <v>11663</v>
      </c>
      <c r="G760" t="s">
        <v>72</v>
      </c>
      <c r="H760" t="s">
        <v>72</v>
      </c>
      <c r="I760" t="s">
        <v>11664</v>
      </c>
      <c r="J760" t="s">
        <v>11665</v>
      </c>
      <c r="K760" t="s">
        <v>72</v>
      </c>
      <c r="L760" t="s">
        <v>72</v>
      </c>
      <c r="M760" t="s">
        <v>76</v>
      </c>
      <c r="N760" t="s">
        <v>77</v>
      </c>
      <c r="O760" t="s">
        <v>72</v>
      </c>
      <c r="P760" t="s">
        <v>72</v>
      </c>
      <c r="Q760" t="s">
        <v>72</v>
      </c>
      <c r="R760" t="s">
        <v>72</v>
      </c>
      <c r="S760" t="s">
        <v>72</v>
      </c>
      <c r="T760" t="s">
        <v>11666</v>
      </c>
      <c r="U760" t="s">
        <v>11667</v>
      </c>
      <c r="V760" t="s">
        <v>11668</v>
      </c>
      <c r="W760" t="s">
        <v>11669</v>
      </c>
      <c r="X760" t="s">
        <v>11670</v>
      </c>
      <c r="Y760" t="s">
        <v>11671</v>
      </c>
      <c r="Z760" t="s">
        <v>11672</v>
      </c>
      <c r="AA760" t="s">
        <v>72</v>
      </c>
      <c r="AB760" t="s">
        <v>72</v>
      </c>
      <c r="AC760" t="s">
        <v>72</v>
      </c>
      <c r="AD760" t="s">
        <v>72</v>
      </c>
      <c r="AE760" t="s">
        <v>72</v>
      </c>
      <c r="AF760" t="s">
        <v>72</v>
      </c>
      <c r="AG760">
        <v>25</v>
      </c>
      <c r="AH760">
        <v>0</v>
      </c>
      <c r="AI760">
        <v>0</v>
      </c>
      <c r="AJ760">
        <v>2</v>
      </c>
      <c r="AK760">
        <v>7</v>
      </c>
      <c r="AL760" t="s">
        <v>11665</v>
      </c>
      <c r="AM760" t="s">
        <v>11673</v>
      </c>
      <c r="AN760" t="s">
        <v>11674</v>
      </c>
      <c r="AO760" t="s">
        <v>11675</v>
      </c>
      <c r="AP760" t="s">
        <v>72</v>
      </c>
      <c r="AQ760" t="s">
        <v>72</v>
      </c>
      <c r="AR760" t="s">
        <v>11676</v>
      </c>
      <c r="AS760" t="s">
        <v>11677</v>
      </c>
      <c r="AT760" t="s">
        <v>776</v>
      </c>
      <c r="AU760">
        <v>2021</v>
      </c>
      <c r="AV760" t="s">
        <v>72</v>
      </c>
      <c r="AW760" t="s">
        <v>72</v>
      </c>
      <c r="AX760" t="s">
        <v>72</v>
      </c>
      <c r="AY760" t="s">
        <v>72</v>
      </c>
      <c r="AZ760">
        <v>7</v>
      </c>
      <c r="BA760" t="s">
        <v>72</v>
      </c>
      <c r="BB760">
        <v>155</v>
      </c>
      <c r="BC760">
        <v>164</v>
      </c>
      <c r="BD760" t="s">
        <v>72</v>
      </c>
      <c r="BE760" t="s">
        <v>11678</v>
      </c>
      <c r="BF760" t="str">
        <f>HYPERLINK("http://dx.doi.org/10.24093/awej/call7.11","http://dx.doi.org/10.24093/awej/call7.11")</f>
        <v>http://dx.doi.org/10.24093/awej/call7.11</v>
      </c>
      <c r="BG760" t="s">
        <v>72</v>
      </c>
      <c r="BH760" t="s">
        <v>72</v>
      </c>
      <c r="BI760">
        <v>10</v>
      </c>
      <c r="BJ760" t="s">
        <v>557</v>
      </c>
      <c r="BK760" t="s">
        <v>458</v>
      </c>
      <c r="BL760" t="s">
        <v>11679</v>
      </c>
      <c r="BM760" t="s">
        <v>72</v>
      </c>
      <c r="BN760" t="s">
        <v>6324</v>
      </c>
      <c r="BO760" t="s">
        <v>72</v>
      </c>
      <c r="BP760" t="s">
        <v>72</v>
      </c>
      <c r="BQ760" t="s">
        <v>100</v>
      </c>
      <c r="BR760" t="s">
        <v>11680</v>
      </c>
      <c r="BS760" t="str">
        <f>HYPERLINK("https%3A%2F%2Fwww.webofscience.com%2Fwos%2Fwoscc%2Ffull-record%2FWOS:000678770600011","View Full Record in Web of Science")</f>
        <v>View Full Record in Web of Science</v>
      </c>
    </row>
    <row r="761" spans="1:71" hidden="1" x14ac:dyDescent="0.2">
      <c r="A761" t="s">
        <v>70</v>
      </c>
      <c r="B761" t="s">
        <v>11784</v>
      </c>
      <c r="C761" t="s">
        <v>72</v>
      </c>
      <c r="D761" t="s">
        <v>72</v>
      </c>
      <c r="E761" t="s">
        <v>72</v>
      </c>
      <c r="F761" t="s">
        <v>11785</v>
      </c>
      <c r="G761" t="s">
        <v>72</v>
      </c>
      <c r="H761" t="s">
        <v>72</v>
      </c>
      <c r="I761" t="s">
        <v>11786</v>
      </c>
      <c r="J761" t="s">
        <v>11787</v>
      </c>
      <c r="K761" t="s">
        <v>72</v>
      </c>
      <c r="L761" t="s">
        <v>72</v>
      </c>
      <c r="M761" t="s">
        <v>5152</v>
      </c>
      <c r="N761" t="s">
        <v>77</v>
      </c>
      <c r="O761" t="s">
        <v>72</v>
      </c>
      <c r="P761" t="s">
        <v>72</v>
      </c>
      <c r="Q761" t="s">
        <v>72</v>
      </c>
      <c r="R761" t="s">
        <v>72</v>
      </c>
      <c r="S761" t="s">
        <v>72</v>
      </c>
      <c r="T761" t="s">
        <v>11788</v>
      </c>
      <c r="U761" t="s">
        <v>72</v>
      </c>
      <c r="V761" t="s">
        <v>11789</v>
      </c>
      <c r="W761" t="s">
        <v>11790</v>
      </c>
      <c r="X761" t="s">
        <v>11791</v>
      </c>
      <c r="Y761" t="s">
        <v>11792</v>
      </c>
      <c r="Z761" t="s">
        <v>11793</v>
      </c>
      <c r="AA761" t="s">
        <v>72</v>
      </c>
      <c r="AB761" t="s">
        <v>72</v>
      </c>
      <c r="AC761" t="s">
        <v>72</v>
      </c>
      <c r="AD761" t="s">
        <v>72</v>
      </c>
      <c r="AE761" t="s">
        <v>72</v>
      </c>
      <c r="AF761" t="s">
        <v>72</v>
      </c>
      <c r="AG761">
        <v>42</v>
      </c>
      <c r="AH761">
        <v>0</v>
      </c>
      <c r="AI761">
        <v>0</v>
      </c>
      <c r="AJ761">
        <v>4</v>
      </c>
      <c r="AK761">
        <v>29</v>
      </c>
      <c r="AL761" t="s">
        <v>11794</v>
      </c>
      <c r="AM761" t="s">
        <v>11795</v>
      </c>
      <c r="AN761" t="s">
        <v>11796</v>
      </c>
      <c r="AO761" t="s">
        <v>11797</v>
      </c>
      <c r="AP761" t="s">
        <v>72</v>
      </c>
      <c r="AQ761" t="s">
        <v>72</v>
      </c>
      <c r="AR761" t="s">
        <v>11798</v>
      </c>
      <c r="AS761" t="s">
        <v>11799</v>
      </c>
      <c r="AT761" t="s">
        <v>72</v>
      </c>
      <c r="AU761">
        <v>2019</v>
      </c>
      <c r="AV761" t="s">
        <v>72</v>
      </c>
      <c r="AW761">
        <v>77</v>
      </c>
      <c r="AX761" t="s">
        <v>72</v>
      </c>
      <c r="AY761" t="s">
        <v>72</v>
      </c>
      <c r="AZ761" t="s">
        <v>72</v>
      </c>
      <c r="BA761" t="s">
        <v>72</v>
      </c>
      <c r="BB761">
        <v>37</v>
      </c>
      <c r="BC761">
        <v>66</v>
      </c>
      <c r="BD761" t="s">
        <v>72</v>
      </c>
      <c r="BE761" t="s">
        <v>11800</v>
      </c>
      <c r="BF761" t="str">
        <f>HYPERLINK("http://dx.doi.org/10.5209/CLAC.63269","http://dx.doi.org/10.5209/CLAC.63269")</f>
        <v>http://dx.doi.org/10.5209/CLAC.63269</v>
      </c>
      <c r="BG761" t="s">
        <v>72</v>
      </c>
      <c r="BH761" t="s">
        <v>72</v>
      </c>
      <c r="BI761">
        <v>30</v>
      </c>
      <c r="BJ761" t="s">
        <v>4122</v>
      </c>
      <c r="BK761" t="s">
        <v>458</v>
      </c>
      <c r="BL761" t="s">
        <v>11801</v>
      </c>
      <c r="BM761" t="s">
        <v>72</v>
      </c>
      <c r="BN761" t="s">
        <v>222</v>
      </c>
      <c r="BO761" t="s">
        <v>72</v>
      </c>
      <c r="BP761" t="s">
        <v>72</v>
      </c>
      <c r="BQ761" t="s">
        <v>100</v>
      </c>
      <c r="BR761" t="s">
        <v>11802</v>
      </c>
      <c r="BS761" t="str">
        <f>HYPERLINK("https%3A%2F%2Fwww.webofscience.com%2Fwos%2Fwoscc%2Ffull-record%2FWOS:000460527400003","View Full Record in Web of Science")</f>
        <v>View Full Record in Web of Science</v>
      </c>
    </row>
    <row r="762" spans="1:71" hidden="1" x14ac:dyDescent="0.2">
      <c r="A762" t="s">
        <v>305</v>
      </c>
      <c r="B762" t="s">
        <v>16784</v>
      </c>
      <c r="C762" t="s">
        <v>72</v>
      </c>
      <c r="D762" t="s">
        <v>16785</v>
      </c>
      <c r="E762" t="s">
        <v>72</v>
      </c>
      <c r="F762" t="s">
        <v>16786</v>
      </c>
      <c r="G762" t="s">
        <v>72</v>
      </c>
      <c r="H762" t="s">
        <v>72</v>
      </c>
      <c r="I762" t="s">
        <v>16787</v>
      </c>
      <c r="J762" t="s">
        <v>16788</v>
      </c>
      <c r="K762" t="s">
        <v>72</v>
      </c>
      <c r="L762" t="s">
        <v>72</v>
      </c>
      <c r="M762" t="s">
        <v>76</v>
      </c>
      <c r="N762" t="s">
        <v>312</v>
      </c>
      <c r="O762" t="s">
        <v>16789</v>
      </c>
      <c r="P762" t="s">
        <v>16790</v>
      </c>
      <c r="Q762" t="s">
        <v>9268</v>
      </c>
      <c r="R762" t="s">
        <v>16791</v>
      </c>
      <c r="S762" t="s">
        <v>72</v>
      </c>
      <c r="T762" t="s">
        <v>16792</v>
      </c>
      <c r="U762" t="s">
        <v>72</v>
      </c>
      <c r="V762" t="s">
        <v>16793</v>
      </c>
      <c r="W762" t="s">
        <v>16794</v>
      </c>
      <c r="X762" t="s">
        <v>16795</v>
      </c>
      <c r="Y762" t="s">
        <v>16796</v>
      </c>
      <c r="Z762" t="s">
        <v>16797</v>
      </c>
      <c r="AA762" t="s">
        <v>72</v>
      </c>
      <c r="AB762" t="s">
        <v>72</v>
      </c>
      <c r="AC762" t="s">
        <v>72</v>
      </c>
      <c r="AD762" t="s">
        <v>72</v>
      </c>
      <c r="AE762" t="s">
        <v>72</v>
      </c>
      <c r="AF762" t="s">
        <v>72</v>
      </c>
      <c r="AG762">
        <v>25</v>
      </c>
      <c r="AH762">
        <v>0</v>
      </c>
      <c r="AI762">
        <v>0</v>
      </c>
      <c r="AJ762">
        <v>0</v>
      </c>
      <c r="AK762">
        <v>0</v>
      </c>
      <c r="AL762" t="s">
        <v>16798</v>
      </c>
      <c r="AM762" t="s">
        <v>658</v>
      </c>
      <c r="AN762" t="s">
        <v>16799</v>
      </c>
      <c r="AO762" t="s">
        <v>72</v>
      </c>
      <c r="AP762" t="s">
        <v>72</v>
      </c>
      <c r="AQ762" t="s">
        <v>16800</v>
      </c>
      <c r="AR762" t="s">
        <v>72</v>
      </c>
      <c r="AS762" t="s">
        <v>72</v>
      </c>
      <c r="AT762" t="s">
        <v>72</v>
      </c>
      <c r="AU762">
        <v>2016</v>
      </c>
      <c r="AV762" t="s">
        <v>72</v>
      </c>
      <c r="AW762" t="s">
        <v>72</v>
      </c>
      <c r="AX762" t="s">
        <v>72</v>
      </c>
      <c r="AY762" t="s">
        <v>72</v>
      </c>
      <c r="AZ762" t="s">
        <v>72</v>
      </c>
      <c r="BA762" t="s">
        <v>72</v>
      </c>
      <c r="BB762">
        <v>739</v>
      </c>
      <c r="BC762">
        <v>743</v>
      </c>
      <c r="BD762" t="s">
        <v>72</v>
      </c>
      <c r="BE762" t="s">
        <v>72</v>
      </c>
      <c r="BF762" t="s">
        <v>72</v>
      </c>
      <c r="BG762" t="s">
        <v>72</v>
      </c>
      <c r="BH762" t="s">
        <v>72</v>
      </c>
      <c r="BI762">
        <v>5</v>
      </c>
      <c r="BJ762" t="s">
        <v>557</v>
      </c>
      <c r="BK762" t="s">
        <v>458</v>
      </c>
      <c r="BL762" t="s">
        <v>16801</v>
      </c>
      <c r="BM762" t="s">
        <v>72</v>
      </c>
      <c r="BN762" t="s">
        <v>72</v>
      </c>
      <c r="BO762" t="s">
        <v>72</v>
      </c>
      <c r="BP762" t="s">
        <v>72</v>
      </c>
      <c r="BQ762" t="s">
        <v>100</v>
      </c>
      <c r="BR762" t="s">
        <v>16802</v>
      </c>
      <c r="BS762" t="str">
        <f>HYPERLINK("https%3A%2F%2Fwww.webofscience.com%2Fwos%2Fwoscc%2Ffull-record%2FWOS:000526952500117","View Full Record in Web of Science")</f>
        <v>View Full Record in Web of Science</v>
      </c>
    </row>
    <row r="763" spans="1:71" hidden="1" x14ac:dyDescent="0.2">
      <c r="A763" t="s">
        <v>70</v>
      </c>
      <c r="B763" t="s">
        <v>16922</v>
      </c>
      <c r="C763" t="s">
        <v>72</v>
      </c>
      <c r="D763" t="s">
        <v>72</v>
      </c>
      <c r="E763" t="s">
        <v>72</v>
      </c>
      <c r="F763" t="s">
        <v>16923</v>
      </c>
      <c r="G763" t="s">
        <v>72</v>
      </c>
      <c r="H763" t="s">
        <v>72</v>
      </c>
      <c r="I763" t="s">
        <v>16924</v>
      </c>
      <c r="J763" t="s">
        <v>16925</v>
      </c>
      <c r="K763" t="s">
        <v>72</v>
      </c>
      <c r="L763" t="s">
        <v>72</v>
      </c>
      <c r="M763" t="s">
        <v>2818</v>
      </c>
      <c r="N763" t="s">
        <v>1503</v>
      </c>
      <c r="O763" t="s">
        <v>72</v>
      </c>
      <c r="P763" t="s">
        <v>72</v>
      </c>
      <c r="Q763" t="s">
        <v>72</v>
      </c>
      <c r="R763" t="s">
        <v>72</v>
      </c>
      <c r="S763" t="s">
        <v>72</v>
      </c>
      <c r="T763" t="s">
        <v>16926</v>
      </c>
      <c r="U763" t="s">
        <v>72</v>
      </c>
      <c r="V763" t="s">
        <v>16927</v>
      </c>
      <c r="W763" t="s">
        <v>16928</v>
      </c>
      <c r="X763" t="s">
        <v>16929</v>
      </c>
      <c r="Y763" t="s">
        <v>16930</v>
      </c>
      <c r="Z763" t="s">
        <v>16931</v>
      </c>
      <c r="AA763" t="s">
        <v>16932</v>
      </c>
      <c r="AB763" t="s">
        <v>16933</v>
      </c>
      <c r="AC763" t="s">
        <v>72</v>
      </c>
      <c r="AD763" t="s">
        <v>72</v>
      </c>
      <c r="AE763" t="s">
        <v>72</v>
      </c>
      <c r="AF763" t="s">
        <v>72</v>
      </c>
      <c r="AG763">
        <v>17</v>
      </c>
      <c r="AH763">
        <v>0</v>
      </c>
      <c r="AI763">
        <v>0</v>
      </c>
      <c r="AJ763">
        <v>3</v>
      </c>
      <c r="AK763">
        <v>12</v>
      </c>
      <c r="AL763" t="s">
        <v>16934</v>
      </c>
      <c r="AM763" t="s">
        <v>16935</v>
      </c>
      <c r="AN763" t="s">
        <v>16936</v>
      </c>
      <c r="AO763" t="s">
        <v>16937</v>
      </c>
      <c r="AP763" t="s">
        <v>16938</v>
      </c>
      <c r="AQ763" t="s">
        <v>72</v>
      </c>
      <c r="AR763" t="s">
        <v>16939</v>
      </c>
      <c r="AS763" t="s">
        <v>16940</v>
      </c>
      <c r="AT763" t="s">
        <v>299</v>
      </c>
      <c r="AU763">
        <v>2018</v>
      </c>
      <c r="AV763" t="s">
        <v>72</v>
      </c>
      <c r="AW763">
        <v>42</v>
      </c>
      <c r="AX763" t="s">
        <v>72</v>
      </c>
      <c r="AY763" t="s">
        <v>72</v>
      </c>
      <c r="AZ763" t="s">
        <v>72</v>
      </c>
      <c r="BA763" t="s">
        <v>72</v>
      </c>
      <c r="BB763">
        <v>39</v>
      </c>
      <c r="BC763">
        <v>59</v>
      </c>
      <c r="BD763" t="s">
        <v>72</v>
      </c>
      <c r="BE763" t="s">
        <v>16941</v>
      </c>
      <c r="BF763" t="str">
        <f>HYPERLINK("http://dx.doi.org/10.17223/19996195/42/3","http://dx.doi.org/10.17223/19996195/42/3")</f>
        <v>http://dx.doi.org/10.17223/19996195/42/3</v>
      </c>
      <c r="BG763" t="s">
        <v>72</v>
      </c>
      <c r="BH763" t="s">
        <v>72</v>
      </c>
      <c r="BI763">
        <v>21</v>
      </c>
      <c r="BJ763" t="s">
        <v>557</v>
      </c>
      <c r="BK763" t="s">
        <v>458</v>
      </c>
      <c r="BL763" t="s">
        <v>16942</v>
      </c>
      <c r="BM763" t="s">
        <v>72</v>
      </c>
      <c r="BN763" t="s">
        <v>1497</v>
      </c>
      <c r="BO763" t="s">
        <v>72</v>
      </c>
      <c r="BP763" t="s">
        <v>72</v>
      </c>
      <c r="BQ763" t="s">
        <v>100</v>
      </c>
      <c r="BR763" t="s">
        <v>16943</v>
      </c>
      <c r="BS763" t="str">
        <f>HYPERLINK("https%3A%2F%2Fwww.webofscience.com%2Fwos%2Fwoscc%2Ffull-record%2FWOS:000445738900003","View Full Record in Web of Science")</f>
        <v>View Full Record in Web of Science</v>
      </c>
    </row>
    <row r="764" spans="1:71" hidden="1" x14ac:dyDescent="0.2">
      <c r="A764" t="s">
        <v>70</v>
      </c>
      <c r="B764" t="s">
        <v>17261</v>
      </c>
      <c r="C764" t="s">
        <v>72</v>
      </c>
      <c r="D764" t="s">
        <v>72</v>
      </c>
      <c r="E764" t="s">
        <v>72</v>
      </c>
      <c r="F764" t="s">
        <v>17262</v>
      </c>
      <c r="G764" t="s">
        <v>72</v>
      </c>
      <c r="H764" t="s">
        <v>72</v>
      </c>
      <c r="I764" t="s">
        <v>17263</v>
      </c>
      <c r="J764" t="s">
        <v>17264</v>
      </c>
      <c r="K764" t="s">
        <v>72</v>
      </c>
      <c r="L764" t="s">
        <v>72</v>
      </c>
      <c r="M764" t="s">
        <v>2818</v>
      </c>
      <c r="N764" t="s">
        <v>77</v>
      </c>
      <c r="O764" t="s">
        <v>72</v>
      </c>
      <c r="P764" t="s">
        <v>72</v>
      </c>
      <c r="Q764" t="s">
        <v>72</v>
      </c>
      <c r="R764" t="s">
        <v>72</v>
      </c>
      <c r="S764" t="s">
        <v>72</v>
      </c>
      <c r="T764" t="s">
        <v>17265</v>
      </c>
      <c r="U764" t="s">
        <v>72</v>
      </c>
      <c r="V764" t="s">
        <v>17266</v>
      </c>
      <c r="W764" t="s">
        <v>17267</v>
      </c>
      <c r="X764" t="s">
        <v>17268</v>
      </c>
      <c r="Y764" t="s">
        <v>17269</v>
      </c>
      <c r="Z764" t="s">
        <v>17270</v>
      </c>
      <c r="AA764" t="s">
        <v>17271</v>
      </c>
      <c r="AB764" t="s">
        <v>17272</v>
      </c>
      <c r="AC764" t="s">
        <v>72</v>
      </c>
      <c r="AD764" t="s">
        <v>72</v>
      </c>
      <c r="AE764" t="s">
        <v>72</v>
      </c>
      <c r="AF764" t="s">
        <v>72</v>
      </c>
      <c r="AG764">
        <v>34</v>
      </c>
      <c r="AH764">
        <v>0</v>
      </c>
      <c r="AI764">
        <v>0</v>
      </c>
      <c r="AJ764">
        <v>0</v>
      </c>
      <c r="AK764">
        <v>1</v>
      </c>
      <c r="AL764" t="s">
        <v>16934</v>
      </c>
      <c r="AM764" t="s">
        <v>16935</v>
      </c>
      <c r="AN764" t="s">
        <v>16936</v>
      </c>
      <c r="AO764" t="s">
        <v>17273</v>
      </c>
      <c r="AP764" t="s">
        <v>17274</v>
      </c>
      <c r="AQ764" t="s">
        <v>72</v>
      </c>
      <c r="AR764" t="s">
        <v>17275</v>
      </c>
      <c r="AS764" t="s">
        <v>17276</v>
      </c>
      <c r="AT764" t="s">
        <v>639</v>
      </c>
      <c r="AU764">
        <v>2020</v>
      </c>
      <c r="AV764">
        <v>66</v>
      </c>
      <c r="AW764" t="s">
        <v>72</v>
      </c>
      <c r="AX764" t="s">
        <v>72</v>
      </c>
      <c r="AY764" t="s">
        <v>72</v>
      </c>
      <c r="AZ764" t="s">
        <v>72</v>
      </c>
      <c r="BA764" t="s">
        <v>72</v>
      </c>
      <c r="BB764">
        <v>107</v>
      </c>
      <c r="BC764">
        <v>131</v>
      </c>
      <c r="BD764" t="s">
        <v>72</v>
      </c>
      <c r="BE764" t="s">
        <v>17277</v>
      </c>
      <c r="BF764" t="str">
        <f>HYPERLINK("http://dx.doi.org/10.17223/19986645/66/6","http://dx.doi.org/10.17223/19986645/66/6")</f>
        <v>http://dx.doi.org/10.17223/19986645/66/6</v>
      </c>
      <c r="BG764" t="s">
        <v>72</v>
      </c>
      <c r="BH764" t="s">
        <v>72</v>
      </c>
      <c r="BI764">
        <v>25</v>
      </c>
      <c r="BJ764" t="s">
        <v>557</v>
      </c>
      <c r="BK764" t="s">
        <v>458</v>
      </c>
      <c r="BL764" t="s">
        <v>17278</v>
      </c>
      <c r="BM764" t="s">
        <v>72</v>
      </c>
      <c r="BN764" t="s">
        <v>1497</v>
      </c>
      <c r="BO764" t="s">
        <v>72</v>
      </c>
      <c r="BP764" t="s">
        <v>72</v>
      </c>
      <c r="BQ764" t="s">
        <v>100</v>
      </c>
      <c r="BR764" t="s">
        <v>17279</v>
      </c>
      <c r="BS764" t="str">
        <f>HYPERLINK("https%3A%2F%2Fwww.webofscience.com%2Fwos%2Fwoscc%2Ffull-record%2FWOS:000582555900006","View Full Record in Web of Science")</f>
        <v>View Full Record in Web of Science</v>
      </c>
    </row>
    <row r="765" spans="1:71" hidden="1" x14ac:dyDescent="0.2">
      <c r="A765" t="s">
        <v>70</v>
      </c>
      <c r="B765" t="s">
        <v>14287</v>
      </c>
      <c r="C765" t="s">
        <v>72</v>
      </c>
      <c r="D765" t="s">
        <v>72</v>
      </c>
      <c r="E765" t="s">
        <v>72</v>
      </c>
      <c r="F765" t="s">
        <v>14288</v>
      </c>
      <c r="G765" t="s">
        <v>72</v>
      </c>
      <c r="H765" t="s">
        <v>72</v>
      </c>
      <c r="I765" t="s">
        <v>14289</v>
      </c>
      <c r="J765" t="s">
        <v>14290</v>
      </c>
      <c r="K765" t="s">
        <v>72</v>
      </c>
      <c r="L765" t="s">
        <v>72</v>
      </c>
      <c r="M765" t="s">
        <v>542</v>
      </c>
      <c r="N765" t="s">
        <v>77</v>
      </c>
      <c r="O765" t="s">
        <v>72</v>
      </c>
      <c r="P765" t="s">
        <v>72</v>
      </c>
      <c r="Q765" t="s">
        <v>72</v>
      </c>
      <c r="R765" t="s">
        <v>72</v>
      </c>
      <c r="S765" t="s">
        <v>72</v>
      </c>
      <c r="T765" t="s">
        <v>14291</v>
      </c>
      <c r="U765" t="s">
        <v>72</v>
      </c>
      <c r="V765" t="s">
        <v>14292</v>
      </c>
      <c r="W765" t="s">
        <v>14293</v>
      </c>
      <c r="X765" t="s">
        <v>14294</v>
      </c>
      <c r="Y765" t="s">
        <v>14295</v>
      </c>
      <c r="Z765" t="s">
        <v>14296</v>
      </c>
      <c r="AA765" t="s">
        <v>14297</v>
      </c>
      <c r="AB765" t="s">
        <v>72</v>
      </c>
      <c r="AC765" t="s">
        <v>72</v>
      </c>
      <c r="AD765" t="s">
        <v>72</v>
      </c>
      <c r="AE765" t="s">
        <v>72</v>
      </c>
      <c r="AF765" t="s">
        <v>72</v>
      </c>
      <c r="AG765">
        <v>18</v>
      </c>
      <c r="AH765">
        <v>1</v>
      </c>
      <c r="AI765">
        <v>1</v>
      </c>
      <c r="AJ765">
        <v>0</v>
      </c>
      <c r="AK765">
        <v>3</v>
      </c>
      <c r="AL765" t="s">
        <v>14298</v>
      </c>
      <c r="AM765" t="s">
        <v>859</v>
      </c>
      <c r="AN765" t="s">
        <v>14299</v>
      </c>
      <c r="AO765" t="s">
        <v>14300</v>
      </c>
      <c r="AP765" t="s">
        <v>14301</v>
      </c>
      <c r="AQ765" t="s">
        <v>72</v>
      </c>
      <c r="AR765" t="s">
        <v>14302</v>
      </c>
      <c r="AS765" t="s">
        <v>14303</v>
      </c>
      <c r="AT765" t="s">
        <v>555</v>
      </c>
      <c r="AU765">
        <v>2017</v>
      </c>
      <c r="AV765">
        <v>47</v>
      </c>
      <c r="AW765">
        <v>1</v>
      </c>
      <c r="AX765" t="s">
        <v>72</v>
      </c>
      <c r="AY765" t="s">
        <v>72</v>
      </c>
      <c r="AZ765" t="s">
        <v>72</v>
      </c>
      <c r="BA765" t="s">
        <v>72</v>
      </c>
      <c r="BB765">
        <v>7</v>
      </c>
      <c r="BC765">
        <v>27</v>
      </c>
      <c r="BD765" t="s">
        <v>72</v>
      </c>
      <c r="BE765" t="s">
        <v>14304</v>
      </c>
      <c r="BF765" t="str">
        <f>HYPERLINK("http://dx.doi.org/10.1007/s41244-017-0050-x","http://dx.doi.org/10.1007/s41244-017-0050-x")</f>
        <v>http://dx.doi.org/10.1007/s41244-017-0050-x</v>
      </c>
      <c r="BG765" t="s">
        <v>72</v>
      </c>
      <c r="BH765" t="s">
        <v>72</v>
      </c>
      <c r="BI765">
        <v>21</v>
      </c>
      <c r="BJ765" t="s">
        <v>14305</v>
      </c>
      <c r="BK765" t="s">
        <v>14306</v>
      </c>
      <c r="BL765" t="s">
        <v>14307</v>
      </c>
      <c r="BM765" t="s">
        <v>72</v>
      </c>
      <c r="BN765" t="s">
        <v>72</v>
      </c>
      <c r="BO765" t="s">
        <v>72</v>
      </c>
      <c r="BP765" t="s">
        <v>72</v>
      </c>
      <c r="BQ765" t="s">
        <v>100</v>
      </c>
      <c r="BR765" t="s">
        <v>14308</v>
      </c>
      <c r="BS765" t="str">
        <f>HYPERLINK("https%3A%2F%2Fwww.webofscience.com%2Fwos%2Fwoscc%2Ffull-record%2FWOS:000401490500002","View Full Record in Web of Science")</f>
        <v>View Full Record in Web of Science</v>
      </c>
    </row>
    <row r="766" spans="1:71" hidden="1" x14ac:dyDescent="0.2">
      <c r="A766" t="s">
        <v>70</v>
      </c>
      <c r="B766" t="s">
        <v>282</v>
      </c>
      <c r="C766" t="s">
        <v>72</v>
      </c>
      <c r="D766" t="s">
        <v>72</v>
      </c>
      <c r="E766" t="s">
        <v>72</v>
      </c>
      <c r="F766" t="s">
        <v>283</v>
      </c>
      <c r="G766" t="s">
        <v>72</v>
      </c>
      <c r="H766" t="s">
        <v>72</v>
      </c>
      <c r="I766" t="s">
        <v>284</v>
      </c>
      <c r="J766" t="s">
        <v>285</v>
      </c>
      <c r="K766" t="s">
        <v>72</v>
      </c>
      <c r="L766" t="s">
        <v>72</v>
      </c>
      <c r="M766" t="s">
        <v>76</v>
      </c>
      <c r="N766" t="s">
        <v>77</v>
      </c>
      <c r="O766" t="s">
        <v>72</v>
      </c>
      <c r="P766" t="s">
        <v>72</v>
      </c>
      <c r="Q766" t="s">
        <v>72</v>
      </c>
      <c r="R766" t="s">
        <v>72</v>
      </c>
      <c r="S766" t="s">
        <v>72</v>
      </c>
      <c r="T766" t="s">
        <v>286</v>
      </c>
      <c r="U766" t="s">
        <v>287</v>
      </c>
      <c r="V766" t="s">
        <v>288</v>
      </c>
      <c r="W766" t="s">
        <v>289</v>
      </c>
      <c r="X766" t="s">
        <v>290</v>
      </c>
      <c r="Y766" t="s">
        <v>291</v>
      </c>
      <c r="Z766" t="s">
        <v>292</v>
      </c>
      <c r="AA766" t="s">
        <v>293</v>
      </c>
      <c r="AB766" t="s">
        <v>294</v>
      </c>
      <c r="AC766" t="s">
        <v>72</v>
      </c>
      <c r="AD766" t="s">
        <v>72</v>
      </c>
      <c r="AE766" t="s">
        <v>72</v>
      </c>
      <c r="AF766" t="s">
        <v>72</v>
      </c>
      <c r="AG766">
        <v>101</v>
      </c>
      <c r="AH766">
        <v>61</v>
      </c>
      <c r="AI766">
        <v>62</v>
      </c>
      <c r="AJ766">
        <v>1</v>
      </c>
      <c r="AK766">
        <v>31</v>
      </c>
      <c r="AL766" t="s">
        <v>240</v>
      </c>
      <c r="AM766" t="s">
        <v>241</v>
      </c>
      <c r="AN766" t="s">
        <v>242</v>
      </c>
      <c r="AO766" t="s">
        <v>295</v>
      </c>
      <c r="AP766" t="s">
        <v>296</v>
      </c>
      <c r="AQ766" t="s">
        <v>72</v>
      </c>
      <c r="AR766" t="s">
        <v>297</v>
      </c>
      <c r="AS766" t="s">
        <v>298</v>
      </c>
      <c r="AT766" t="s">
        <v>299</v>
      </c>
      <c r="AU766">
        <v>2015</v>
      </c>
      <c r="AV766">
        <v>7</v>
      </c>
      <c r="AW766">
        <v>2</v>
      </c>
      <c r="AX766" t="s">
        <v>72</v>
      </c>
      <c r="AY766" t="s">
        <v>72</v>
      </c>
      <c r="AZ766" t="s">
        <v>72</v>
      </c>
      <c r="BA766" t="s">
        <v>72</v>
      </c>
      <c r="BB766">
        <v>265</v>
      </c>
      <c r="BC766">
        <v>290</v>
      </c>
      <c r="BD766" t="s">
        <v>72</v>
      </c>
      <c r="BE766" t="s">
        <v>300</v>
      </c>
      <c r="BF766" t="str">
        <f>HYPERLINK("http://dx.doi.org/10.1017/langcog.2014.30","http://dx.doi.org/10.1017/langcog.2014.30")</f>
        <v>http://dx.doi.org/10.1017/langcog.2014.30</v>
      </c>
      <c r="BG766" t="s">
        <v>72</v>
      </c>
      <c r="BH766" t="s">
        <v>72</v>
      </c>
      <c r="BI766">
        <v>26</v>
      </c>
      <c r="BJ766" t="s">
        <v>301</v>
      </c>
      <c r="BK766" t="s">
        <v>302</v>
      </c>
      <c r="BL766" t="s">
        <v>303</v>
      </c>
      <c r="BM766" t="s">
        <v>72</v>
      </c>
      <c r="BN766" t="s">
        <v>72</v>
      </c>
      <c r="BO766" t="s">
        <v>72</v>
      </c>
      <c r="BP766" t="s">
        <v>72</v>
      </c>
      <c r="BQ766" t="s">
        <v>100</v>
      </c>
      <c r="BR766" t="s">
        <v>304</v>
      </c>
      <c r="BS766" t="str">
        <f>HYPERLINK("https%3A%2F%2Fwww.webofscience.com%2Fwos%2Fwoscc%2Ffull-record%2FWOS:000358413600005","View Full Record in Web of Science")</f>
        <v>View Full Record in Web of Science</v>
      </c>
    </row>
    <row r="767" spans="1:71" hidden="1" x14ac:dyDescent="0.2">
      <c r="A767" t="s">
        <v>70</v>
      </c>
      <c r="B767" t="s">
        <v>6992</v>
      </c>
      <c r="C767" t="s">
        <v>72</v>
      </c>
      <c r="D767" t="s">
        <v>72</v>
      </c>
      <c r="E767" t="s">
        <v>72</v>
      </c>
      <c r="F767" t="s">
        <v>6993</v>
      </c>
      <c r="G767" t="s">
        <v>72</v>
      </c>
      <c r="H767" t="s">
        <v>72</v>
      </c>
      <c r="I767" t="s">
        <v>6994</v>
      </c>
      <c r="J767" t="s">
        <v>6995</v>
      </c>
      <c r="K767" t="s">
        <v>72</v>
      </c>
      <c r="L767" t="s">
        <v>72</v>
      </c>
      <c r="M767" t="s">
        <v>76</v>
      </c>
      <c r="N767" t="s">
        <v>77</v>
      </c>
      <c r="O767" t="s">
        <v>72</v>
      </c>
      <c r="P767" t="s">
        <v>72</v>
      </c>
      <c r="Q767" t="s">
        <v>72</v>
      </c>
      <c r="R767" t="s">
        <v>72</v>
      </c>
      <c r="S767" t="s">
        <v>72</v>
      </c>
      <c r="T767" t="s">
        <v>6996</v>
      </c>
      <c r="U767" t="s">
        <v>6997</v>
      </c>
      <c r="V767" t="s">
        <v>6998</v>
      </c>
      <c r="W767" t="s">
        <v>6999</v>
      </c>
      <c r="X767" t="s">
        <v>6201</v>
      </c>
      <c r="Y767" t="s">
        <v>291</v>
      </c>
      <c r="Z767" t="s">
        <v>292</v>
      </c>
      <c r="AA767" t="s">
        <v>7000</v>
      </c>
      <c r="AB767" t="s">
        <v>72</v>
      </c>
      <c r="AC767" t="s">
        <v>7001</v>
      </c>
      <c r="AD767" t="s">
        <v>7002</v>
      </c>
      <c r="AE767" t="s">
        <v>7003</v>
      </c>
      <c r="AF767" t="s">
        <v>72</v>
      </c>
      <c r="AG767">
        <v>48</v>
      </c>
      <c r="AH767">
        <v>4</v>
      </c>
      <c r="AI767">
        <v>4</v>
      </c>
      <c r="AJ767">
        <v>0</v>
      </c>
      <c r="AK767">
        <v>7</v>
      </c>
      <c r="AL767" t="s">
        <v>7004</v>
      </c>
      <c r="AM767" t="s">
        <v>707</v>
      </c>
      <c r="AN767" t="s">
        <v>5184</v>
      </c>
      <c r="AO767" t="s">
        <v>7005</v>
      </c>
      <c r="AP767" t="s">
        <v>7006</v>
      </c>
      <c r="AQ767" t="s">
        <v>72</v>
      </c>
      <c r="AR767" t="s">
        <v>7007</v>
      </c>
      <c r="AS767" t="s">
        <v>7008</v>
      </c>
      <c r="AT767" t="s">
        <v>149</v>
      </c>
      <c r="AU767">
        <v>2016</v>
      </c>
      <c r="AV767">
        <v>45</v>
      </c>
      <c r="AW767">
        <v>2</v>
      </c>
      <c r="AX767" t="s">
        <v>72</v>
      </c>
      <c r="AY767" t="s">
        <v>72</v>
      </c>
      <c r="AZ767" t="s">
        <v>72</v>
      </c>
      <c r="BA767" t="s">
        <v>72</v>
      </c>
      <c r="BB767">
        <v>205</v>
      </c>
      <c r="BC767">
        <v>235</v>
      </c>
      <c r="BD767" t="s">
        <v>72</v>
      </c>
      <c r="BE767" t="s">
        <v>7009</v>
      </c>
      <c r="BF767" t="str">
        <f>HYPERLINK("http://dx.doi.org/10.1007/s10936-014-9341-3","http://dx.doi.org/10.1007/s10936-014-9341-3")</f>
        <v>http://dx.doi.org/10.1007/s10936-014-9341-3</v>
      </c>
      <c r="BG767" t="s">
        <v>72</v>
      </c>
      <c r="BH767" t="s">
        <v>72</v>
      </c>
      <c r="BI767">
        <v>31</v>
      </c>
      <c r="BJ767" t="s">
        <v>7010</v>
      </c>
      <c r="BK767" t="s">
        <v>302</v>
      </c>
      <c r="BL767" t="s">
        <v>7011</v>
      </c>
      <c r="BM767">
        <v>25466911</v>
      </c>
      <c r="BN767" t="s">
        <v>72</v>
      </c>
      <c r="BO767" t="s">
        <v>72</v>
      </c>
      <c r="BP767" t="s">
        <v>72</v>
      </c>
      <c r="BQ767" t="s">
        <v>100</v>
      </c>
      <c r="BR767" t="s">
        <v>7012</v>
      </c>
      <c r="BS767" t="str">
        <f>HYPERLINK("https%3A%2F%2Fwww.webofscience.com%2Fwos%2Fwoscc%2Ffull-record%2FWOS:000373124700002","View Full Record in Web of Science")</f>
        <v>View Full Record in Web of Science</v>
      </c>
    </row>
    <row r="768" spans="1:71" hidden="1" x14ac:dyDescent="0.2">
      <c r="A768" t="s">
        <v>70</v>
      </c>
      <c r="B768" t="s">
        <v>2814</v>
      </c>
      <c r="C768" t="s">
        <v>72</v>
      </c>
      <c r="D768" t="s">
        <v>72</v>
      </c>
      <c r="E768" t="s">
        <v>72</v>
      </c>
      <c r="F768" t="s">
        <v>2815</v>
      </c>
      <c r="G768" t="s">
        <v>72</v>
      </c>
      <c r="H768" t="s">
        <v>72</v>
      </c>
      <c r="I768" t="s">
        <v>2816</v>
      </c>
      <c r="J768" t="s">
        <v>2817</v>
      </c>
      <c r="K768" t="s">
        <v>72</v>
      </c>
      <c r="L768" t="s">
        <v>72</v>
      </c>
      <c r="M768" t="s">
        <v>2818</v>
      </c>
      <c r="N768" t="s">
        <v>2819</v>
      </c>
      <c r="O768" t="s">
        <v>72</v>
      </c>
      <c r="P768" t="s">
        <v>72</v>
      </c>
      <c r="Q768" t="s">
        <v>72</v>
      </c>
      <c r="R768" t="s">
        <v>72</v>
      </c>
      <c r="S768" t="s">
        <v>72</v>
      </c>
      <c r="T768" t="s">
        <v>72</v>
      </c>
      <c r="U768" t="s">
        <v>72</v>
      </c>
      <c r="V768" t="s">
        <v>72</v>
      </c>
      <c r="W768" t="s">
        <v>72</v>
      </c>
      <c r="X768" t="s">
        <v>72</v>
      </c>
      <c r="Y768" t="s">
        <v>72</v>
      </c>
      <c r="Z768" t="s">
        <v>72</v>
      </c>
      <c r="AA768" t="s">
        <v>72</v>
      </c>
      <c r="AB768" t="s">
        <v>72</v>
      </c>
      <c r="AC768" t="s">
        <v>72</v>
      </c>
      <c r="AD768" t="s">
        <v>72</v>
      </c>
      <c r="AE768" t="s">
        <v>72</v>
      </c>
      <c r="AF768" t="s">
        <v>72</v>
      </c>
      <c r="AG768">
        <v>0</v>
      </c>
      <c r="AH768">
        <v>1</v>
      </c>
      <c r="AI768">
        <v>1</v>
      </c>
      <c r="AJ768">
        <v>0</v>
      </c>
      <c r="AK768">
        <v>0</v>
      </c>
      <c r="AL768" t="s">
        <v>2820</v>
      </c>
      <c r="AM768" t="s">
        <v>2821</v>
      </c>
      <c r="AN768" t="s">
        <v>2822</v>
      </c>
      <c r="AO768" t="s">
        <v>2823</v>
      </c>
      <c r="AP768" t="s">
        <v>72</v>
      </c>
      <c r="AQ768" t="s">
        <v>72</v>
      </c>
      <c r="AR768" t="s">
        <v>2824</v>
      </c>
      <c r="AS768" t="s">
        <v>2825</v>
      </c>
      <c r="AT768" t="s">
        <v>72</v>
      </c>
      <c r="AU768">
        <v>2020</v>
      </c>
      <c r="AV768" t="s">
        <v>72</v>
      </c>
      <c r="AW768">
        <v>1</v>
      </c>
      <c r="AX768" t="s">
        <v>72</v>
      </c>
      <c r="AY768" t="s">
        <v>72</v>
      </c>
      <c r="AZ768" t="s">
        <v>72</v>
      </c>
      <c r="BA768" t="s">
        <v>72</v>
      </c>
      <c r="BB768">
        <v>228</v>
      </c>
      <c r="BC768">
        <v>230</v>
      </c>
      <c r="BD768" t="s">
        <v>72</v>
      </c>
      <c r="BE768" t="s">
        <v>2826</v>
      </c>
      <c r="BF768" t="str">
        <f>HYPERLINK("http://dx.doi.org/10.31860/0131-6095-2020-1-228-230","http://dx.doi.org/10.31860/0131-6095-2020-1-228-230")</f>
        <v>http://dx.doi.org/10.31860/0131-6095-2020-1-228-230</v>
      </c>
      <c r="BG768" t="s">
        <v>72</v>
      </c>
      <c r="BH768" t="s">
        <v>72</v>
      </c>
      <c r="BI768">
        <v>3</v>
      </c>
      <c r="BJ768" t="s">
        <v>2827</v>
      </c>
      <c r="BK768" t="s">
        <v>2828</v>
      </c>
      <c r="BL768" t="s">
        <v>2829</v>
      </c>
      <c r="BM768" t="s">
        <v>72</v>
      </c>
      <c r="BN768" t="s">
        <v>1497</v>
      </c>
      <c r="BO768" t="s">
        <v>72</v>
      </c>
      <c r="BP768" t="s">
        <v>72</v>
      </c>
      <c r="BQ768" t="s">
        <v>100</v>
      </c>
      <c r="BR768" t="s">
        <v>2830</v>
      </c>
      <c r="BS768" t="str">
        <f>HYPERLINK("https%3A%2F%2Fwww.webofscience.com%2Fwos%2Fwoscc%2Ffull-record%2FWOS:000551272200019","View Full Record in Web of Science")</f>
        <v>View Full Record in Web of Science</v>
      </c>
    </row>
    <row r="769" spans="1:71" hidden="1" x14ac:dyDescent="0.2">
      <c r="A769" t="s">
        <v>70</v>
      </c>
      <c r="B769" t="s">
        <v>2814</v>
      </c>
      <c r="C769" t="s">
        <v>72</v>
      </c>
      <c r="D769" t="s">
        <v>72</v>
      </c>
      <c r="E769" t="s">
        <v>72</v>
      </c>
      <c r="F769" t="s">
        <v>2872</v>
      </c>
      <c r="G769" t="s">
        <v>72</v>
      </c>
      <c r="H769" t="s">
        <v>72</v>
      </c>
      <c r="I769" t="s">
        <v>2873</v>
      </c>
      <c r="J769" t="s">
        <v>2817</v>
      </c>
      <c r="K769" t="s">
        <v>72</v>
      </c>
      <c r="L769" t="s">
        <v>72</v>
      </c>
      <c r="M769" t="s">
        <v>2818</v>
      </c>
      <c r="N769" t="s">
        <v>106</v>
      </c>
      <c r="O769" t="s">
        <v>72</v>
      </c>
      <c r="P769" t="s">
        <v>72</v>
      </c>
      <c r="Q769" t="s">
        <v>72</v>
      </c>
      <c r="R769" t="s">
        <v>72</v>
      </c>
      <c r="S769" t="s">
        <v>72</v>
      </c>
      <c r="T769" t="s">
        <v>72</v>
      </c>
      <c r="U769" t="s">
        <v>72</v>
      </c>
      <c r="V769" t="s">
        <v>72</v>
      </c>
      <c r="W769" t="s">
        <v>72</v>
      </c>
      <c r="X769" t="s">
        <v>72</v>
      </c>
      <c r="Y769" t="s">
        <v>72</v>
      </c>
      <c r="Z769" t="s">
        <v>72</v>
      </c>
      <c r="AA769" t="s">
        <v>72</v>
      </c>
      <c r="AB769" t="s">
        <v>72</v>
      </c>
      <c r="AC769" t="s">
        <v>72</v>
      </c>
      <c r="AD769" t="s">
        <v>72</v>
      </c>
      <c r="AE769" t="s">
        <v>72</v>
      </c>
      <c r="AF769" t="s">
        <v>72</v>
      </c>
      <c r="AG769">
        <v>0</v>
      </c>
      <c r="AH769">
        <v>0</v>
      </c>
      <c r="AI769">
        <v>0</v>
      </c>
      <c r="AJ769">
        <v>0</v>
      </c>
      <c r="AK769">
        <v>0</v>
      </c>
      <c r="AL769" t="s">
        <v>2820</v>
      </c>
      <c r="AM769" t="s">
        <v>2821</v>
      </c>
      <c r="AN769" t="s">
        <v>2822</v>
      </c>
      <c r="AO769" t="s">
        <v>2823</v>
      </c>
      <c r="AP769" t="s">
        <v>72</v>
      </c>
      <c r="AQ769" t="s">
        <v>72</v>
      </c>
      <c r="AR769" t="s">
        <v>2824</v>
      </c>
      <c r="AS769" t="s">
        <v>2825</v>
      </c>
      <c r="AT769" t="s">
        <v>72</v>
      </c>
      <c r="AU769">
        <v>2022</v>
      </c>
      <c r="AV769" t="s">
        <v>72</v>
      </c>
      <c r="AW769">
        <v>1</v>
      </c>
      <c r="AX769" t="s">
        <v>72</v>
      </c>
      <c r="AY769" t="s">
        <v>72</v>
      </c>
      <c r="AZ769" t="s">
        <v>72</v>
      </c>
      <c r="BA769" t="s">
        <v>72</v>
      </c>
      <c r="BB769">
        <v>297</v>
      </c>
      <c r="BC769">
        <v>299</v>
      </c>
      <c r="BD769" t="s">
        <v>72</v>
      </c>
      <c r="BE769" t="s">
        <v>2874</v>
      </c>
      <c r="BF769" t="str">
        <f>HYPERLINK("http://dx.doi.org/10.31860/0131-6095-2022-1-297-299","http://dx.doi.org/10.31860/0131-6095-2022-1-297-299")</f>
        <v>http://dx.doi.org/10.31860/0131-6095-2022-1-297-299</v>
      </c>
      <c r="BG769" t="s">
        <v>72</v>
      </c>
      <c r="BH769" t="s">
        <v>72</v>
      </c>
      <c r="BI769">
        <v>3</v>
      </c>
      <c r="BJ769" t="s">
        <v>2827</v>
      </c>
      <c r="BK769" t="s">
        <v>2828</v>
      </c>
      <c r="BL769" t="s">
        <v>2875</v>
      </c>
      <c r="BM769" t="s">
        <v>72</v>
      </c>
      <c r="BN769" t="s">
        <v>1497</v>
      </c>
      <c r="BO769" t="s">
        <v>72</v>
      </c>
      <c r="BP769" t="s">
        <v>72</v>
      </c>
      <c r="BQ769" t="s">
        <v>100</v>
      </c>
      <c r="BR769" t="s">
        <v>2876</v>
      </c>
      <c r="BS769" t="str">
        <f>HYPERLINK("https%3A%2F%2Fwww.webofscience.com%2Fwos%2Fwoscc%2Ffull-record%2FWOS:000763101100030","View Full Record in Web of Science")</f>
        <v>View Full Record in Web of Science</v>
      </c>
    </row>
    <row r="770" spans="1:71" hidden="1" x14ac:dyDescent="0.2">
      <c r="A770" t="s">
        <v>70</v>
      </c>
      <c r="B770" t="s">
        <v>8556</v>
      </c>
      <c r="C770" t="s">
        <v>72</v>
      </c>
      <c r="D770" t="s">
        <v>72</v>
      </c>
      <c r="E770" t="s">
        <v>72</v>
      </c>
      <c r="F770" t="s">
        <v>8556</v>
      </c>
      <c r="G770" t="s">
        <v>72</v>
      </c>
      <c r="H770" t="s">
        <v>72</v>
      </c>
      <c r="I770" t="s">
        <v>8557</v>
      </c>
      <c r="J770" t="s">
        <v>8558</v>
      </c>
      <c r="K770" t="s">
        <v>72</v>
      </c>
      <c r="L770" t="s">
        <v>72</v>
      </c>
      <c r="M770" t="s">
        <v>76</v>
      </c>
      <c r="N770" t="s">
        <v>77</v>
      </c>
      <c r="O770" t="s">
        <v>72</v>
      </c>
      <c r="P770" t="s">
        <v>72</v>
      </c>
      <c r="Q770" t="s">
        <v>72</v>
      </c>
      <c r="R770" t="s">
        <v>72</v>
      </c>
      <c r="S770" t="s">
        <v>72</v>
      </c>
      <c r="T770" t="s">
        <v>72</v>
      </c>
      <c r="U770" t="s">
        <v>72</v>
      </c>
      <c r="V770" t="s">
        <v>8559</v>
      </c>
      <c r="W770" t="s">
        <v>8560</v>
      </c>
      <c r="X770" t="s">
        <v>8561</v>
      </c>
      <c r="Y770" t="s">
        <v>8562</v>
      </c>
      <c r="Z770" t="s">
        <v>8563</v>
      </c>
      <c r="AA770" t="s">
        <v>72</v>
      </c>
      <c r="AB770" t="s">
        <v>72</v>
      </c>
      <c r="AC770" t="s">
        <v>72</v>
      </c>
      <c r="AD770" t="s">
        <v>72</v>
      </c>
      <c r="AE770" t="s">
        <v>72</v>
      </c>
      <c r="AF770" t="s">
        <v>72</v>
      </c>
      <c r="AG770">
        <v>3</v>
      </c>
      <c r="AH770">
        <v>7</v>
      </c>
      <c r="AI770">
        <v>7</v>
      </c>
      <c r="AJ770">
        <v>2</v>
      </c>
      <c r="AK770">
        <v>18</v>
      </c>
      <c r="AL770" t="s">
        <v>8564</v>
      </c>
      <c r="AM770" t="s">
        <v>8565</v>
      </c>
      <c r="AN770" t="s">
        <v>8566</v>
      </c>
      <c r="AO770" t="s">
        <v>8567</v>
      </c>
      <c r="AP770" t="s">
        <v>72</v>
      </c>
      <c r="AQ770" t="s">
        <v>72</v>
      </c>
      <c r="AR770" t="s">
        <v>8558</v>
      </c>
      <c r="AS770" t="s">
        <v>8568</v>
      </c>
      <c r="AT770" t="s">
        <v>4105</v>
      </c>
      <c r="AU770">
        <v>2002</v>
      </c>
      <c r="AV770">
        <v>36</v>
      </c>
      <c r="AW770">
        <v>4</v>
      </c>
      <c r="AX770" t="s">
        <v>72</v>
      </c>
      <c r="AY770" t="s">
        <v>72</v>
      </c>
      <c r="AZ770" t="s">
        <v>72</v>
      </c>
      <c r="BA770" t="s">
        <v>72</v>
      </c>
      <c r="BB770">
        <v>738</v>
      </c>
      <c r="BC770">
        <v>742</v>
      </c>
      <c r="BD770" t="s">
        <v>72</v>
      </c>
      <c r="BE770" t="s">
        <v>72</v>
      </c>
      <c r="BF770" t="s">
        <v>72</v>
      </c>
      <c r="BG770" t="s">
        <v>72</v>
      </c>
      <c r="BH770" t="s">
        <v>72</v>
      </c>
      <c r="BI770">
        <v>5</v>
      </c>
      <c r="BJ770" t="s">
        <v>8569</v>
      </c>
      <c r="BK770" t="s">
        <v>8570</v>
      </c>
      <c r="BL770" t="s">
        <v>8571</v>
      </c>
      <c r="BM770" t="s">
        <v>72</v>
      </c>
      <c r="BN770" t="s">
        <v>72</v>
      </c>
      <c r="BO770" t="s">
        <v>72</v>
      </c>
      <c r="BP770" t="s">
        <v>72</v>
      </c>
      <c r="BQ770" t="s">
        <v>100</v>
      </c>
      <c r="BR770" t="s">
        <v>8572</v>
      </c>
      <c r="BS770" t="str">
        <f>HYPERLINK("https%3A%2F%2Fwww.webofscience.com%2Fwos%2Fwoscc%2Ffull-record%2FWOS:000180971300009","View Full Record in Web of Science")</f>
        <v>View Full Record in Web of Science</v>
      </c>
    </row>
    <row r="771" spans="1:71" hidden="1" x14ac:dyDescent="0.2">
      <c r="A771" t="s">
        <v>70</v>
      </c>
      <c r="B771" t="s">
        <v>912</v>
      </c>
      <c r="C771" t="s">
        <v>72</v>
      </c>
      <c r="D771" t="s">
        <v>72</v>
      </c>
      <c r="E771" t="s">
        <v>72</v>
      </c>
      <c r="F771" t="s">
        <v>913</v>
      </c>
      <c r="G771" t="s">
        <v>72</v>
      </c>
      <c r="H771" t="s">
        <v>72</v>
      </c>
      <c r="I771" t="s">
        <v>914</v>
      </c>
      <c r="J771" t="s">
        <v>915</v>
      </c>
      <c r="K771" t="s">
        <v>72</v>
      </c>
      <c r="L771" t="s">
        <v>72</v>
      </c>
      <c r="M771" t="s">
        <v>76</v>
      </c>
      <c r="N771" t="s">
        <v>77</v>
      </c>
      <c r="O771" t="s">
        <v>72</v>
      </c>
      <c r="P771" t="s">
        <v>72</v>
      </c>
      <c r="Q771" t="s">
        <v>72</v>
      </c>
      <c r="R771" t="s">
        <v>72</v>
      </c>
      <c r="S771" t="s">
        <v>72</v>
      </c>
      <c r="T771" t="s">
        <v>916</v>
      </c>
      <c r="U771" t="s">
        <v>72</v>
      </c>
      <c r="V771" t="s">
        <v>917</v>
      </c>
      <c r="W771" t="s">
        <v>918</v>
      </c>
      <c r="X771" t="s">
        <v>919</v>
      </c>
      <c r="Y771" t="s">
        <v>920</v>
      </c>
      <c r="Z771" t="s">
        <v>921</v>
      </c>
      <c r="AA771" t="s">
        <v>922</v>
      </c>
      <c r="AB771" t="s">
        <v>923</v>
      </c>
      <c r="AC771" t="s">
        <v>72</v>
      </c>
      <c r="AD771" t="s">
        <v>72</v>
      </c>
      <c r="AE771" t="s">
        <v>72</v>
      </c>
      <c r="AF771" t="s">
        <v>72</v>
      </c>
      <c r="AG771">
        <v>62</v>
      </c>
      <c r="AH771">
        <v>71</v>
      </c>
      <c r="AI771">
        <v>71</v>
      </c>
      <c r="AJ771">
        <v>0</v>
      </c>
      <c r="AK771">
        <v>37</v>
      </c>
      <c r="AL771" t="s">
        <v>924</v>
      </c>
      <c r="AM771" t="s">
        <v>168</v>
      </c>
      <c r="AN771" t="s">
        <v>925</v>
      </c>
      <c r="AO771" t="s">
        <v>926</v>
      </c>
      <c r="AP771" t="s">
        <v>927</v>
      </c>
      <c r="AQ771" t="s">
        <v>72</v>
      </c>
      <c r="AR771" t="s">
        <v>915</v>
      </c>
      <c r="AS771" t="s">
        <v>928</v>
      </c>
      <c r="AT771" t="s">
        <v>929</v>
      </c>
      <c r="AU771">
        <v>2013</v>
      </c>
      <c r="AV771">
        <v>41</v>
      </c>
      <c r="AW771">
        <v>6</v>
      </c>
      <c r="AX771" t="s">
        <v>72</v>
      </c>
      <c r="AY771" t="s">
        <v>72</v>
      </c>
      <c r="AZ771" t="s">
        <v>478</v>
      </c>
      <c r="BA771" t="s">
        <v>72</v>
      </c>
      <c r="BB771">
        <v>670</v>
      </c>
      <c r="BC771">
        <v>700</v>
      </c>
      <c r="BD771" t="s">
        <v>72</v>
      </c>
      <c r="BE771" t="s">
        <v>930</v>
      </c>
      <c r="BF771" t="str">
        <f>HYPERLINK("http://dx.doi.org/10.1016/j.poetic.2013.08.003","http://dx.doi.org/10.1016/j.poetic.2013.08.003")</f>
        <v>http://dx.doi.org/10.1016/j.poetic.2013.08.003</v>
      </c>
      <c r="BG771" t="s">
        <v>72</v>
      </c>
      <c r="BH771" t="s">
        <v>72</v>
      </c>
      <c r="BI771">
        <v>31</v>
      </c>
      <c r="BJ771" t="s">
        <v>931</v>
      </c>
      <c r="BK771" t="s">
        <v>931</v>
      </c>
      <c r="BL771" t="s">
        <v>932</v>
      </c>
      <c r="BM771" t="s">
        <v>72</v>
      </c>
      <c r="BN771" t="s">
        <v>72</v>
      </c>
      <c r="BO771" t="s">
        <v>72</v>
      </c>
      <c r="BP771" t="s">
        <v>72</v>
      </c>
      <c r="BQ771" t="s">
        <v>100</v>
      </c>
      <c r="BR771" t="s">
        <v>933</v>
      </c>
      <c r="BS771" t="str">
        <f>HYPERLINK("https%3A%2F%2Fwww.webofscience.com%2Fwos%2Fwoscc%2Ffull-record%2FWOS:000329558200006","View Full Record in Web of Science")</f>
        <v>View Full Record in Web of Science</v>
      </c>
    </row>
    <row r="772" spans="1:71" hidden="1" x14ac:dyDescent="0.2">
      <c r="A772" t="s">
        <v>70</v>
      </c>
      <c r="B772" t="s">
        <v>1835</v>
      </c>
      <c r="C772" t="s">
        <v>72</v>
      </c>
      <c r="D772" t="s">
        <v>72</v>
      </c>
      <c r="E772" t="s">
        <v>72</v>
      </c>
      <c r="F772" t="s">
        <v>1836</v>
      </c>
      <c r="G772" t="s">
        <v>72</v>
      </c>
      <c r="H772" t="s">
        <v>72</v>
      </c>
      <c r="I772" t="s">
        <v>1837</v>
      </c>
      <c r="J772" t="s">
        <v>915</v>
      </c>
      <c r="K772" t="s">
        <v>72</v>
      </c>
      <c r="L772" t="s">
        <v>72</v>
      </c>
      <c r="M772" t="s">
        <v>76</v>
      </c>
      <c r="N772" t="s">
        <v>77</v>
      </c>
      <c r="O772" t="s">
        <v>72</v>
      </c>
      <c r="P772" t="s">
        <v>72</v>
      </c>
      <c r="Q772" t="s">
        <v>72</v>
      </c>
      <c r="R772" t="s">
        <v>72</v>
      </c>
      <c r="S772" t="s">
        <v>72</v>
      </c>
      <c r="T772" t="s">
        <v>1838</v>
      </c>
      <c r="U772" t="s">
        <v>1839</v>
      </c>
      <c r="V772" t="s">
        <v>1840</v>
      </c>
      <c r="W772" t="s">
        <v>1841</v>
      </c>
      <c r="X772" t="s">
        <v>1842</v>
      </c>
      <c r="Y772" t="s">
        <v>1843</v>
      </c>
      <c r="Z772" t="s">
        <v>1844</v>
      </c>
      <c r="AA772" t="s">
        <v>1845</v>
      </c>
      <c r="AB772" t="s">
        <v>1846</v>
      </c>
      <c r="AC772" t="s">
        <v>1847</v>
      </c>
      <c r="AD772" t="s">
        <v>1848</v>
      </c>
      <c r="AE772" t="s">
        <v>1849</v>
      </c>
      <c r="AF772" t="s">
        <v>72</v>
      </c>
      <c r="AG772">
        <v>71</v>
      </c>
      <c r="AH772">
        <v>14</v>
      </c>
      <c r="AI772">
        <v>14</v>
      </c>
      <c r="AJ772">
        <v>4</v>
      </c>
      <c r="AK772">
        <v>10</v>
      </c>
      <c r="AL772" t="s">
        <v>924</v>
      </c>
      <c r="AM772" t="s">
        <v>168</v>
      </c>
      <c r="AN772" t="s">
        <v>1850</v>
      </c>
      <c r="AO772" t="s">
        <v>926</v>
      </c>
      <c r="AP772" t="s">
        <v>927</v>
      </c>
      <c r="AQ772" t="s">
        <v>72</v>
      </c>
      <c r="AR772" t="s">
        <v>915</v>
      </c>
      <c r="AS772" t="s">
        <v>928</v>
      </c>
      <c r="AT772" t="s">
        <v>1602</v>
      </c>
      <c r="AU772">
        <v>2020</v>
      </c>
      <c r="AV772">
        <v>78</v>
      </c>
      <c r="AW772" t="s">
        <v>72</v>
      </c>
      <c r="AX772" t="s">
        <v>72</v>
      </c>
      <c r="AY772" t="s">
        <v>72</v>
      </c>
      <c r="AZ772" t="s">
        <v>72</v>
      </c>
      <c r="BA772" t="s">
        <v>72</v>
      </c>
      <c r="BB772" t="s">
        <v>72</v>
      </c>
      <c r="BC772" t="s">
        <v>72</v>
      </c>
      <c r="BD772">
        <v>101363</v>
      </c>
      <c r="BE772" t="s">
        <v>1851</v>
      </c>
      <c r="BF772" t="str">
        <f>HYPERLINK("http://dx.doi.org/10.1016/j.poetic.2019.04.004","http://dx.doi.org/10.1016/j.poetic.2019.04.004")</f>
        <v>http://dx.doi.org/10.1016/j.poetic.2019.04.004</v>
      </c>
      <c r="BG772" t="s">
        <v>72</v>
      </c>
      <c r="BH772" t="s">
        <v>72</v>
      </c>
      <c r="BI772">
        <v>17</v>
      </c>
      <c r="BJ772" t="s">
        <v>931</v>
      </c>
      <c r="BK772" t="s">
        <v>931</v>
      </c>
      <c r="BL772" t="s">
        <v>1852</v>
      </c>
      <c r="BM772" t="s">
        <v>72</v>
      </c>
      <c r="BN772" t="s">
        <v>72</v>
      </c>
      <c r="BO772" t="s">
        <v>72</v>
      </c>
      <c r="BP772" t="s">
        <v>72</v>
      </c>
      <c r="BQ772" t="s">
        <v>100</v>
      </c>
      <c r="BR772" t="s">
        <v>1853</v>
      </c>
      <c r="BS772" t="str">
        <f>HYPERLINK("https%3A%2F%2Fwww.webofscience.com%2Fwos%2Fwoscc%2Ffull-record%2FWOS:000540811400001","View Full Record in Web of Science")</f>
        <v>View Full Record in Web of Science</v>
      </c>
    </row>
    <row r="773" spans="1:71" hidden="1" x14ac:dyDescent="0.2">
      <c r="A773" t="s">
        <v>70</v>
      </c>
      <c r="B773" t="s">
        <v>12294</v>
      </c>
      <c r="C773" t="s">
        <v>72</v>
      </c>
      <c r="D773" t="s">
        <v>72</v>
      </c>
      <c r="E773" t="s">
        <v>72</v>
      </c>
      <c r="F773" t="s">
        <v>12295</v>
      </c>
      <c r="G773" t="s">
        <v>72</v>
      </c>
      <c r="H773" t="s">
        <v>72</v>
      </c>
      <c r="I773" t="s">
        <v>12296</v>
      </c>
      <c r="J773" t="s">
        <v>915</v>
      </c>
      <c r="K773" t="s">
        <v>72</v>
      </c>
      <c r="L773" t="s">
        <v>72</v>
      </c>
      <c r="M773" t="s">
        <v>76</v>
      </c>
      <c r="N773" t="s">
        <v>77</v>
      </c>
      <c r="O773" t="s">
        <v>72</v>
      </c>
      <c r="P773" t="s">
        <v>72</v>
      </c>
      <c r="Q773" t="s">
        <v>72</v>
      </c>
      <c r="R773" t="s">
        <v>72</v>
      </c>
      <c r="S773" t="s">
        <v>72</v>
      </c>
      <c r="T773" t="s">
        <v>12297</v>
      </c>
      <c r="U773" t="s">
        <v>12298</v>
      </c>
      <c r="V773" t="s">
        <v>12299</v>
      </c>
      <c r="W773" t="s">
        <v>12300</v>
      </c>
      <c r="X773" t="s">
        <v>12301</v>
      </c>
      <c r="Y773" t="s">
        <v>12302</v>
      </c>
      <c r="Z773" t="s">
        <v>12303</v>
      </c>
      <c r="AA773" t="s">
        <v>72</v>
      </c>
      <c r="AB773" t="s">
        <v>72</v>
      </c>
      <c r="AC773" t="s">
        <v>12304</v>
      </c>
      <c r="AD773" t="s">
        <v>10707</v>
      </c>
      <c r="AE773" t="s">
        <v>12305</v>
      </c>
      <c r="AF773" t="s">
        <v>72</v>
      </c>
      <c r="AG773">
        <v>81</v>
      </c>
      <c r="AH773">
        <v>3</v>
      </c>
      <c r="AI773">
        <v>3</v>
      </c>
      <c r="AJ773">
        <v>0</v>
      </c>
      <c r="AK773">
        <v>4</v>
      </c>
      <c r="AL773" t="s">
        <v>924</v>
      </c>
      <c r="AM773" t="s">
        <v>168</v>
      </c>
      <c r="AN773" t="s">
        <v>925</v>
      </c>
      <c r="AO773" t="s">
        <v>926</v>
      </c>
      <c r="AP773" t="s">
        <v>927</v>
      </c>
      <c r="AQ773" t="s">
        <v>72</v>
      </c>
      <c r="AR773" t="s">
        <v>915</v>
      </c>
      <c r="AS773" t="s">
        <v>928</v>
      </c>
      <c r="AT773" t="s">
        <v>395</v>
      </c>
      <c r="AU773">
        <v>2019</v>
      </c>
      <c r="AV773">
        <v>76</v>
      </c>
      <c r="AW773" t="s">
        <v>72</v>
      </c>
      <c r="AX773" t="s">
        <v>72</v>
      </c>
      <c r="AY773" t="s">
        <v>72</v>
      </c>
      <c r="AZ773" t="s">
        <v>72</v>
      </c>
      <c r="BA773" t="s">
        <v>72</v>
      </c>
      <c r="BB773" t="s">
        <v>72</v>
      </c>
      <c r="BC773" t="s">
        <v>72</v>
      </c>
      <c r="BD773">
        <v>101356</v>
      </c>
      <c r="BE773" t="s">
        <v>12306</v>
      </c>
      <c r="BF773" t="str">
        <f>HYPERLINK("http://dx.doi.org/10.1016/j.poetic.2019.03.001","http://dx.doi.org/10.1016/j.poetic.2019.03.001")</f>
        <v>http://dx.doi.org/10.1016/j.poetic.2019.03.001</v>
      </c>
      <c r="BG773" t="s">
        <v>72</v>
      </c>
      <c r="BH773" t="s">
        <v>72</v>
      </c>
      <c r="BI773">
        <v>13</v>
      </c>
      <c r="BJ773" t="s">
        <v>931</v>
      </c>
      <c r="BK773" t="s">
        <v>931</v>
      </c>
      <c r="BL773" t="s">
        <v>12307</v>
      </c>
      <c r="BM773" t="s">
        <v>72</v>
      </c>
      <c r="BN773" t="s">
        <v>72</v>
      </c>
      <c r="BO773" t="s">
        <v>72</v>
      </c>
      <c r="BP773" t="s">
        <v>72</v>
      </c>
      <c r="BQ773" t="s">
        <v>100</v>
      </c>
      <c r="BR773" t="s">
        <v>12308</v>
      </c>
      <c r="BS773" t="str">
        <f>HYPERLINK("https%3A%2F%2Fwww.webofscience.com%2Fwos%2Fwoscc%2Ffull-record%2FWOS:000498754200007","View Full Record in Web of Science")</f>
        <v>View Full Record in Web of Science</v>
      </c>
    </row>
    <row r="774" spans="1:71" hidden="1" x14ac:dyDescent="0.2">
      <c r="A774" t="s">
        <v>70</v>
      </c>
      <c r="B774" t="s">
        <v>17487</v>
      </c>
      <c r="C774" t="s">
        <v>72</v>
      </c>
      <c r="D774" t="s">
        <v>72</v>
      </c>
      <c r="E774" t="s">
        <v>72</v>
      </c>
      <c r="F774" t="s">
        <v>17488</v>
      </c>
      <c r="G774" t="s">
        <v>72</v>
      </c>
      <c r="H774" t="s">
        <v>72</v>
      </c>
      <c r="I774" t="s">
        <v>17489</v>
      </c>
      <c r="J774" t="s">
        <v>17490</v>
      </c>
      <c r="K774" t="s">
        <v>72</v>
      </c>
      <c r="L774" t="s">
        <v>72</v>
      </c>
      <c r="M774" t="s">
        <v>76</v>
      </c>
      <c r="N774" t="s">
        <v>77</v>
      </c>
      <c r="O774" t="s">
        <v>72</v>
      </c>
      <c r="P774" t="s">
        <v>72</v>
      </c>
      <c r="Q774" t="s">
        <v>72</v>
      </c>
      <c r="R774" t="s">
        <v>72</v>
      </c>
      <c r="S774" t="s">
        <v>72</v>
      </c>
      <c r="T774" t="s">
        <v>72</v>
      </c>
      <c r="U774" t="s">
        <v>17491</v>
      </c>
      <c r="V774" t="s">
        <v>17492</v>
      </c>
      <c r="W774" t="s">
        <v>17493</v>
      </c>
      <c r="X774" t="s">
        <v>17494</v>
      </c>
      <c r="Y774" t="s">
        <v>17495</v>
      </c>
      <c r="Z774" t="s">
        <v>17496</v>
      </c>
      <c r="AA774" t="s">
        <v>17497</v>
      </c>
      <c r="AB774" t="s">
        <v>17498</v>
      </c>
      <c r="AC774" t="s">
        <v>17499</v>
      </c>
      <c r="AD774" t="s">
        <v>17500</v>
      </c>
      <c r="AE774" t="s">
        <v>17501</v>
      </c>
      <c r="AF774" t="s">
        <v>72</v>
      </c>
      <c r="AG774">
        <v>57</v>
      </c>
      <c r="AH774">
        <v>5</v>
      </c>
      <c r="AI774">
        <v>5</v>
      </c>
      <c r="AJ774">
        <v>0</v>
      </c>
      <c r="AK774">
        <v>14</v>
      </c>
      <c r="AL774" t="s">
        <v>1965</v>
      </c>
      <c r="AM774" t="s">
        <v>337</v>
      </c>
      <c r="AN774" t="s">
        <v>1966</v>
      </c>
      <c r="AO774" t="s">
        <v>17502</v>
      </c>
      <c r="AP774" t="s">
        <v>72</v>
      </c>
      <c r="AQ774" t="s">
        <v>72</v>
      </c>
      <c r="AR774" t="s">
        <v>17503</v>
      </c>
      <c r="AS774" t="s">
        <v>17504</v>
      </c>
      <c r="AT774" t="s">
        <v>17505</v>
      </c>
      <c r="AU774">
        <v>2012</v>
      </c>
      <c r="AV774">
        <v>5</v>
      </c>
      <c r="AW774" t="s">
        <v>72</v>
      </c>
      <c r="AX774" t="s">
        <v>72</v>
      </c>
      <c r="AY774" t="s">
        <v>72</v>
      </c>
      <c r="AZ774" t="s">
        <v>72</v>
      </c>
      <c r="BA774" t="s">
        <v>72</v>
      </c>
      <c r="BB774" t="s">
        <v>72</v>
      </c>
      <c r="BC774" t="s">
        <v>72</v>
      </c>
      <c r="BD774">
        <v>12</v>
      </c>
      <c r="BE774" t="s">
        <v>17506</v>
      </c>
      <c r="BF774" t="str">
        <f>HYPERLINK("http://dx.doi.org/10.1186/1756-0381-5-12","http://dx.doi.org/10.1186/1756-0381-5-12")</f>
        <v>http://dx.doi.org/10.1186/1756-0381-5-12</v>
      </c>
      <c r="BG774" t="s">
        <v>72</v>
      </c>
      <c r="BH774" t="s">
        <v>72</v>
      </c>
      <c r="BI774">
        <v>21</v>
      </c>
      <c r="BJ774" s="8" t="s">
        <v>17618</v>
      </c>
      <c r="BK774" t="s">
        <v>17507</v>
      </c>
      <c r="BL774" t="s">
        <v>17508</v>
      </c>
      <c r="BM774">
        <v>22931563</v>
      </c>
      <c r="BN774" t="s">
        <v>16962</v>
      </c>
      <c r="BO774" t="s">
        <v>72</v>
      </c>
      <c r="BP774" t="s">
        <v>72</v>
      </c>
      <c r="BQ774" t="s">
        <v>100</v>
      </c>
      <c r="BR774" t="s">
        <v>17509</v>
      </c>
      <c r="BS774" t="str">
        <f>HYPERLINK("https%3A%2F%2Fwww.webofscience.com%2Fwos%2Fwoscc%2Ffull-record%2FWOS:000323782800001","View Full Record in Web of Science")</f>
        <v>View Full Record in Web of Science</v>
      </c>
    </row>
    <row r="775" spans="1:71" hidden="1" x14ac:dyDescent="0.2">
      <c r="A775" t="s">
        <v>70</v>
      </c>
      <c r="B775" t="s">
        <v>1795</v>
      </c>
      <c r="C775" t="s">
        <v>72</v>
      </c>
      <c r="D775" t="s">
        <v>72</v>
      </c>
      <c r="E775" t="s">
        <v>72</v>
      </c>
      <c r="F775" t="s">
        <v>1796</v>
      </c>
      <c r="G775" t="s">
        <v>72</v>
      </c>
      <c r="H775" t="s">
        <v>72</v>
      </c>
      <c r="I775" t="s">
        <v>1797</v>
      </c>
      <c r="J775" t="s">
        <v>1798</v>
      </c>
      <c r="K775" t="s">
        <v>72</v>
      </c>
      <c r="L775" t="s">
        <v>72</v>
      </c>
      <c r="M775" t="s">
        <v>76</v>
      </c>
      <c r="N775" t="s">
        <v>77</v>
      </c>
      <c r="O775" t="s">
        <v>72</v>
      </c>
      <c r="P775" t="s">
        <v>72</v>
      </c>
      <c r="Q775" t="s">
        <v>72</v>
      </c>
      <c r="R775" t="s">
        <v>72</v>
      </c>
      <c r="S775" t="s">
        <v>72</v>
      </c>
      <c r="T775" t="s">
        <v>72</v>
      </c>
      <c r="U775" t="s">
        <v>72</v>
      </c>
      <c r="V775" t="s">
        <v>1799</v>
      </c>
      <c r="W775" t="s">
        <v>1800</v>
      </c>
      <c r="X775" t="s">
        <v>1801</v>
      </c>
      <c r="Y775" t="s">
        <v>1802</v>
      </c>
      <c r="Z775" t="s">
        <v>1803</v>
      </c>
      <c r="AA775" t="s">
        <v>72</v>
      </c>
      <c r="AB775" t="s">
        <v>72</v>
      </c>
      <c r="AC775" t="s">
        <v>1804</v>
      </c>
      <c r="AD775" t="s">
        <v>1805</v>
      </c>
      <c r="AE775" t="s">
        <v>1806</v>
      </c>
      <c r="AF775" t="s">
        <v>72</v>
      </c>
      <c r="AG775">
        <v>19</v>
      </c>
      <c r="AH775">
        <v>7</v>
      </c>
      <c r="AI775">
        <v>8</v>
      </c>
      <c r="AJ775">
        <v>1</v>
      </c>
      <c r="AK775">
        <v>10</v>
      </c>
      <c r="AL775" t="s">
        <v>1807</v>
      </c>
      <c r="AM775" t="s">
        <v>337</v>
      </c>
      <c r="AN775" t="s">
        <v>1808</v>
      </c>
      <c r="AO775" t="s">
        <v>1809</v>
      </c>
      <c r="AP775" t="s">
        <v>1810</v>
      </c>
      <c r="AQ775" t="s">
        <v>72</v>
      </c>
      <c r="AR775" t="s">
        <v>1811</v>
      </c>
      <c r="AS775" t="s">
        <v>1812</v>
      </c>
      <c r="AT775" t="s">
        <v>72</v>
      </c>
      <c r="AU775">
        <v>2018</v>
      </c>
      <c r="AV775">
        <v>2018</v>
      </c>
      <c r="AW775" t="s">
        <v>72</v>
      </c>
      <c r="AX775" t="s">
        <v>72</v>
      </c>
      <c r="AY775" t="s">
        <v>72</v>
      </c>
      <c r="AZ775" t="s">
        <v>72</v>
      </c>
      <c r="BA775" t="s">
        <v>72</v>
      </c>
      <c r="BB775" t="s">
        <v>72</v>
      </c>
      <c r="BC775" t="s">
        <v>72</v>
      </c>
      <c r="BD775">
        <v>9293437</v>
      </c>
      <c r="BE775" t="s">
        <v>1813</v>
      </c>
      <c r="BF775" t="str">
        <f>HYPERLINK("http://dx.doi.org/10.1155/2018/9293437","http://dx.doi.org/10.1155/2018/9293437")</f>
        <v>http://dx.doi.org/10.1155/2018/9293437</v>
      </c>
      <c r="BG775" t="s">
        <v>72</v>
      </c>
      <c r="BH775" t="s">
        <v>72</v>
      </c>
      <c r="BI775">
        <v>12</v>
      </c>
      <c r="BJ775" s="8" t="s">
        <v>17618</v>
      </c>
      <c r="BK775" t="s">
        <v>1814</v>
      </c>
      <c r="BL775" t="s">
        <v>1815</v>
      </c>
      <c r="BM775">
        <v>29606960</v>
      </c>
      <c r="BN775" t="s">
        <v>1816</v>
      </c>
      <c r="BO775" t="s">
        <v>72</v>
      </c>
      <c r="BP775" t="s">
        <v>72</v>
      </c>
      <c r="BQ775" t="s">
        <v>100</v>
      </c>
      <c r="BR775" t="s">
        <v>1817</v>
      </c>
      <c r="BS775" t="str">
        <f>HYPERLINK("https%3A%2F%2Fwww.webofscience.com%2Fwos%2Fwoscc%2Ffull-record%2FWOS:000424438700001","View Full Record in Web of Science")</f>
        <v>View Full Record in Web of Science</v>
      </c>
    </row>
    <row r="776" spans="1:71" hidden="1" x14ac:dyDescent="0.2">
      <c r="A776" t="s">
        <v>70</v>
      </c>
      <c r="B776" t="s">
        <v>15936</v>
      </c>
      <c r="C776" t="s">
        <v>72</v>
      </c>
      <c r="D776" t="s">
        <v>72</v>
      </c>
      <c r="E776" t="s">
        <v>72</v>
      </c>
      <c r="F776" t="s">
        <v>15937</v>
      </c>
      <c r="G776" t="s">
        <v>72</v>
      </c>
      <c r="H776" t="s">
        <v>72</v>
      </c>
      <c r="I776" t="s">
        <v>15938</v>
      </c>
      <c r="J776" t="s">
        <v>15939</v>
      </c>
      <c r="K776" t="s">
        <v>72</v>
      </c>
      <c r="L776" t="s">
        <v>72</v>
      </c>
      <c r="M776" t="s">
        <v>76</v>
      </c>
      <c r="N776" t="s">
        <v>77</v>
      </c>
      <c r="O776" t="s">
        <v>72</v>
      </c>
      <c r="P776" t="s">
        <v>72</v>
      </c>
      <c r="Q776" t="s">
        <v>72</v>
      </c>
      <c r="R776" t="s">
        <v>72</v>
      </c>
      <c r="S776" t="s">
        <v>72</v>
      </c>
      <c r="T776" t="s">
        <v>15940</v>
      </c>
      <c r="U776" t="s">
        <v>15941</v>
      </c>
      <c r="V776" t="s">
        <v>15942</v>
      </c>
      <c r="W776" t="s">
        <v>15943</v>
      </c>
      <c r="X776" t="s">
        <v>15944</v>
      </c>
      <c r="Y776" t="s">
        <v>15945</v>
      </c>
      <c r="Z776" t="s">
        <v>15946</v>
      </c>
      <c r="AA776" t="s">
        <v>15947</v>
      </c>
      <c r="AB776" t="s">
        <v>15948</v>
      </c>
      <c r="AC776" t="s">
        <v>15949</v>
      </c>
      <c r="AD776" t="s">
        <v>15950</v>
      </c>
      <c r="AE776" t="s">
        <v>15951</v>
      </c>
      <c r="AF776" t="s">
        <v>72</v>
      </c>
      <c r="AG776">
        <v>49</v>
      </c>
      <c r="AH776">
        <v>20</v>
      </c>
      <c r="AI776">
        <v>20</v>
      </c>
      <c r="AJ776">
        <v>0</v>
      </c>
      <c r="AK776">
        <v>7</v>
      </c>
      <c r="AL776" t="s">
        <v>1260</v>
      </c>
      <c r="AM776" t="s">
        <v>964</v>
      </c>
      <c r="AN776" t="s">
        <v>965</v>
      </c>
      <c r="AO776" t="s">
        <v>15952</v>
      </c>
      <c r="AP776" t="s">
        <v>15953</v>
      </c>
      <c r="AQ776" t="s">
        <v>72</v>
      </c>
      <c r="AR776" t="s">
        <v>15954</v>
      </c>
      <c r="AS776" t="s">
        <v>15955</v>
      </c>
      <c r="AT776" t="s">
        <v>95</v>
      </c>
      <c r="AU776">
        <v>2019</v>
      </c>
      <c r="AV776">
        <v>10</v>
      </c>
      <c r="AW776">
        <v>3</v>
      </c>
      <c r="AX776" t="s">
        <v>72</v>
      </c>
      <c r="AY776" t="s">
        <v>72</v>
      </c>
      <c r="AZ776" t="s">
        <v>72</v>
      </c>
      <c r="BA776" t="s">
        <v>72</v>
      </c>
      <c r="BB776">
        <v>452</v>
      </c>
      <c r="BC776">
        <v>464</v>
      </c>
      <c r="BD776" t="s">
        <v>72</v>
      </c>
      <c r="BE776" t="s">
        <v>15956</v>
      </c>
      <c r="BF776" t="str">
        <f>HYPERLINK("http://dx.doi.org/10.1002/jrsm.1361","http://dx.doi.org/10.1002/jrsm.1361")</f>
        <v>http://dx.doi.org/10.1002/jrsm.1361</v>
      </c>
      <c r="BG776" t="s">
        <v>72</v>
      </c>
      <c r="BH776" t="s">
        <v>10647</v>
      </c>
      <c r="BI776">
        <v>13</v>
      </c>
      <c r="BJ776" s="8" t="s">
        <v>17618</v>
      </c>
      <c r="BK776" t="s">
        <v>15957</v>
      </c>
      <c r="BL776" t="s">
        <v>15958</v>
      </c>
      <c r="BM776">
        <v>31125493</v>
      </c>
      <c r="BN776" t="s">
        <v>13080</v>
      </c>
      <c r="BO776" t="s">
        <v>72</v>
      </c>
      <c r="BP776" t="s">
        <v>72</v>
      </c>
      <c r="BQ776" t="s">
        <v>100</v>
      </c>
      <c r="BR776" t="s">
        <v>15959</v>
      </c>
      <c r="BS776" t="str">
        <f>HYPERLINK("https%3A%2F%2Fwww.webofscience.com%2Fwos%2Fwoscc%2Ffull-record%2FWOS:000479657000001","View Full Record in Web of Science")</f>
        <v>View Full Record in Web of Science</v>
      </c>
    </row>
    <row r="777" spans="1:71" x14ac:dyDescent="0.2">
      <c r="A777" t="s">
        <v>70</v>
      </c>
      <c r="B777" t="s">
        <v>6326</v>
      </c>
      <c r="C777" t="s">
        <v>72</v>
      </c>
      <c r="D777" t="s">
        <v>72</v>
      </c>
      <c r="E777" t="s">
        <v>72</v>
      </c>
      <c r="F777" t="s">
        <v>6327</v>
      </c>
      <c r="G777" t="s">
        <v>72</v>
      </c>
      <c r="H777" t="s">
        <v>72</v>
      </c>
      <c r="I777" t="s">
        <v>6328</v>
      </c>
      <c r="J777" t="s">
        <v>6329</v>
      </c>
      <c r="K777" t="s">
        <v>72</v>
      </c>
      <c r="L777" t="s">
        <v>72</v>
      </c>
      <c r="M777" t="s">
        <v>76</v>
      </c>
      <c r="N777" t="s">
        <v>77</v>
      </c>
      <c r="O777" t="s">
        <v>72</v>
      </c>
      <c r="P777" t="s">
        <v>72</v>
      </c>
      <c r="Q777" t="s">
        <v>72</v>
      </c>
      <c r="R777" t="s">
        <v>72</v>
      </c>
      <c r="S777" t="s">
        <v>72</v>
      </c>
      <c r="T777" t="s">
        <v>6330</v>
      </c>
      <c r="U777" t="s">
        <v>6331</v>
      </c>
      <c r="V777" t="s">
        <v>6332</v>
      </c>
      <c r="W777" t="s">
        <v>6333</v>
      </c>
      <c r="X777" t="s">
        <v>6334</v>
      </c>
      <c r="Y777" t="s">
        <v>6335</v>
      </c>
      <c r="Z777" t="s">
        <v>6336</v>
      </c>
      <c r="AA777" t="s">
        <v>72</v>
      </c>
      <c r="AB777" t="s">
        <v>6337</v>
      </c>
      <c r="AC777" t="s">
        <v>72</v>
      </c>
      <c r="AD777" t="s">
        <v>72</v>
      </c>
      <c r="AE777" t="s">
        <v>72</v>
      </c>
      <c r="AF777" t="s">
        <v>72</v>
      </c>
      <c r="AG777">
        <v>39</v>
      </c>
      <c r="AH777">
        <v>0</v>
      </c>
      <c r="AI777">
        <v>0</v>
      </c>
      <c r="AJ777">
        <v>1</v>
      </c>
      <c r="AK777">
        <v>1</v>
      </c>
      <c r="AL777" t="s">
        <v>6338</v>
      </c>
      <c r="AM777" t="s">
        <v>337</v>
      </c>
      <c r="AN777" t="s">
        <v>6339</v>
      </c>
      <c r="AO777" t="s">
        <v>6340</v>
      </c>
      <c r="AP777" t="s">
        <v>6341</v>
      </c>
      <c r="AQ777" t="s">
        <v>72</v>
      </c>
      <c r="AR777" t="s">
        <v>6342</v>
      </c>
      <c r="AS777" t="s">
        <v>6343</v>
      </c>
      <c r="AT777" t="s">
        <v>776</v>
      </c>
      <c r="AU777">
        <v>2019</v>
      </c>
      <c r="AV777">
        <v>2</v>
      </c>
      <c r="AW777">
        <v>2</v>
      </c>
      <c r="AX777" t="s">
        <v>72</v>
      </c>
      <c r="AY777" t="s">
        <v>72</v>
      </c>
      <c r="AZ777" t="s">
        <v>72</v>
      </c>
      <c r="BA777" t="s">
        <v>72</v>
      </c>
      <c r="BB777">
        <v>151</v>
      </c>
      <c r="BC777">
        <v>181</v>
      </c>
      <c r="BD777" t="s">
        <v>72</v>
      </c>
      <c r="BE777" t="s">
        <v>6344</v>
      </c>
      <c r="BF777" t="str">
        <f>HYPERLINK("http://dx.doi.org/10.1007/s42001-019-00038-8","http://dx.doi.org/10.1007/s42001-019-00038-8")</f>
        <v>http://dx.doi.org/10.1007/s42001-019-00038-8</v>
      </c>
      <c r="BG777" t="s">
        <v>72</v>
      </c>
      <c r="BH777" t="s">
        <v>72</v>
      </c>
      <c r="BI777">
        <v>31</v>
      </c>
      <c r="BJ777" t="s">
        <v>6345</v>
      </c>
      <c r="BK777" t="s">
        <v>6346</v>
      </c>
      <c r="BL777" t="s">
        <v>6347</v>
      </c>
      <c r="BM777" t="s">
        <v>72</v>
      </c>
      <c r="BN777" t="s">
        <v>72</v>
      </c>
      <c r="BO777" t="s">
        <v>72</v>
      </c>
      <c r="BP777" t="s">
        <v>72</v>
      </c>
      <c r="BQ777" t="s">
        <v>100</v>
      </c>
      <c r="BR777" t="s">
        <v>6348</v>
      </c>
      <c r="BS777" t="str">
        <f>HYPERLINK("https%3A%2F%2Fwww.webofscience.com%2Fwos%2Fwoscc%2Ffull-record%2FWOS:000704309200004","View Full Record in Web of Science")</f>
        <v>View Full Record in Web of Science</v>
      </c>
    </row>
    <row r="778" spans="1:71" x14ac:dyDescent="0.2">
      <c r="A778" t="s">
        <v>70</v>
      </c>
      <c r="B778" t="s">
        <v>12678</v>
      </c>
      <c r="C778" t="s">
        <v>72</v>
      </c>
      <c r="D778" t="s">
        <v>72</v>
      </c>
      <c r="E778" t="s">
        <v>72</v>
      </c>
      <c r="F778" t="s">
        <v>12679</v>
      </c>
      <c r="G778" t="s">
        <v>72</v>
      </c>
      <c r="H778" t="s">
        <v>72</v>
      </c>
      <c r="I778" t="s">
        <v>12680</v>
      </c>
      <c r="J778" t="s">
        <v>6329</v>
      </c>
      <c r="K778" t="s">
        <v>72</v>
      </c>
      <c r="L778" t="s">
        <v>72</v>
      </c>
      <c r="M778" t="s">
        <v>76</v>
      </c>
      <c r="N778" t="s">
        <v>77</v>
      </c>
      <c r="O778" t="s">
        <v>72</v>
      </c>
      <c r="P778" t="s">
        <v>72</v>
      </c>
      <c r="Q778" t="s">
        <v>72</v>
      </c>
      <c r="R778" t="s">
        <v>72</v>
      </c>
      <c r="S778" t="s">
        <v>72</v>
      </c>
      <c r="T778" t="s">
        <v>12681</v>
      </c>
      <c r="U778" t="s">
        <v>72</v>
      </c>
      <c r="V778" t="s">
        <v>12682</v>
      </c>
      <c r="W778" t="s">
        <v>12683</v>
      </c>
      <c r="X778" t="s">
        <v>7951</v>
      </c>
      <c r="Y778" t="s">
        <v>12684</v>
      </c>
      <c r="Z778" t="s">
        <v>12685</v>
      </c>
      <c r="AA778" t="s">
        <v>12686</v>
      </c>
      <c r="AB778" t="s">
        <v>12687</v>
      </c>
      <c r="AC778" t="s">
        <v>72</v>
      </c>
      <c r="AD778" t="s">
        <v>72</v>
      </c>
      <c r="AE778" t="s">
        <v>72</v>
      </c>
      <c r="AF778" t="s">
        <v>72</v>
      </c>
      <c r="AG778">
        <v>17</v>
      </c>
      <c r="AH778">
        <v>1</v>
      </c>
      <c r="AI778">
        <v>1</v>
      </c>
      <c r="AJ778">
        <v>0</v>
      </c>
      <c r="AK778">
        <v>0</v>
      </c>
      <c r="AL778" t="s">
        <v>6338</v>
      </c>
      <c r="AM778" t="s">
        <v>337</v>
      </c>
      <c r="AN778" t="s">
        <v>6339</v>
      </c>
      <c r="AO778" t="s">
        <v>6340</v>
      </c>
      <c r="AP778" t="s">
        <v>6341</v>
      </c>
      <c r="AQ778" t="s">
        <v>72</v>
      </c>
      <c r="AR778" t="s">
        <v>6342</v>
      </c>
      <c r="AS778" t="s">
        <v>6343</v>
      </c>
      <c r="AT778" t="s">
        <v>197</v>
      </c>
      <c r="AU778">
        <v>2022</v>
      </c>
      <c r="AV778">
        <v>5</v>
      </c>
      <c r="AW778">
        <v>1</v>
      </c>
      <c r="AX778" t="s">
        <v>72</v>
      </c>
      <c r="AY778" t="s">
        <v>72</v>
      </c>
      <c r="AZ778" t="s">
        <v>72</v>
      </c>
      <c r="BA778" t="s">
        <v>72</v>
      </c>
      <c r="BB778">
        <v>253</v>
      </c>
      <c r="BC778">
        <v>263</v>
      </c>
      <c r="BD778" t="s">
        <v>72</v>
      </c>
      <c r="BE778" t="s">
        <v>12688</v>
      </c>
      <c r="BF778" t="str">
        <f>HYPERLINK("http://dx.doi.org/10.1007/s42001-021-00128-6","http://dx.doi.org/10.1007/s42001-021-00128-6")</f>
        <v>http://dx.doi.org/10.1007/s42001-021-00128-6</v>
      </c>
      <c r="BG778" t="s">
        <v>72</v>
      </c>
      <c r="BH778" t="s">
        <v>4131</v>
      </c>
      <c r="BI778">
        <v>11</v>
      </c>
      <c r="BJ778" t="s">
        <v>6345</v>
      </c>
      <c r="BK778" t="s">
        <v>6346</v>
      </c>
      <c r="BL778" t="s">
        <v>12689</v>
      </c>
      <c r="BM778" t="s">
        <v>72</v>
      </c>
      <c r="BN778" t="s">
        <v>72</v>
      </c>
      <c r="BO778" t="s">
        <v>72</v>
      </c>
      <c r="BP778" t="s">
        <v>72</v>
      </c>
      <c r="BQ778" t="s">
        <v>100</v>
      </c>
      <c r="BR778" t="s">
        <v>12690</v>
      </c>
      <c r="BS778" t="str">
        <f>HYPERLINK("https%3A%2F%2Fwww.webofscience.com%2Fwos%2Fwoscc%2Ffull-record%2FWOS:000660560300001","View Full Record in Web of Science")</f>
        <v>View Full Record in Web of Science</v>
      </c>
    </row>
    <row r="779" spans="1:71" x14ac:dyDescent="0.2">
      <c r="A779" t="s">
        <v>70</v>
      </c>
      <c r="B779" t="s">
        <v>15349</v>
      </c>
      <c r="C779" t="s">
        <v>72</v>
      </c>
      <c r="D779" t="s">
        <v>72</v>
      </c>
      <c r="E779" t="s">
        <v>72</v>
      </c>
      <c r="F779" t="s">
        <v>15350</v>
      </c>
      <c r="G779" t="s">
        <v>72</v>
      </c>
      <c r="H779" t="s">
        <v>72</v>
      </c>
      <c r="I779" t="s">
        <v>15351</v>
      </c>
      <c r="J779" t="s">
        <v>6329</v>
      </c>
      <c r="K779" t="s">
        <v>72</v>
      </c>
      <c r="L779" t="s">
        <v>72</v>
      </c>
      <c r="M779" t="s">
        <v>76</v>
      </c>
      <c r="N779" t="s">
        <v>77</v>
      </c>
      <c r="O779" t="s">
        <v>72</v>
      </c>
      <c r="P779" t="s">
        <v>72</v>
      </c>
      <c r="Q779" t="s">
        <v>72</v>
      </c>
      <c r="R779" t="s">
        <v>72</v>
      </c>
      <c r="S779" t="s">
        <v>72</v>
      </c>
      <c r="T779" t="s">
        <v>15352</v>
      </c>
      <c r="U779" t="s">
        <v>15353</v>
      </c>
      <c r="V779" t="s">
        <v>15354</v>
      </c>
      <c r="W779" t="s">
        <v>15355</v>
      </c>
      <c r="X779" t="s">
        <v>15356</v>
      </c>
      <c r="Y779" t="s">
        <v>15357</v>
      </c>
      <c r="Z779" t="s">
        <v>15358</v>
      </c>
      <c r="AA779" t="s">
        <v>72</v>
      </c>
      <c r="AB779" t="s">
        <v>15359</v>
      </c>
      <c r="AC779" t="s">
        <v>15360</v>
      </c>
      <c r="AD779" t="s">
        <v>7993</v>
      </c>
      <c r="AE779" t="s">
        <v>15361</v>
      </c>
      <c r="AF779" t="s">
        <v>72</v>
      </c>
      <c r="AG779">
        <v>69</v>
      </c>
      <c r="AH779">
        <v>6</v>
      </c>
      <c r="AI779">
        <v>6</v>
      </c>
      <c r="AJ779">
        <v>1</v>
      </c>
      <c r="AK779">
        <v>6</v>
      </c>
      <c r="AL779" t="s">
        <v>6338</v>
      </c>
      <c r="AM779" t="s">
        <v>337</v>
      </c>
      <c r="AN779" t="s">
        <v>6339</v>
      </c>
      <c r="AO779" t="s">
        <v>6340</v>
      </c>
      <c r="AP779" t="s">
        <v>6341</v>
      </c>
      <c r="AQ779" t="s">
        <v>72</v>
      </c>
      <c r="AR779" t="s">
        <v>6342</v>
      </c>
      <c r="AS779" t="s">
        <v>6343</v>
      </c>
      <c r="AT779" t="s">
        <v>197</v>
      </c>
      <c r="AU779">
        <v>2021</v>
      </c>
      <c r="AV779">
        <v>4</v>
      </c>
      <c r="AW779">
        <v>1</v>
      </c>
      <c r="AX779" t="s">
        <v>72</v>
      </c>
      <c r="AY779" t="s">
        <v>72</v>
      </c>
      <c r="AZ779" t="s">
        <v>72</v>
      </c>
      <c r="BA779" t="s">
        <v>72</v>
      </c>
      <c r="BB779">
        <v>333</v>
      </c>
      <c r="BC779">
        <v>354</v>
      </c>
      <c r="BD779" t="s">
        <v>72</v>
      </c>
      <c r="BE779" t="s">
        <v>15362</v>
      </c>
      <c r="BF779" t="str">
        <f>HYPERLINK("http://dx.doi.org/10.1007/s42001-020-00080-x","http://dx.doi.org/10.1007/s42001-020-00080-x")</f>
        <v>http://dx.doi.org/10.1007/s42001-020-00080-x</v>
      </c>
      <c r="BG779" t="s">
        <v>72</v>
      </c>
      <c r="BH779" t="s">
        <v>72</v>
      </c>
      <c r="BI779">
        <v>22</v>
      </c>
      <c r="BJ779" t="s">
        <v>6345</v>
      </c>
      <c r="BK779" t="s">
        <v>6346</v>
      </c>
      <c r="BL779" t="s">
        <v>15363</v>
      </c>
      <c r="BM779" t="s">
        <v>72</v>
      </c>
      <c r="BN779" t="s">
        <v>15364</v>
      </c>
      <c r="BO779" t="s">
        <v>72</v>
      </c>
      <c r="BP779" t="s">
        <v>72</v>
      </c>
      <c r="BQ779" t="s">
        <v>100</v>
      </c>
      <c r="BR779" t="s">
        <v>15365</v>
      </c>
      <c r="BS779" t="str">
        <f>HYPERLINK("https%3A%2F%2Fwww.webofscience.com%2Fwos%2Fwoscc%2Ffull-record%2FWOS:000647081800013","View Full Record in Web of Science")</f>
        <v>View Full Record in Web of Science</v>
      </c>
    </row>
    <row r="780" spans="1:71" x14ac:dyDescent="0.2">
      <c r="A780" t="s">
        <v>70</v>
      </c>
      <c r="B780" t="s">
        <v>16140</v>
      </c>
      <c r="C780" t="s">
        <v>72</v>
      </c>
      <c r="D780" t="s">
        <v>72</v>
      </c>
      <c r="E780" t="s">
        <v>72</v>
      </c>
      <c r="F780" t="s">
        <v>16141</v>
      </c>
      <c r="G780" t="s">
        <v>72</v>
      </c>
      <c r="H780" t="s">
        <v>72</v>
      </c>
      <c r="I780" t="s">
        <v>16142</v>
      </c>
      <c r="J780" t="s">
        <v>6329</v>
      </c>
      <c r="K780" t="s">
        <v>72</v>
      </c>
      <c r="L780" t="s">
        <v>72</v>
      </c>
      <c r="M780" t="s">
        <v>76</v>
      </c>
      <c r="N780" t="s">
        <v>1503</v>
      </c>
      <c r="O780" t="s">
        <v>72</v>
      </c>
      <c r="P780" t="s">
        <v>72</v>
      </c>
      <c r="Q780" t="s">
        <v>72</v>
      </c>
      <c r="R780" t="s">
        <v>72</v>
      </c>
      <c r="S780" t="s">
        <v>72</v>
      </c>
      <c r="T780" t="s">
        <v>16143</v>
      </c>
      <c r="U780" t="s">
        <v>16144</v>
      </c>
      <c r="V780" t="s">
        <v>16145</v>
      </c>
      <c r="W780" t="s">
        <v>16146</v>
      </c>
      <c r="X780" t="s">
        <v>16147</v>
      </c>
      <c r="Y780" t="s">
        <v>16148</v>
      </c>
      <c r="Z780" t="s">
        <v>16149</v>
      </c>
      <c r="AA780" t="s">
        <v>16150</v>
      </c>
      <c r="AB780" t="s">
        <v>16151</v>
      </c>
      <c r="AC780" t="s">
        <v>72</v>
      </c>
      <c r="AD780" t="s">
        <v>72</v>
      </c>
      <c r="AE780" t="s">
        <v>72</v>
      </c>
      <c r="AF780" t="s">
        <v>72</v>
      </c>
      <c r="AG780">
        <v>81</v>
      </c>
      <c r="AH780">
        <v>9</v>
      </c>
      <c r="AI780">
        <v>9</v>
      </c>
      <c r="AJ780">
        <v>1</v>
      </c>
      <c r="AK780">
        <v>3</v>
      </c>
      <c r="AL780" t="s">
        <v>6338</v>
      </c>
      <c r="AM780" t="s">
        <v>337</v>
      </c>
      <c r="AN780" t="s">
        <v>6339</v>
      </c>
      <c r="AO780" t="s">
        <v>6340</v>
      </c>
      <c r="AP780" t="s">
        <v>6341</v>
      </c>
      <c r="AQ780" t="s">
        <v>72</v>
      </c>
      <c r="AR780" t="s">
        <v>6342</v>
      </c>
      <c r="AS780" t="s">
        <v>6343</v>
      </c>
      <c r="AT780" t="s">
        <v>149</v>
      </c>
      <c r="AU780">
        <v>2020</v>
      </c>
      <c r="AV780">
        <v>3</v>
      </c>
      <c r="AW780">
        <v>1</v>
      </c>
      <c r="AX780" t="s">
        <v>72</v>
      </c>
      <c r="AY780" t="s">
        <v>72</v>
      </c>
      <c r="AZ780" t="s">
        <v>72</v>
      </c>
      <c r="BA780" t="s">
        <v>72</v>
      </c>
      <c r="BB780">
        <v>245</v>
      </c>
      <c r="BC780">
        <v>270</v>
      </c>
      <c r="BD780" t="s">
        <v>72</v>
      </c>
      <c r="BE780" t="s">
        <v>16152</v>
      </c>
      <c r="BF780" t="str">
        <f>HYPERLINK("http://dx.doi.org/10.1007/s42001-019-00060-w","http://dx.doi.org/10.1007/s42001-019-00060-w")</f>
        <v>http://dx.doi.org/10.1007/s42001-019-00060-w</v>
      </c>
      <c r="BG780" t="s">
        <v>72</v>
      </c>
      <c r="BH780" t="s">
        <v>72</v>
      </c>
      <c r="BI780">
        <v>26</v>
      </c>
      <c r="BJ780" t="s">
        <v>6345</v>
      </c>
      <c r="BK780" t="s">
        <v>6346</v>
      </c>
      <c r="BL780" t="s">
        <v>16153</v>
      </c>
      <c r="BM780" t="s">
        <v>72</v>
      </c>
      <c r="BN780" t="s">
        <v>6174</v>
      </c>
      <c r="BO780" t="s">
        <v>72</v>
      </c>
      <c r="BP780" t="s">
        <v>72</v>
      </c>
      <c r="BQ780" t="s">
        <v>100</v>
      </c>
      <c r="BR780" t="s">
        <v>16154</v>
      </c>
      <c r="BS780" t="str">
        <f>HYPERLINK("https%3A%2F%2Fwww.webofscience.com%2Fwos%2Fwoscc%2Ffull-record%2FWOS:000704309900012","View Full Record in Web of Science")</f>
        <v>View Full Record in Web of Science</v>
      </c>
    </row>
    <row r="781" spans="1:71" x14ac:dyDescent="0.2">
      <c r="A781" t="s">
        <v>715</v>
      </c>
      <c r="B781" t="s">
        <v>716</v>
      </c>
      <c r="C781" t="s">
        <v>72</v>
      </c>
      <c r="D781" t="s">
        <v>717</v>
      </c>
      <c r="E781" t="s">
        <v>72</v>
      </c>
      <c r="F781" t="s">
        <v>718</v>
      </c>
      <c r="G781" t="s">
        <v>72</v>
      </c>
      <c r="H781" t="s">
        <v>72</v>
      </c>
      <c r="I781" t="s">
        <v>719</v>
      </c>
      <c r="J781" t="s">
        <v>720</v>
      </c>
      <c r="K781" t="s">
        <v>721</v>
      </c>
      <c r="L781" t="s">
        <v>72</v>
      </c>
      <c r="M781" t="s">
        <v>76</v>
      </c>
      <c r="N781" t="s">
        <v>722</v>
      </c>
      <c r="O781" t="s">
        <v>72</v>
      </c>
      <c r="P781" t="s">
        <v>72</v>
      </c>
      <c r="Q781" t="s">
        <v>72</v>
      </c>
      <c r="R781" t="s">
        <v>72</v>
      </c>
      <c r="S781" t="s">
        <v>72</v>
      </c>
      <c r="T781" t="s">
        <v>72</v>
      </c>
      <c r="U781" t="s">
        <v>72</v>
      </c>
      <c r="V781" t="s">
        <v>72</v>
      </c>
      <c r="W781" t="s">
        <v>723</v>
      </c>
      <c r="X781" t="s">
        <v>724</v>
      </c>
      <c r="Y781" t="s">
        <v>725</v>
      </c>
      <c r="Z781" t="s">
        <v>726</v>
      </c>
      <c r="AA781" t="s">
        <v>72</v>
      </c>
      <c r="AB781" t="s">
        <v>72</v>
      </c>
      <c r="AC781" t="s">
        <v>72</v>
      </c>
      <c r="AD781" t="s">
        <v>72</v>
      </c>
      <c r="AE781" t="s">
        <v>72</v>
      </c>
      <c r="AF781" t="s">
        <v>72</v>
      </c>
      <c r="AG781">
        <v>4</v>
      </c>
      <c r="AH781">
        <v>7</v>
      </c>
      <c r="AI781">
        <v>7</v>
      </c>
      <c r="AJ781">
        <v>0</v>
      </c>
      <c r="AK781">
        <v>4</v>
      </c>
      <c r="AL781" t="s">
        <v>190</v>
      </c>
      <c r="AM781" t="s">
        <v>727</v>
      </c>
      <c r="AN781" t="s">
        <v>728</v>
      </c>
      <c r="AO781" t="s">
        <v>729</v>
      </c>
      <c r="AP781" t="s">
        <v>72</v>
      </c>
      <c r="AQ781" t="s">
        <v>730</v>
      </c>
      <c r="AR781" t="s">
        <v>731</v>
      </c>
      <c r="AS781" t="s">
        <v>732</v>
      </c>
      <c r="AT781" t="s">
        <v>72</v>
      </c>
      <c r="AU781">
        <v>2012</v>
      </c>
      <c r="AV781">
        <v>42</v>
      </c>
      <c r="AW781" t="s">
        <v>72</v>
      </c>
      <c r="AX781" t="s">
        <v>72</v>
      </c>
      <c r="AY781" t="s">
        <v>72</v>
      </c>
      <c r="AZ781" t="s">
        <v>72</v>
      </c>
      <c r="BA781" t="s">
        <v>72</v>
      </c>
      <c r="BB781">
        <v>88</v>
      </c>
      <c r="BC781">
        <v>90</v>
      </c>
      <c r="BD781" t="s">
        <v>72</v>
      </c>
      <c r="BE781" t="s">
        <v>733</v>
      </c>
      <c r="BF781" t="str">
        <f>HYPERLINK("http://dx.doi.org/10.1177/0081175012460854","http://dx.doi.org/10.1177/0081175012460854")</f>
        <v>http://dx.doi.org/10.1177/0081175012460854</v>
      </c>
      <c r="BG781" t="s">
        <v>72</v>
      </c>
      <c r="BH781" t="s">
        <v>72</v>
      </c>
      <c r="BI781">
        <v>3</v>
      </c>
      <c r="BJ781" t="s">
        <v>734</v>
      </c>
      <c r="BK781" t="s">
        <v>735</v>
      </c>
      <c r="BL781" t="s">
        <v>736</v>
      </c>
      <c r="BM781" t="s">
        <v>72</v>
      </c>
      <c r="BN781" t="s">
        <v>72</v>
      </c>
      <c r="BO781" t="s">
        <v>72</v>
      </c>
      <c r="BP781" t="s">
        <v>72</v>
      </c>
      <c r="BQ781" t="s">
        <v>100</v>
      </c>
      <c r="BR781" t="s">
        <v>737</v>
      </c>
      <c r="BS781" t="str">
        <f>HYPERLINK("https%3A%2F%2Fwww.webofscience.com%2Fwos%2Fwoscc%2Ffull-record%2FWOS:000339965700008","View Full Record in Web of Science")</f>
        <v>View Full Record in Web of Science</v>
      </c>
    </row>
    <row r="782" spans="1:71" x14ac:dyDescent="0.2">
      <c r="A782" t="s">
        <v>70</v>
      </c>
      <c r="B782" t="s">
        <v>3910</v>
      </c>
      <c r="C782" t="s">
        <v>72</v>
      </c>
      <c r="D782" t="s">
        <v>72</v>
      </c>
      <c r="E782" t="s">
        <v>72</v>
      </c>
      <c r="F782" t="s">
        <v>3911</v>
      </c>
      <c r="G782" t="s">
        <v>72</v>
      </c>
      <c r="H782" t="s">
        <v>72</v>
      </c>
      <c r="I782" t="s">
        <v>3912</v>
      </c>
      <c r="J782" t="s">
        <v>3913</v>
      </c>
      <c r="K782" t="s">
        <v>72</v>
      </c>
      <c r="L782" t="s">
        <v>72</v>
      </c>
      <c r="M782" t="s">
        <v>76</v>
      </c>
      <c r="N782" t="s">
        <v>3914</v>
      </c>
      <c r="O782" t="s">
        <v>72</v>
      </c>
      <c r="P782" t="s">
        <v>72</v>
      </c>
      <c r="Q782" t="s">
        <v>72</v>
      </c>
      <c r="R782" t="s">
        <v>72</v>
      </c>
      <c r="S782" t="s">
        <v>72</v>
      </c>
      <c r="T782" t="s">
        <v>3915</v>
      </c>
      <c r="U782" t="s">
        <v>3916</v>
      </c>
      <c r="V782" t="s">
        <v>3917</v>
      </c>
      <c r="W782" t="s">
        <v>3918</v>
      </c>
      <c r="X782" t="s">
        <v>3919</v>
      </c>
      <c r="Y782" t="s">
        <v>3920</v>
      </c>
      <c r="Z782" t="s">
        <v>3921</v>
      </c>
      <c r="AA782" t="s">
        <v>72</v>
      </c>
      <c r="AB782" t="s">
        <v>3922</v>
      </c>
      <c r="AC782" t="s">
        <v>72</v>
      </c>
      <c r="AD782" t="s">
        <v>72</v>
      </c>
      <c r="AE782" t="s">
        <v>72</v>
      </c>
      <c r="AF782" t="s">
        <v>72</v>
      </c>
      <c r="AG782">
        <v>28</v>
      </c>
      <c r="AH782">
        <v>0</v>
      </c>
      <c r="AI782">
        <v>0</v>
      </c>
      <c r="AJ782">
        <v>4</v>
      </c>
      <c r="AK782">
        <v>4</v>
      </c>
      <c r="AL782" t="s">
        <v>190</v>
      </c>
      <c r="AM782" t="s">
        <v>191</v>
      </c>
      <c r="AN782" t="s">
        <v>192</v>
      </c>
      <c r="AO782" t="s">
        <v>3923</v>
      </c>
      <c r="AP782" t="s">
        <v>3924</v>
      </c>
      <c r="AQ782" t="s">
        <v>72</v>
      </c>
      <c r="AR782" t="s">
        <v>3925</v>
      </c>
      <c r="AS782" t="s">
        <v>3926</v>
      </c>
      <c r="AT782" t="s">
        <v>72</v>
      </c>
      <c r="AU782" t="s">
        <v>72</v>
      </c>
      <c r="AV782" t="s">
        <v>72</v>
      </c>
      <c r="AW782" t="s">
        <v>72</v>
      </c>
      <c r="AX782" t="s">
        <v>72</v>
      </c>
      <c r="AY782" t="s">
        <v>72</v>
      </c>
      <c r="AZ782" t="s">
        <v>72</v>
      </c>
      <c r="BA782" t="s">
        <v>72</v>
      </c>
      <c r="BB782" t="s">
        <v>72</v>
      </c>
      <c r="BC782" t="s">
        <v>72</v>
      </c>
      <c r="BD782" t="s">
        <v>72</v>
      </c>
      <c r="BE782" t="s">
        <v>3927</v>
      </c>
      <c r="BF782" t="str">
        <f>HYPERLINK("http://dx.doi.org/10.1177/00491241221123086","http://dx.doi.org/10.1177/00491241221123086")</f>
        <v>http://dx.doi.org/10.1177/00491241221123086</v>
      </c>
      <c r="BG782" t="s">
        <v>72</v>
      </c>
      <c r="BH782" t="s">
        <v>1072</v>
      </c>
      <c r="BI782">
        <v>18</v>
      </c>
      <c r="BJ782" t="s">
        <v>734</v>
      </c>
      <c r="BK782" t="s">
        <v>735</v>
      </c>
      <c r="BL782" t="s">
        <v>3928</v>
      </c>
      <c r="BM782" t="s">
        <v>72</v>
      </c>
      <c r="BN782" t="s">
        <v>72</v>
      </c>
      <c r="BO782" t="s">
        <v>72</v>
      </c>
      <c r="BP782" t="s">
        <v>72</v>
      </c>
      <c r="BQ782" t="s">
        <v>100</v>
      </c>
      <c r="BR782" t="s">
        <v>3929</v>
      </c>
      <c r="BS782" t="str">
        <f>HYPERLINK("https%3A%2F%2Fwww.webofscience.com%2Fwos%2Fwoscc%2Ffull-record%2FWOS:000847557000001","View Full Record in Web of Science")</f>
        <v>View Full Record in Web of Science</v>
      </c>
    </row>
    <row r="783" spans="1:71" x14ac:dyDescent="0.2">
      <c r="A783" t="s">
        <v>70</v>
      </c>
      <c r="B783" t="s">
        <v>15539</v>
      </c>
      <c r="C783" t="s">
        <v>72</v>
      </c>
      <c r="D783" t="s">
        <v>72</v>
      </c>
      <c r="E783" t="s">
        <v>72</v>
      </c>
      <c r="F783" t="s">
        <v>15540</v>
      </c>
      <c r="G783" t="s">
        <v>72</v>
      </c>
      <c r="H783" t="s">
        <v>72</v>
      </c>
      <c r="I783" t="s">
        <v>15541</v>
      </c>
      <c r="J783" t="s">
        <v>3913</v>
      </c>
      <c r="K783" t="s">
        <v>72</v>
      </c>
      <c r="L783" t="s">
        <v>72</v>
      </c>
      <c r="M783" t="s">
        <v>76</v>
      </c>
      <c r="N783" t="s">
        <v>77</v>
      </c>
      <c r="O783" t="s">
        <v>72</v>
      </c>
      <c r="P783" t="s">
        <v>72</v>
      </c>
      <c r="Q783" t="s">
        <v>72</v>
      </c>
      <c r="R783" t="s">
        <v>72</v>
      </c>
      <c r="S783" t="s">
        <v>72</v>
      </c>
      <c r="T783" t="s">
        <v>15542</v>
      </c>
      <c r="U783" t="s">
        <v>15543</v>
      </c>
      <c r="V783" t="s">
        <v>15544</v>
      </c>
      <c r="W783" t="s">
        <v>15545</v>
      </c>
      <c r="X783" t="s">
        <v>15546</v>
      </c>
      <c r="Y783" t="s">
        <v>15547</v>
      </c>
      <c r="Z783" t="s">
        <v>15548</v>
      </c>
      <c r="AA783" t="s">
        <v>72</v>
      </c>
      <c r="AB783" t="s">
        <v>15549</v>
      </c>
      <c r="AC783" t="s">
        <v>15550</v>
      </c>
      <c r="AD783" t="s">
        <v>15551</v>
      </c>
      <c r="AE783" t="s">
        <v>15552</v>
      </c>
      <c r="AF783" t="s">
        <v>72</v>
      </c>
      <c r="AG783">
        <v>67</v>
      </c>
      <c r="AH783">
        <v>130</v>
      </c>
      <c r="AI783">
        <v>131</v>
      </c>
      <c r="AJ783">
        <v>32</v>
      </c>
      <c r="AK783">
        <v>133</v>
      </c>
      <c r="AL783" t="s">
        <v>190</v>
      </c>
      <c r="AM783" t="s">
        <v>191</v>
      </c>
      <c r="AN783" t="s">
        <v>192</v>
      </c>
      <c r="AO783" t="s">
        <v>3923</v>
      </c>
      <c r="AP783" t="s">
        <v>3924</v>
      </c>
      <c r="AQ783" t="s">
        <v>72</v>
      </c>
      <c r="AR783" t="s">
        <v>3925</v>
      </c>
      <c r="AS783" t="s">
        <v>3926</v>
      </c>
      <c r="AT783" t="s">
        <v>1602</v>
      </c>
      <c r="AU783">
        <v>2020</v>
      </c>
      <c r="AV783">
        <v>49</v>
      </c>
      <c r="AW783">
        <v>1</v>
      </c>
      <c r="AX783" t="s">
        <v>72</v>
      </c>
      <c r="AY783" t="s">
        <v>72</v>
      </c>
      <c r="AZ783" t="s">
        <v>72</v>
      </c>
      <c r="BA783" t="s">
        <v>72</v>
      </c>
      <c r="BB783">
        <v>3</v>
      </c>
      <c r="BC783">
        <v>42</v>
      </c>
      <c r="BD783" t="s">
        <v>72</v>
      </c>
      <c r="BE783" t="s">
        <v>15553</v>
      </c>
      <c r="BF783" t="str">
        <f>HYPERLINK("http://dx.doi.org/10.1177/0049124117729703","http://dx.doi.org/10.1177/0049124117729703")</f>
        <v>http://dx.doi.org/10.1177/0049124117729703</v>
      </c>
      <c r="BG783" t="s">
        <v>72</v>
      </c>
      <c r="BH783" t="s">
        <v>72</v>
      </c>
      <c r="BI783">
        <v>40</v>
      </c>
      <c r="BJ783" t="s">
        <v>734</v>
      </c>
      <c r="BK783" t="s">
        <v>735</v>
      </c>
      <c r="BL783" t="s">
        <v>15554</v>
      </c>
      <c r="BM783" t="s">
        <v>72</v>
      </c>
      <c r="BN783" t="s">
        <v>72</v>
      </c>
      <c r="BO783" t="s">
        <v>72</v>
      </c>
      <c r="BP783" t="s">
        <v>72</v>
      </c>
      <c r="BQ783" t="s">
        <v>100</v>
      </c>
      <c r="BR783" t="s">
        <v>15555</v>
      </c>
      <c r="BS783" t="str">
        <f>HYPERLINK("https%3A%2F%2Fwww.webofscience.com%2Fwos%2Fwoscc%2Ffull-record%2FWOS:000506537700001","View Full Record in Web of Science")</f>
        <v>View Full Record in Web of Science</v>
      </c>
    </row>
    <row r="784" spans="1:71" hidden="1" x14ac:dyDescent="0.2">
      <c r="A784" t="s">
        <v>305</v>
      </c>
      <c r="B784" t="s">
        <v>835</v>
      </c>
      <c r="C784" t="s">
        <v>72</v>
      </c>
      <c r="D784" t="s">
        <v>836</v>
      </c>
      <c r="E784" t="s">
        <v>72</v>
      </c>
      <c r="F784" t="s">
        <v>835</v>
      </c>
      <c r="G784" t="s">
        <v>72</v>
      </c>
      <c r="H784" t="s">
        <v>72</v>
      </c>
      <c r="I784" t="s">
        <v>837</v>
      </c>
      <c r="J784" t="s">
        <v>838</v>
      </c>
      <c r="K784" t="s">
        <v>72</v>
      </c>
      <c r="L784" t="s">
        <v>72</v>
      </c>
      <c r="M784" t="s">
        <v>76</v>
      </c>
      <c r="N784" t="s">
        <v>312</v>
      </c>
      <c r="O784" t="s">
        <v>839</v>
      </c>
      <c r="P784" t="s">
        <v>840</v>
      </c>
      <c r="Q784" t="s">
        <v>841</v>
      </c>
      <c r="R784" t="s">
        <v>842</v>
      </c>
      <c r="S784" t="s">
        <v>72</v>
      </c>
      <c r="T784" t="s">
        <v>72</v>
      </c>
      <c r="U784" t="s">
        <v>72</v>
      </c>
      <c r="V784" t="s">
        <v>72</v>
      </c>
      <c r="W784" t="s">
        <v>72</v>
      </c>
      <c r="X784" t="s">
        <v>72</v>
      </c>
      <c r="Y784" t="s">
        <v>72</v>
      </c>
      <c r="Z784" t="s">
        <v>72</v>
      </c>
      <c r="AA784" t="s">
        <v>72</v>
      </c>
      <c r="AB784" t="s">
        <v>72</v>
      </c>
      <c r="AC784" t="s">
        <v>72</v>
      </c>
      <c r="AD784" t="s">
        <v>72</v>
      </c>
      <c r="AE784" t="s">
        <v>72</v>
      </c>
      <c r="AF784" t="s">
        <v>72</v>
      </c>
      <c r="AG784">
        <v>0</v>
      </c>
      <c r="AH784">
        <v>0</v>
      </c>
      <c r="AI784">
        <v>0</v>
      </c>
      <c r="AJ784">
        <v>0</v>
      </c>
      <c r="AK784">
        <v>0</v>
      </c>
      <c r="AL784" t="s">
        <v>843</v>
      </c>
      <c r="AM784" t="s">
        <v>844</v>
      </c>
      <c r="AN784" t="s">
        <v>844</v>
      </c>
      <c r="AO784" t="s">
        <v>72</v>
      </c>
      <c r="AP784" t="s">
        <v>72</v>
      </c>
      <c r="AQ784" t="s">
        <v>845</v>
      </c>
      <c r="AR784" t="s">
        <v>72</v>
      </c>
      <c r="AS784" t="s">
        <v>72</v>
      </c>
      <c r="AT784" t="s">
        <v>72</v>
      </c>
      <c r="AU784">
        <v>1989</v>
      </c>
      <c r="AV784" t="s">
        <v>72</v>
      </c>
      <c r="AW784" t="s">
        <v>72</v>
      </c>
      <c r="AX784" t="s">
        <v>72</v>
      </c>
      <c r="AY784" t="s">
        <v>72</v>
      </c>
      <c r="AZ784" t="s">
        <v>72</v>
      </c>
      <c r="BA784" t="s">
        <v>72</v>
      </c>
      <c r="BB784">
        <v>207</v>
      </c>
      <c r="BC784">
        <v>214</v>
      </c>
      <c r="BD784" t="s">
        <v>72</v>
      </c>
      <c r="BE784" t="s">
        <v>72</v>
      </c>
      <c r="BF784" t="s">
        <v>72</v>
      </c>
      <c r="BG784" t="s">
        <v>72</v>
      </c>
      <c r="BH784" t="s">
        <v>72</v>
      </c>
      <c r="BI784">
        <v>8</v>
      </c>
      <c r="BJ784" t="s">
        <v>846</v>
      </c>
      <c r="BK784" t="s">
        <v>847</v>
      </c>
      <c r="BL784" t="s">
        <v>848</v>
      </c>
      <c r="BM784" t="s">
        <v>72</v>
      </c>
      <c r="BN784" t="s">
        <v>72</v>
      </c>
      <c r="BO784" t="s">
        <v>72</v>
      </c>
      <c r="BP784" t="s">
        <v>72</v>
      </c>
      <c r="BQ784" t="s">
        <v>100</v>
      </c>
      <c r="BR784" t="s">
        <v>849</v>
      </c>
      <c r="BS784" t="str">
        <f>HYPERLINK("https%3A%2F%2Fwww.webofscience.com%2Fwos%2Fwoscc%2Ffull-record%2FWOS:A1989BQ25B00022","View Full Record in Web of Science")</f>
        <v>View Full Record in Web of Science</v>
      </c>
    </row>
    <row r="785" spans="1:71" x14ac:dyDescent="0.2">
      <c r="A785" t="s">
        <v>70</v>
      </c>
      <c r="B785" t="s">
        <v>16713</v>
      </c>
      <c r="C785" t="s">
        <v>72</v>
      </c>
      <c r="D785" t="s">
        <v>72</v>
      </c>
      <c r="E785" t="s">
        <v>72</v>
      </c>
      <c r="F785" t="s">
        <v>16714</v>
      </c>
      <c r="G785" t="s">
        <v>72</v>
      </c>
      <c r="H785" t="s">
        <v>72</v>
      </c>
      <c r="I785" t="s">
        <v>16715</v>
      </c>
      <c r="J785" t="s">
        <v>16716</v>
      </c>
      <c r="K785" t="s">
        <v>72</v>
      </c>
      <c r="L785" t="s">
        <v>72</v>
      </c>
      <c r="M785" t="s">
        <v>76</v>
      </c>
      <c r="N785" t="s">
        <v>77</v>
      </c>
      <c r="O785" t="s">
        <v>72</v>
      </c>
      <c r="P785" t="s">
        <v>72</v>
      </c>
      <c r="Q785" t="s">
        <v>72</v>
      </c>
      <c r="R785" t="s">
        <v>72</v>
      </c>
      <c r="S785" t="s">
        <v>72</v>
      </c>
      <c r="T785" t="s">
        <v>16717</v>
      </c>
      <c r="U785" t="s">
        <v>12438</v>
      </c>
      <c r="V785" t="s">
        <v>16718</v>
      </c>
      <c r="W785" t="s">
        <v>16719</v>
      </c>
      <c r="X785" t="s">
        <v>16720</v>
      </c>
      <c r="Y785" t="s">
        <v>16721</v>
      </c>
      <c r="Z785" t="s">
        <v>16722</v>
      </c>
      <c r="AA785" t="s">
        <v>16723</v>
      </c>
      <c r="AB785" t="s">
        <v>16724</v>
      </c>
      <c r="AC785" t="s">
        <v>16725</v>
      </c>
      <c r="AD785" t="s">
        <v>16726</v>
      </c>
      <c r="AE785" t="s">
        <v>16727</v>
      </c>
      <c r="AF785" t="s">
        <v>72</v>
      </c>
      <c r="AG785">
        <v>57</v>
      </c>
      <c r="AH785">
        <v>11</v>
      </c>
      <c r="AI785">
        <v>11</v>
      </c>
      <c r="AJ785">
        <v>3</v>
      </c>
      <c r="AK785">
        <v>12</v>
      </c>
      <c r="AL785" t="s">
        <v>88</v>
      </c>
      <c r="AM785" t="s">
        <v>707</v>
      </c>
      <c r="AN785" t="s">
        <v>1987</v>
      </c>
      <c r="AO785" t="s">
        <v>72</v>
      </c>
      <c r="AP785" t="s">
        <v>16728</v>
      </c>
      <c r="AQ785" t="s">
        <v>72</v>
      </c>
      <c r="AR785" t="s">
        <v>16729</v>
      </c>
      <c r="AS785" t="s">
        <v>16730</v>
      </c>
      <c r="AT785" t="s">
        <v>16731</v>
      </c>
      <c r="AU785">
        <v>2021</v>
      </c>
      <c r="AV785">
        <v>10</v>
      </c>
      <c r="AW785">
        <v>1</v>
      </c>
      <c r="AX785" t="s">
        <v>72</v>
      </c>
      <c r="AY785" t="s">
        <v>72</v>
      </c>
      <c r="AZ785" t="s">
        <v>72</v>
      </c>
      <c r="BA785" t="s">
        <v>72</v>
      </c>
      <c r="BB785" t="s">
        <v>72</v>
      </c>
      <c r="BC785" t="s">
        <v>72</v>
      </c>
      <c r="BD785">
        <v>4</v>
      </c>
      <c r="BE785" t="s">
        <v>16732</v>
      </c>
      <c r="BF785" t="str">
        <f>HYPERLINK("http://dx.doi.org/10.1140/epjds/s13688-021-00260-3","http://dx.doi.org/10.1140/epjds/s13688-021-00260-3")</f>
        <v>http://dx.doi.org/10.1140/epjds/s13688-021-00260-3</v>
      </c>
      <c r="BG785" t="s">
        <v>72</v>
      </c>
      <c r="BH785" t="s">
        <v>72</v>
      </c>
      <c r="BI785">
        <v>29</v>
      </c>
      <c r="BJ785" t="s">
        <v>16733</v>
      </c>
      <c r="BK785" t="s">
        <v>16734</v>
      </c>
      <c r="BL785" t="s">
        <v>16735</v>
      </c>
      <c r="BM785" t="s">
        <v>72</v>
      </c>
      <c r="BN785" t="s">
        <v>9710</v>
      </c>
      <c r="BO785" t="s">
        <v>72</v>
      </c>
      <c r="BP785" t="s">
        <v>72</v>
      </c>
      <c r="BQ785" t="s">
        <v>100</v>
      </c>
      <c r="BR785" t="s">
        <v>16736</v>
      </c>
      <c r="BS785" t="str">
        <f>HYPERLINK("https%3A%2F%2Fwww.webofscience.com%2Fwos%2Fwoscc%2Ffull-record%2FWOS:000612036500001","View Full Record in Web of Science")</f>
        <v>View Full Record in Web of Science</v>
      </c>
    </row>
    <row r="786" spans="1:71" hidden="1" x14ac:dyDescent="0.2">
      <c r="A786" t="s">
        <v>305</v>
      </c>
      <c r="B786" t="s">
        <v>602</v>
      </c>
      <c r="C786" t="s">
        <v>72</v>
      </c>
      <c r="D786" t="s">
        <v>72</v>
      </c>
      <c r="E786" t="s">
        <v>603</v>
      </c>
      <c r="F786" t="s">
        <v>604</v>
      </c>
      <c r="G786" t="s">
        <v>72</v>
      </c>
      <c r="H786" t="s">
        <v>72</v>
      </c>
      <c r="I786" t="s">
        <v>605</v>
      </c>
      <c r="J786" t="s">
        <v>606</v>
      </c>
      <c r="K786" t="s">
        <v>607</v>
      </c>
      <c r="L786" t="s">
        <v>72</v>
      </c>
      <c r="M786" t="s">
        <v>76</v>
      </c>
      <c r="N786" t="s">
        <v>312</v>
      </c>
      <c r="O786" t="s">
        <v>608</v>
      </c>
      <c r="P786" t="s">
        <v>609</v>
      </c>
      <c r="Q786" t="s">
        <v>610</v>
      </c>
      <c r="R786" t="s">
        <v>611</v>
      </c>
      <c r="S786" t="s">
        <v>72</v>
      </c>
      <c r="T786" t="s">
        <v>72</v>
      </c>
      <c r="U786" t="s">
        <v>72</v>
      </c>
      <c r="V786" t="s">
        <v>612</v>
      </c>
      <c r="W786" t="s">
        <v>613</v>
      </c>
      <c r="X786" t="s">
        <v>614</v>
      </c>
      <c r="Y786" t="s">
        <v>615</v>
      </c>
      <c r="Z786" t="s">
        <v>616</v>
      </c>
      <c r="AA786" t="s">
        <v>617</v>
      </c>
      <c r="AB786" t="s">
        <v>618</v>
      </c>
      <c r="AC786" t="s">
        <v>72</v>
      </c>
      <c r="AD786" t="s">
        <v>72</v>
      </c>
      <c r="AE786" t="s">
        <v>72</v>
      </c>
      <c r="AF786" t="s">
        <v>72</v>
      </c>
      <c r="AG786">
        <v>12</v>
      </c>
      <c r="AH786">
        <v>0</v>
      </c>
      <c r="AI786">
        <v>0</v>
      </c>
      <c r="AJ786">
        <v>0</v>
      </c>
      <c r="AK786">
        <v>0</v>
      </c>
      <c r="AL786" t="s">
        <v>619</v>
      </c>
      <c r="AM786" t="s">
        <v>620</v>
      </c>
      <c r="AN786" t="s">
        <v>621</v>
      </c>
      <c r="AO786" t="s">
        <v>622</v>
      </c>
      <c r="AP786" t="s">
        <v>623</v>
      </c>
      <c r="AQ786" t="s">
        <v>72</v>
      </c>
      <c r="AR786" t="s">
        <v>624</v>
      </c>
      <c r="AS786" t="s">
        <v>72</v>
      </c>
      <c r="AT786" t="s">
        <v>72</v>
      </c>
      <c r="AU786">
        <v>2020</v>
      </c>
      <c r="AV786">
        <v>1479</v>
      </c>
      <c r="AW786" t="s">
        <v>72</v>
      </c>
      <c r="AX786" t="s">
        <v>72</v>
      </c>
      <c r="AY786" t="s">
        <v>72</v>
      </c>
      <c r="AZ786" t="s">
        <v>72</v>
      </c>
      <c r="BA786" t="s">
        <v>72</v>
      </c>
      <c r="BB786" t="s">
        <v>72</v>
      </c>
      <c r="BC786" t="s">
        <v>72</v>
      </c>
      <c r="BD786">
        <v>12075</v>
      </c>
      <c r="BE786" t="s">
        <v>625</v>
      </c>
      <c r="BF786" t="str">
        <f>HYPERLINK("http://dx.doi.org/10.1088/1742-6596/1479/1/012075","http://dx.doi.org/10.1088/1742-6596/1479/1/012075")</f>
        <v>http://dx.doi.org/10.1088/1742-6596/1479/1/012075</v>
      </c>
      <c r="BG786" t="s">
        <v>72</v>
      </c>
      <c r="BH786" t="s">
        <v>72</v>
      </c>
      <c r="BI786">
        <v>9</v>
      </c>
      <c r="BJ786" t="s">
        <v>626</v>
      </c>
      <c r="BK786" t="s">
        <v>627</v>
      </c>
      <c r="BL786" t="s">
        <v>628</v>
      </c>
      <c r="BM786" t="s">
        <v>72</v>
      </c>
      <c r="BN786" t="s">
        <v>222</v>
      </c>
      <c r="BO786" t="s">
        <v>72</v>
      </c>
      <c r="BP786" t="s">
        <v>72</v>
      </c>
      <c r="BQ786" t="s">
        <v>100</v>
      </c>
      <c r="BR786" t="s">
        <v>629</v>
      </c>
      <c r="BS786" t="str">
        <f>HYPERLINK("https%3A%2F%2Fwww.webofscience.com%2Fwos%2Fwoscc%2Ffull-record%2FWOS:000583786400075","View Full Record in Web of Science")</f>
        <v>View Full Record in Web of Science</v>
      </c>
    </row>
    <row r="787" spans="1:71" hidden="1" x14ac:dyDescent="0.2">
      <c r="A787" t="s">
        <v>70</v>
      </c>
      <c r="B787" t="s">
        <v>11823</v>
      </c>
      <c r="C787" t="s">
        <v>72</v>
      </c>
      <c r="D787" t="s">
        <v>72</v>
      </c>
      <c r="E787" t="s">
        <v>72</v>
      </c>
      <c r="F787" t="s">
        <v>11824</v>
      </c>
      <c r="G787" t="s">
        <v>72</v>
      </c>
      <c r="H787" t="s">
        <v>72</v>
      </c>
      <c r="I787" t="s">
        <v>11825</v>
      </c>
      <c r="J787" t="s">
        <v>11826</v>
      </c>
      <c r="K787" t="s">
        <v>72</v>
      </c>
      <c r="L787" t="s">
        <v>72</v>
      </c>
      <c r="M787" t="s">
        <v>76</v>
      </c>
      <c r="N787" t="s">
        <v>77</v>
      </c>
      <c r="O787" t="s">
        <v>72</v>
      </c>
      <c r="P787" t="s">
        <v>72</v>
      </c>
      <c r="Q787" t="s">
        <v>72</v>
      </c>
      <c r="R787" t="s">
        <v>72</v>
      </c>
      <c r="S787" t="s">
        <v>72</v>
      </c>
      <c r="T787" t="s">
        <v>72</v>
      </c>
      <c r="U787" t="s">
        <v>11827</v>
      </c>
      <c r="V787" t="s">
        <v>11828</v>
      </c>
      <c r="W787" t="s">
        <v>11829</v>
      </c>
      <c r="X787" t="s">
        <v>11830</v>
      </c>
      <c r="Y787" t="s">
        <v>11831</v>
      </c>
      <c r="Z787" t="s">
        <v>11832</v>
      </c>
      <c r="AA787" t="s">
        <v>72</v>
      </c>
      <c r="AB787" t="s">
        <v>72</v>
      </c>
      <c r="AC787" t="s">
        <v>11833</v>
      </c>
      <c r="AD787" t="s">
        <v>11834</v>
      </c>
      <c r="AE787" t="s">
        <v>11835</v>
      </c>
      <c r="AF787" t="s">
        <v>72</v>
      </c>
      <c r="AG787">
        <v>34</v>
      </c>
      <c r="AH787">
        <v>0</v>
      </c>
      <c r="AI787">
        <v>0</v>
      </c>
      <c r="AJ787">
        <v>4</v>
      </c>
      <c r="AK787">
        <v>4</v>
      </c>
      <c r="AL787" t="s">
        <v>1807</v>
      </c>
      <c r="AM787" t="s">
        <v>337</v>
      </c>
      <c r="AN787" t="s">
        <v>1808</v>
      </c>
      <c r="AO787" t="s">
        <v>11836</v>
      </c>
      <c r="AP787" t="s">
        <v>11837</v>
      </c>
      <c r="AQ787" t="s">
        <v>72</v>
      </c>
      <c r="AR787" t="s">
        <v>11838</v>
      </c>
      <c r="AS787" t="s">
        <v>11839</v>
      </c>
      <c r="AT787" t="s">
        <v>11840</v>
      </c>
      <c r="AU787">
        <v>2022</v>
      </c>
      <c r="AV787">
        <v>2022</v>
      </c>
      <c r="AW787" t="s">
        <v>72</v>
      </c>
      <c r="AX787" t="s">
        <v>72</v>
      </c>
      <c r="AY787" t="s">
        <v>72</v>
      </c>
      <c r="AZ787" t="s">
        <v>72</v>
      </c>
      <c r="BA787" t="s">
        <v>72</v>
      </c>
      <c r="BB787" t="s">
        <v>72</v>
      </c>
      <c r="BC787" t="s">
        <v>72</v>
      </c>
      <c r="BD787">
        <v>9755719</v>
      </c>
      <c r="BE787" t="s">
        <v>11841</v>
      </c>
      <c r="BF787" t="str">
        <f>HYPERLINK("http://dx.doi.org/10.1155/2022/9755719","http://dx.doi.org/10.1155/2022/9755719")</f>
        <v>http://dx.doi.org/10.1155/2022/9755719</v>
      </c>
      <c r="BG787" t="s">
        <v>72</v>
      </c>
      <c r="BH787" t="s">
        <v>72</v>
      </c>
      <c r="BI787">
        <v>13</v>
      </c>
      <c r="BJ787" t="s">
        <v>11842</v>
      </c>
      <c r="BK787" t="s">
        <v>11843</v>
      </c>
      <c r="BL787" t="s">
        <v>11844</v>
      </c>
      <c r="BM787" t="s">
        <v>72</v>
      </c>
      <c r="BN787" t="s">
        <v>222</v>
      </c>
      <c r="BO787" t="s">
        <v>72</v>
      </c>
      <c r="BP787" t="s">
        <v>72</v>
      </c>
      <c r="BQ787" t="s">
        <v>100</v>
      </c>
      <c r="BR787" t="s">
        <v>11845</v>
      </c>
      <c r="BS787" t="str">
        <f>HYPERLINK("https%3A%2F%2Fwww.webofscience.com%2Fwos%2Fwoscc%2Ffull-record%2FWOS:000817575300001","View Full Record in Web of Science")</f>
        <v>View Full Record in Web of Science</v>
      </c>
    </row>
    <row r="788" spans="1:71" hidden="1" x14ac:dyDescent="0.2">
      <c r="A788" t="s">
        <v>561</v>
      </c>
      <c r="B788" t="s">
        <v>562</v>
      </c>
      <c r="C788" t="s">
        <v>72</v>
      </c>
      <c r="D788" t="s">
        <v>563</v>
      </c>
      <c r="E788" t="s">
        <v>72</v>
      </c>
      <c r="F788" t="s">
        <v>564</v>
      </c>
      <c r="G788" t="s">
        <v>72</v>
      </c>
      <c r="H788" t="s">
        <v>72</v>
      </c>
      <c r="I788" t="s">
        <v>565</v>
      </c>
      <c r="J788" t="s">
        <v>566</v>
      </c>
      <c r="K788" t="s">
        <v>72</v>
      </c>
      <c r="L788" t="s">
        <v>72</v>
      </c>
      <c r="M788" t="s">
        <v>76</v>
      </c>
      <c r="N788" t="s">
        <v>567</v>
      </c>
      <c r="O788" t="s">
        <v>72</v>
      </c>
      <c r="P788" t="s">
        <v>72</v>
      </c>
      <c r="Q788" t="s">
        <v>72</v>
      </c>
      <c r="R788" t="s">
        <v>72</v>
      </c>
      <c r="S788" t="s">
        <v>72</v>
      </c>
      <c r="T788" t="s">
        <v>72</v>
      </c>
      <c r="U788" t="s">
        <v>568</v>
      </c>
      <c r="V788" t="s">
        <v>72</v>
      </c>
      <c r="W788" t="s">
        <v>569</v>
      </c>
      <c r="X788" t="s">
        <v>570</v>
      </c>
      <c r="Y788" t="s">
        <v>571</v>
      </c>
      <c r="Z788" t="s">
        <v>72</v>
      </c>
      <c r="AA788" t="s">
        <v>72</v>
      </c>
      <c r="AB788" t="s">
        <v>572</v>
      </c>
      <c r="AC788" t="s">
        <v>72</v>
      </c>
      <c r="AD788" t="s">
        <v>72</v>
      </c>
      <c r="AE788" t="s">
        <v>72</v>
      </c>
      <c r="AF788" t="s">
        <v>72</v>
      </c>
      <c r="AG788">
        <v>98</v>
      </c>
      <c r="AH788">
        <v>0</v>
      </c>
      <c r="AI788">
        <v>0</v>
      </c>
      <c r="AJ788">
        <v>0</v>
      </c>
      <c r="AK788">
        <v>1</v>
      </c>
      <c r="AL788" t="s">
        <v>573</v>
      </c>
      <c r="AM788" t="s">
        <v>574</v>
      </c>
      <c r="AN788" t="s">
        <v>575</v>
      </c>
      <c r="AO788" t="s">
        <v>72</v>
      </c>
      <c r="AP788" t="s">
        <v>72</v>
      </c>
      <c r="AQ788" t="s">
        <v>576</v>
      </c>
      <c r="AR788" t="s">
        <v>72</v>
      </c>
      <c r="AS788" t="s">
        <v>72</v>
      </c>
      <c r="AT788" t="s">
        <v>72</v>
      </c>
      <c r="AU788">
        <v>2014</v>
      </c>
      <c r="AV788" t="s">
        <v>72</v>
      </c>
      <c r="AW788" t="s">
        <v>72</v>
      </c>
      <c r="AX788" t="s">
        <v>72</v>
      </c>
      <c r="AY788" t="s">
        <v>72</v>
      </c>
      <c r="AZ788" t="s">
        <v>72</v>
      </c>
      <c r="BA788" t="s">
        <v>72</v>
      </c>
      <c r="BB788">
        <v>99</v>
      </c>
      <c r="BC788">
        <v>139</v>
      </c>
      <c r="BD788" t="s">
        <v>72</v>
      </c>
      <c r="BE788" t="s">
        <v>577</v>
      </c>
      <c r="BF788" t="str">
        <f>HYPERLINK("http://dx.doi.org/10.1016/B978-0-12-401678-1.00005-1","http://dx.doi.org/10.1016/B978-0-12-401678-1.00005-1")</f>
        <v>http://dx.doi.org/10.1016/B978-0-12-401678-1.00005-1</v>
      </c>
      <c r="BG788" t="s">
        <v>72</v>
      </c>
      <c r="BH788" t="s">
        <v>72</v>
      </c>
      <c r="BI788">
        <v>41</v>
      </c>
      <c r="BJ788" t="s">
        <v>578</v>
      </c>
      <c r="BK788" t="s">
        <v>578</v>
      </c>
      <c r="BL788" t="s">
        <v>579</v>
      </c>
      <c r="BM788" t="s">
        <v>72</v>
      </c>
      <c r="BN788" t="s">
        <v>72</v>
      </c>
      <c r="BO788" t="s">
        <v>72</v>
      </c>
      <c r="BP788" t="s">
        <v>72</v>
      </c>
      <c r="BQ788" t="s">
        <v>100</v>
      </c>
      <c r="BR788" t="s">
        <v>580</v>
      </c>
      <c r="BS788" t="str">
        <f>HYPERLINK("https%3A%2F%2Fwww.webofscience.com%2Fwos%2Fwoscc%2Ffull-record%2FWOS:000333977700005","View Full Record in Web of Science")</f>
        <v>View Full Record in Web of Science</v>
      </c>
    </row>
    <row r="789" spans="1:71" hidden="1" x14ac:dyDescent="0.2">
      <c r="A789" t="s">
        <v>70</v>
      </c>
      <c r="B789" t="s">
        <v>11640</v>
      </c>
      <c r="C789" t="s">
        <v>72</v>
      </c>
      <c r="D789" t="s">
        <v>72</v>
      </c>
      <c r="E789" t="s">
        <v>72</v>
      </c>
      <c r="F789" t="s">
        <v>11641</v>
      </c>
      <c r="G789" t="s">
        <v>72</v>
      </c>
      <c r="H789" t="s">
        <v>72</v>
      </c>
      <c r="I789" t="s">
        <v>11642</v>
      </c>
      <c r="J789" t="s">
        <v>11643</v>
      </c>
      <c r="K789" t="s">
        <v>72</v>
      </c>
      <c r="L789" t="s">
        <v>72</v>
      </c>
      <c r="M789" t="s">
        <v>76</v>
      </c>
      <c r="N789" t="s">
        <v>77</v>
      </c>
      <c r="O789" t="s">
        <v>72</v>
      </c>
      <c r="P789" t="s">
        <v>72</v>
      </c>
      <c r="Q789" t="s">
        <v>72</v>
      </c>
      <c r="R789" t="s">
        <v>72</v>
      </c>
      <c r="S789" t="s">
        <v>72</v>
      </c>
      <c r="T789" t="s">
        <v>11644</v>
      </c>
      <c r="U789" t="s">
        <v>11645</v>
      </c>
      <c r="V789" t="s">
        <v>11646</v>
      </c>
      <c r="W789" t="s">
        <v>11647</v>
      </c>
      <c r="X789" t="s">
        <v>11648</v>
      </c>
      <c r="Y789" t="s">
        <v>11649</v>
      </c>
      <c r="Z789" t="s">
        <v>11650</v>
      </c>
      <c r="AA789" t="s">
        <v>72</v>
      </c>
      <c r="AB789" t="s">
        <v>11651</v>
      </c>
      <c r="AC789" t="s">
        <v>11652</v>
      </c>
      <c r="AD789" t="s">
        <v>11653</v>
      </c>
      <c r="AE789" t="s">
        <v>11654</v>
      </c>
      <c r="AF789" t="s">
        <v>72</v>
      </c>
      <c r="AG789">
        <v>62</v>
      </c>
      <c r="AH789">
        <v>6</v>
      </c>
      <c r="AI789">
        <v>6</v>
      </c>
      <c r="AJ789">
        <v>2</v>
      </c>
      <c r="AK789">
        <v>19</v>
      </c>
      <c r="AL789" t="s">
        <v>8480</v>
      </c>
      <c r="AM789" t="s">
        <v>2317</v>
      </c>
      <c r="AN789" t="s">
        <v>8481</v>
      </c>
      <c r="AO789" t="s">
        <v>72</v>
      </c>
      <c r="AP789" t="s">
        <v>11655</v>
      </c>
      <c r="AQ789" t="s">
        <v>72</v>
      </c>
      <c r="AR789" t="s">
        <v>11656</v>
      </c>
      <c r="AS789" t="s">
        <v>11657</v>
      </c>
      <c r="AT789" t="s">
        <v>299</v>
      </c>
      <c r="AU789">
        <v>2020</v>
      </c>
      <c r="AV789">
        <v>8</v>
      </c>
      <c r="AW789">
        <v>6</v>
      </c>
      <c r="AX789" t="s">
        <v>72</v>
      </c>
      <c r="AY789" t="s">
        <v>72</v>
      </c>
      <c r="AZ789" t="s">
        <v>72</v>
      </c>
      <c r="BA789" t="s">
        <v>72</v>
      </c>
      <c r="BB789" t="s">
        <v>72</v>
      </c>
      <c r="BC789" t="s">
        <v>72</v>
      </c>
      <c r="BD789" t="s">
        <v>11658</v>
      </c>
      <c r="BE789" t="s">
        <v>11659</v>
      </c>
      <c r="BF789" t="str">
        <f>HYPERLINK("http://dx.doi.org/10.2196/18441","http://dx.doi.org/10.2196/18441")</f>
        <v>http://dx.doi.org/10.2196/18441</v>
      </c>
      <c r="BG789" t="s">
        <v>72</v>
      </c>
      <c r="BH789" t="s">
        <v>72</v>
      </c>
      <c r="BI789">
        <v>11</v>
      </c>
      <c r="BJ789" t="s">
        <v>578</v>
      </c>
      <c r="BK789" t="s">
        <v>578</v>
      </c>
      <c r="BL789" t="s">
        <v>11660</v>
      </c>
      <c r="BM789">
        <v>32602843</v>
      </c>
      <c r="BN789" t="s">
        <v>910</v>
      </c>
      <c r="BO789" t="s">
        <v>72</v>
      </c>
      <c r="BP789" t="s">
        <v>72</v>
      </c>
      <c r="BQ789" t="s">
        <v>100</v>
      </c>
      <c r="BR789" t="s">
        <v>11661</v>
      </c>
      <c r="BS789" t="str">
        <f>HYPERLINK("https%3A%2F%2Fwww.webofscience.com%2Fwos%2Fwoscc%2Ffull-record%2FWOS:000546388900022","View Full Record in Web of Science")</f>
        <v>View Full Record in Web of Science</v>
      </c>
    </row>
    <row r="790" spans="1:71" hidden="1" x14ac:dyDescent="0.2">
      <c r="A790" t="s">
        <v>70</v>
      </c>
      <c r="B790" t="s">
        <v>17322</v>
      </c>
      <c r="C790" t="s">
        <v>72</v>
      </c>
      <c r="D790" t="s">
        <v>72</v>
      </c>
      <c r="E790" t="s">
        <v>72</v>
      </c>
      <c r="F790" t="s">
        <v>17323</v>
      </c>
      <c r="G790" t="s">
        <v>72</v>
      </c>
      <c r="H790" t="s">
        <v>72</v>
      </c>
      <c r="I790" t="s">
        <v>17324</v>
      </c>
      <c r="J790" t="s">
        <v>11643</v>
      </c>
      <c r="K790" t="s">
        <v>72</v>
      </c>
      <c r="L790" t="s">
        <v>72</v>
      </c>
      <c r="M790" t="s">
        <v>76</v>
      </c>
      <c r="N790" t="s">
        <v>77</v>
      </c>
      <c r="O790" t="s">
        <v>72</v>
      </c>
      <c r="P790" t="s">
        <v>72</v>
      </c>
      <c r="Q790" t="s">
        <v>72</v>
      </c>
      <c r="R790" t="s">
        <v>72</v>
      </c>
      <c r="S790" t="s">
        <v>72</v>
      </c>
      <c r="T790" t="s">
        <v>17325</v>
      </c>
      <c r="U790" t="s">
        <v>72</v>
      </c>
      <c r="V790" t="s">
        <v>17326</v>
      </c>
      <c r="W790" t="s">
        <v>17327</v>
      </c>
      <c r="X790" t="s">
        <v>17328</v>
      </c>
      <c r="Y790" t="s">
        <v>17329</v>
      </c>
      <c r="Z790" t="s">
        <v>17330</v>
      </c>
      <c r="AA790" t="s">
        <v>17331</v>
      </c>
      <c r="AB790" t="s">
        <v>17332</v>
      </c>
      <c r="AC790" t="s">
        <v>17333</v>
      </c>
      <c r="AD790" t="s">
        <v>17333</v>
      </c>
      <c r="AE790" t="s">
        <v>17334</v>
      </c>
      <c r="AF790" t="s">
        <v>72</v>
      </c>
      <c r="AG790">
        <v>37</v>
      </c>
      <c r="AH790">
        <v>0</v>
      </c>
      <c r="AI790">
        <v>0</v>
      </c>
      <c r="AJ790">
        <v>2</v>
      </c>
      <c r="AK790">
        <v>3</v>
      </c>
      <c r="AL790" t="s">
        <v>8480</v>
      </c>
      <c r="AM790" t="s">
        <v>2317</v>
      </c>
      <c r="AN790" t="s">
        <v>8481</v>
      </c>
      <c r="AO790" t="s">
        <v>72</v>
      </c>
      <c r="AP790" t="s">
        <v>11655</v>
      </c>
      <c r="AQ790" t="s">
        <v>72</v>
      </c>
      <c r="AR790" t="s">
        <v>11656</v>
      </c>
      <c r="AS790" t="s">
        <v>11657</v>
      </c>
      <c r="AT790" t="s">
        <v>951</v>
      </c>
      <c r="AU790">
        <v>2021</v>
      </c>
      <c r="AV790">
        <v>9</v>
      </c>
      <c r="AW790">
        <v>11</v>
      </c>
      <c r="AX790" t="s">
        <v>72</v>
      </c>
      <c r="AY790" t="s">
        <v>72</v>
      </c>
      <c r="AZ790" t="s">
        <v>72</v>
      </c>
      <c r="BA790" t="s">
        <v>72</v>
      </c>
      <c r="BB790" t="s">
        <v>72</v>
      </c>
      <c r="BC790" t="s">
        <v>72</v>
      </c>
      <c r="BD790" t="s">
        <v>17335</v>
      </c>
      <c r="BE790" t="s">
        <v>17336</v>
      </c>
      <c r="BF790" t="str">
        <f>HYPERLINK("http://dx.doi.org/10.2196/31510","http://dx.doi.org/10.2196/31510")</f>
        <v>http://dx.doi.org/10.2196/31510</v>
      </c>
      <c r="BG790" t="s">
        <v>72</v>
      </c>
      <c r="BH790" t="s">
        <v>72</v>
      </c>
      <c r="BI790">
        <v>28</v>
      </c>
      <c r="BJ790" t="s">
        <v>578</v>
      </c>
      <c r="BK790" t="s">
        <v>578</v>
      </c>
      <c r="BL790" t="s">
        <v>17337</v>
      </c>
      <c r="BM790">
        <v>34596570</v>
      </c>
      <c r="BN790" t="s">
        <v>1975</v>
      </c>
      <c r="BO790" t="s">
        <v>72</v>
      </c>
      <c r="BP790" t="s">
        <v>72</v>
      </c>
      <c r="BQ790" t="s">
        <v>100</v>
      </c>
      <c r="BR790" t="s">
        <v>17338</v>
      </c>
      <c r="BS790" t="str">
        <f>HYPERLINK("https%3A%2F%2Fwww.webofscience.com%2Fwos%2Fwoscc%2Ffull-record%2FWOS:000738580700006","View Full Record in Web of Science")</f>
        <v>View Full Record in Web of Science</v>
      </c>
    </row>
    <row r="791" spans="1:71" hidden="1" x14ac:dyDescent="0.2">
      <c r="A791" t="s">
        <v>70</v>
      </c>
      <c r="B791" t="s">
        <v>16619</v>
      </c>
      <c r="C791" t="s">
        <v>72</v>
      </c>
      <c r="D791" t="s">
        <v>72</v>
      </c>
      <c r="E791" t="s">
        <v>72</v>
      </c>
      <c r="F791" t="s">
        <v>16620</v>
      </c>
      <c r="G791" t="s">
        <v>72</v>
      </c>
      <c r="H791" t="s">
        <v>72</v>
      </c>
      <c r="I791" t="s">
        <v>16621</v>
      </c>
      <c r="J791" t="s">
        <v>16622</v>
      </c>
      <c r="K791" t="s">
        <v>72</v>
      </c>
      <c r="L791" t="s">
        <v>72</v>
      </c>
      <c r="M791" t="s">
        <v>76</v>
      </c>
      <c r="N791" t="s">
        <v>1503</v>
      </c>
      <c r="O791" t="s">
        <v>72</v>
      </c>
      <c r="P791" t="s">
        <v>72</v>
      </c>
      <c r="Q791" t="s">
        <v>72</v>
      </c>
      <c r="R791" t="s">
        <v>72</v>
      </c>
      <c r="S791" t="s">
        <v>72</v>
      </c>
      <c r="T791" t="s">
        <v>16623</v>
      </c>
      <c r="U791" t="s">
        <v>16624</v>
      </c>
      <c r="V791" t="s">
        <v>16625</v>
      </c>
      <c r="W791" t="s">
        <v>16626</v>
      </c>
      <c r="X791" t="s">
        <v>16627</v>
      </c>
      <c r="Y791" t="s">
        <v>16628</v>
      </c>
      <c r="Z791" t="s">
        <v>16629</v>
      </c>
      <c r="AA791" t="s">
        <v>16630</v>
      </c>
      <c r="AB791" t="s">
        <v>16631</v>
      </c>
      <c r="AC791" t="s">
        <v>16632</v>
      </c>
      <c r="AD791" t="s">
        <v>16633</v>
      </c>
      <c r="AE791" t="s">
        <v>16634</v>
      </c>
      <c r="AF791" t="s">
        <v>72</v>
      </c>
      <c r="AG791">
        <v>61</v>
      </c>
      <c r="AH791">
        <v>1</v>
      </c>
      <c r="AI791">
        <v>1</v>
      </c>
      <c r="AJ791">
        <v>5</v>
      </c>
      <c r="AK791">
        <v>29</v>
      </c>
      <c r="AL791" t="s">
        <v>1461</v>
      </c>
      <c r="AM791" t="s">
        <v>1462</v>
      </c>
      <c r="AN791" t="s">
        <v>1463</v>
      </c>
      <c r="AO791" t="s">
        <v>16635</v>
      </c>
      <c r="AP791" t="s">
        <v>72</v>
      </c>
      <c r="AQ791" t="s">
        <v>72</v>
      </c>
      <c r="AR791" t="s">
        <v>16636</v>
      </c>
      <c r="AS791" t="s">
        <v>16637</v>
      </c>
      <c r="AT791" t="s">
        <v>929</v>
      </c>
      <c r="AU791">
        <v>2020</v>
      </c>
      <c r="AV791">
        <v>6</v>
      </c>
      <c r="AW791">
        <v>4</v>
      </c>
      <c r="AX791" t="s">
        <v>72</v>
      </c>
      <c r="AY791" t="s">
        <v>72</v>
      </c>
      <c r="AZ791" t="s">
        <v>72</v>
      </c>
      <c r="BA791" t="s">
        <v>72</v>
      </c>
      <c r="BB791">
        <v>155</v>
      </c>
      <c r="BC791">
        <v>165</v>
      </c>
      <c r="BD791" t="s">
        <v>72</v>
      </c>
      <c r="BE791" t="s">
        <v>16638</v>
      </c>
      <c r="BF791" t="str">
        <f>HYPERLINK("http://dx.doi.org/10.1007/s40641-020-00163-x","http://dx.doi.org/10.1007/s40641-020-00163-x")</f>
        <v>http://dx.doi.org/10.1007/s40641-020-00163-x</v>
      </c>
      <c r="BG791" t="s">
        <v>72</v>
      </c>
      <c r="BH791" t="s">
        <v>5788</v>
      </c>
      <c r="BI791">
        <v>11</v>
      </c>
      <c r="BJ791" t="s">
        <v>16639</v>
      </c>
      <c r="BK791" t="s">
        <v>16639</v>
      </c>
      <c r="BL791" t="s">
        <v>16640</v>
      </c>
      <c r="BM791" t="s">
        <v>72</v>
      </c>
      <c r="BN791" t="s">
        <v>280</v>
      </c>
      <c r="BO791" t="s">
        <v>72</v>
      </c>
      <c r="BP791" t="s">
        <v>72</v>
      </c>
      <c r="BQ791" t="s">
        <v>100</v>
      </c>
      <c r="BR791" t="s">
        <v>16641</v>
      </c>
      <c r="BS791" t="str">
        <f>HYPERLINK("https%3A%2F%2Fwww.webofscience.com%2Fwos%2Fwoscc%2Ffull-record%2FWOS:000574379900001","View Full Record in Web of Science")</f>
        <v>View Full Record in Web of Science</v>
      </c>
    </row>
    <row r="792" spans="1:71" hidden="1" x14ac:dyDescent="0.2">
      <c r="A792" t="s">
        <v>70</v>
      </c>
      <c r="B792" t="s">
        <v>11932</v>
      </c>
      <c r="C792" t="s">
        <v>72</v>
      </c>
      <c r="D792" t="s">
        <v>72</v>
      </c>
      <c r="E792" t="s">
        <v>72</v>
      </c>
      <c r="F792" t="s">
        <v>11933</v>
      </c>
      <c r="G792" t="s">
        <v>72</v>
      </c>
      <c r="H792" t="s">
        <v>72</v>
      </c>
      <c r="I792" t="s">
        <v>11934</v>
      </c>
      <c r="J792" t="s">
        <v>11935</v>
      </c>
      <c r="K792" t="s">
        <v>72</v>
      </c>
      <c r="L792" t="s">
        <v>72</v>
      </c>
      <c r="M792" t="s">
        <v>11936</v>
      </c>
      <c r="N792" t="s">
        <v>77</v>
      </c>
      <c r="O792" t="s">
        <v>72</v>
      </c>
      <c r="P792" t="s">
        <v>72</v>
      </c>
      <c r="Q792" t="s">
        <v>72</v>
      </c>
      <c r="R792" t="s">
        <v>72</v>
      </c>
      <c r="S792" t="s">
        <v>72</v>
      </c>
      <c r="T792" t="s">
        <v>72</v>
      </c>
      <c r="U792" t="s">
        <v>11937</v>
      </c>
      <c r="V792" t="s">
        <v>11938</v>
      </c>
      <c r="W792" t="s">
        <v>11939</v>
      </c>
      <c r="X792" t="s">
        <v>11940</v>
      </c>
      <c r="Y792" t="s">
        <v>11941</v>
      </c>
      <c r="Z792" t="s">
        <v>11942</v>
      </c>
      <c r="AA792" t="s">
        <v>72</v>
      </c>
      <c r="AB792" t="s">
        <v>72</v>
      </c>
      <c r="AC792" t="s">
        <v>72</v>
      </c>
      <c r="AD792" t="s">
        <v>72</v>
      </c>
      <c r="AE792" t="s">
        <v>72</v>
      </c>
      <c r="AF792" t="s">
        <v>72</v>
      </c>
      <c r="AG792">
        <v>151</v>
      </c>
      <c r="AH792">
        <v>0</v>
      </c>
      <c r="AI792">
        <v>0</v>
      </c>
      <c r="AJ792">
        <v>0</v>
      </c>
      <c r="AK792">
        <v>0</v>
      </c>
      <c r="AL792" t="s">
        <v>11943</v>
      </c>
      <c r="AM792" t="s">
        <v>658</v>
      </c>
      <c r="AN792" t="s">
        <v>11944</v>
      </c>
      <c r="AO792" t="s">
        <v>11945</v>
      </c>
      <c r="AP792" t="s">
        <v>72</v>
      </c>
      <c r="AQ792" t="s">
        <v>72</v>
      </c>
      <c r="AR792" t="s">
        <v>11946</v>
      </c>
      <c r="AS792" t="s">
        <v>11947</v>
      </c>
      <c r="AT792" t="s">
        <v>72</v>
      </c>
      <c r="AU792">
        <v>2018</v>
      </c>
      <c r="AV792">
        <v>104</v>
      </c>
      <c r="AW792" t="s">
        <v>2757</v>
      </c>
      <c r="AX792" t="s">
        <v>72</v>
      </c>
      <c r="AY792" t="s">
        <v>72</v>
      </c>
      <c r="AZ792" t="s">
        <v>72</v>
      </c>
      <c r="BA792" t="s">
        <v>72</v>
      </c>
      <c r="BB792">
        <v>103</v>
      </c>
      <c r="BC792">
        <v>118</v>
      </c>
      <c r="BD792" t="s">
        <v>72</v>
      </c>
      <c r="BE792" t="s">
        <v>72</v>
      </c>
      <c r="BF792" t="s">
        <v>72</v>
      </c>
      <c r="BG792" t="s">
        <v>72</v>
      </c>
      <c r="BH792" t="s">
        <v>72</v>
      </c>
      <c r="BI792">
        <v>16</v>
      </c>
      <c r="BJ792" t="s">
        <v>11948</v>
      </c>
      <c r="BK792" t="s">
        <v>11948</v>
      </c>
      <c r="BL792" t="s">
        <v>11949</v>
      </c>
      <c r="BM792" t="s">
        <v>72</v>
      </c>
      <c r="BN792" t="s">
        <v>72</v>
      </c>
      <c r="BO792" t="s">
        <v>72</v>
      </c>
      <c r="BP792" t="s">
        <v>72</v>
      </c>
      <c r="BQ792" t="s">
        <v>100</v>
      </c>
      <c r="BR792" t="s">
        <v>11950</v>
      </c>
      <c r="BS792" t="str">
        <f>HYPERLINK("https%3A%2F%2Fwww.webofscience.com%2Fwos%2Fwoscc%2Ffull-record%2FWOS:000454460200005","View Full Record in Web of Science")</f>
        <v>View Full Record in Web of Science</v>
      </c>
    </row>
    <row r="793" spans="1:71" hidden="1" x14ac:dyDescent="0.2">
      <c r="A793" t="s">
        <v>70</v>
      </c>
      <c r="B793" t="s">
        <v>16307</v>
      </c>
      <c r="C793" t="s">
        <v>72</v>
      </c>
      <c r="D793" t="s">
        <v>72</v>
      </c>
      <c r="E793" t="s">
        <v>72</v>
      </c>
      <c r="F793" t="s">
        <v>16308</v>
      </c>
      <c r="G793" t="s">
        <v>72</v>
      </c>
      <c r="H793" t="s">
        <v>72</v>
      </c>
      <c r="I793" t="s">
        <v>16309</v>
      </c>
      <c r="J793" t="s">
        <v>16310</v>
      </c>
      <c r="K793" t="s">
        <v>72</v>
      </c>
      <c r="L793" t="s">
        <v>72</v>
      </c>
      <c r="M793" t="s">
        <v>76</v>
      </c>
      <c r="N793" t="s">
        <v>77</v>
      </c>
      <c r="O793" t="s">
        <v>72</v>
      </c>
      <c r="P793" t="s">
        <v>72</v>
      </c>
      <c r="Q793" t="s">
        <v>72</v>
      </c>
      <c r="R793" t="s">
        <v>72</v>
      </c>
      <c r="S793" t="s">
        <v>72</v>
      </c>
      <c r="T793" t="s">
        <v>16311</v>
      </c>
      <c r="U793" t="s">
        <v>72</v>
      </c>
      <c r="V793" t="s">
        <v>16312</v>
      </c>
      <c r="W793" t="s">
        <v>16313</v>
      </c>
      <c r="X793" t="s">
        <v>16314</v>
      </c>
      <c r="Y793" t="s">
        <v>16315</v>
      </c>
      <c r="Z793" t="s">
        <v>16316</v>
      </c>
      <c r="AA793" t="s">
        <v>16317</v>
      </c>
      <c r="AB793" t="s">
        <v>16318</v>
      </c>
      <c r="AC793" t="s">
        <v>72</v>
      </c>
      <c r="AD793" t="s">
        <v>72</v>
      </c>
      <c r="AE793" t="s">
        <v>72</v>
      </c>
      <c r="AF793" t="s">
        <v>72</v>
      </c>
      <c r="AG793">
        <v>13</v>
      </c>
      <c r="AH793">
        <v>2</v>
      </c>
      <c r="AI793">
        <v>2</v>
      </c>
      <c r="AJ793">
        <v>0</v>
      </c>
      <c r="AK793">
        <v>7</v>
      </c>
      <c r="AL793" t="s">
        <v>16319</v>
      </c>
      <c r="AM793" t="s">
        <v>16320</v>
      </c>
      <c r="AN793" t="s">
        <v>16321</v>
      </c>
      <c r="AO793" t="s">
        <v>16322</v>
      </c>
      <c r="AP793" t="s">
        <v>72</v>
      </c>
      <c r="AQ793" t="s">
        <v>72</v>
      </c>
      <c r="AR793" t="s">
        <v>16323</v>
      </c>
      <c r="AS793" t="s">
        <v>16324</v>
      </c>
      <c r="AT793" t="s">
        <v>299</v>
      </c>
      <c r="AU793">
        <v>2007</v>
      </c>
      <c r="AV793">
        <v>38</v>
      </c>
      <c r="AW793">
        <v>1</v>
      </c>
      <c r="AX793" t="s">
        <v>72</v>
      </c>
      <c r="AY793" t="s">
        <v>72</v>
      </c>
      <c r="AZ793" t="s">
        <v>72</v>
      </c>
      <c r="BA793" t="s">
        <v>72</v>
      </c>
      <c r="BB793">
        <v>71</v>
      </c>
      <c r="BC793">
        <v>89</v>
      </c>
      <c r="BD793" t="s">
        <v>72</v>
      </c>
      <c r="BE793" t="s">
        <v>72</v>
      </c>
      <c r="BF793" t="s">
        <v>72</v>
      </c>
      <c r="BG793" t="s">
        <v>72</v>
      </c>
      <c r="BH793" t="s">
        <v>72</v>
      </c>
      <c r="BI793">
        <v>19</v>
      </c>
      <c r="BJ793" t="s">
        <v>11948</v>
      </c>
      <c r="BK793" t="s">
        <v>11948</v>
      </c>
      <c r="BL793" t="s">
        <v>16325</v>
      </c>
      <c r="BM793" t="s">
        <v>72</v>
      </c>
      <c r="BN793" t="s">
        <v>72</v>
      </c>
      <c r="BO793" t="s">
        <v>72</v>
      </c>
      <c r="BP793" t="s">
        <v>72</v>
      </c>
      <c r="BQ793" t="s">
        <v>100</v>
      </c>
      <c r="BR793" t="s">
        <v>16326</v>
      </c>
      <c r="BS793" t="str">
        <f>HYPERLINK("https%3A%2F%2Fwww.webofscience.com%2Fwos%2Fwoscc%2Ffull-record%2FWOS:000250305200005","View Full Record in Web of Science")</f>
        <v>View Full Record in Web of Science</v>
      </c>
    </row>
    <row r="794" spans="1:71" hidden="1" x14ac:dyDescent="0.2">
      <c r="A794" t="s">
        <v>70</v>
      </c>
      <c r="B794" t="s">
        <v>7901</v>
      </c>
      <c r="C794" t="s">
        <v>72</v>
      </c>
      <c r="D794" t="s">
        <v>72</v>
      </c>
      <c r="E794" t="s">
        <v>72</v>
      </c>
      <c r="F794" t="s">
        <v>7902</v>
      </c>
      <c r="G794" t="s">
        <v>72</v>
      </c>
      <c r="H794" t="s">
        <v>72</v>
      </c>
      <c r="I794" t="s">
        <v>7903</v>
      </c>
      <c r="J794" t="s">
        <v>7904</v>
      </c>
      <c r="K794" t="s">
        <v>72</v>
      </c>
      <c r="L794" t="s">
        <v>72</v>
      </c>
      <c r="M794" t="s">
        <v>76</v>
      </c>
      <c r="N794" t="s">
        <v>3914</v>
      </c>
      <c r="O794" t="s">
        <v>72</v>
      </c>
      <c r="P794" t="s">
        <v>72</v>
      </c>
      <c r="Q794" t="s">
        <v>72</v>
      </c>
      <c r="R794" t="s">
        <v>72</v>
      </c>
      <c r="S794" t="s">
        <v>72</v>
      </c>
      <c r="T794" t="s">
        <v>7905</v>
      </c>
      <c r="U794" t="s">
        <v>7906</v>
      </c>
      <c r="V794" t="s">
        <v>7907</v>
      </c>
      <c r="W794" t="s">
        <v>7908</v>
      </c>
      <c r="X794" t="s">
        <v>7909</v>
      </c>
      <c r="Y794" t="s">
        <v>7910</v>
      </c>
      <c r="Z794" t="s">
        <v>7911</v>
      </c>
      <c r="AA794" t="s">
        <v>7912</v>
      </c>
      <c r="AB794" t="s">
        <v>7913</v>
      </c>
      <c r="AC794" t="s">
        <v>7914</v>
      </c>
      <c r="AD794" t="s">
        <v>7915</v>
      </c>
      <c r="AE794" t="s">
        <v>7916</v>
      </c>
      <c r="AF794" t="s">
        <v>72</v>
      </c>
      <c r="AG794">
        <v>123</v>
      </c>
      <c r="AH794">
        <v>0</v>
      </c>
      <c r="AI794">
        <v>0</v>
      </c>
      <c r="AJ794">
        <v>7</v>
      </c>
      <c r="AK794">
        <v>7</v>
      </c>
      <c r="AL794" t="s">
        <v>269</v>
      </c>
      <c r="AM794" t="s">
        <v>270</v>
      </c>
      <c r="AN794" t="s">
        <v>271</v>
      </c>
      <c r="AO794" t="s">
        <v>7917</v>
      </c>
      <c r="AP794" t="s">
        <v>7918</v>
      </c>
      <c r="AQ794" t="s">
        <v>72</v>
      </c>
      <c r="AR794" t="s">
        <v>7919</v>
      </c>
      <c r="AS794" t="s">
        <v>7920</v>
      </c>
      <c r="AT794" t="s">
        <v>72</v>
      </c>
      <c r="AU794" t="s">
        <v>72</v>
      </c>
      <c r="AV794" t="s">
        <v>72</v>
      </c>
      <c r="AW794" t="s">
        <v>72</v>
      </c>
      <c r="AX794" t="s">
        <v>72</v>
      </c>
      <c r="AY794" t="s">
        <v>72</v>
      </c>
      <c r="AZ794" t="s">
        <v>72</v>
      </c>
      <c r="BA794" t="s">
        <v>72</v>
      </c>
      <c r="BB794" t="s">
        <v>72</v>
      </c>
      <c r="BC794" t="s">
        <v>72</v>
      </c>
      <c r="BD794" t="s">
        <v>72</v>
      </c>
      <c r="BE794" t="s">
        <v>7921</v>
      </c>
      <c r="BF794" t="str">
        <f>HYPERLINK("http://dx.doi.org/10.1080/00295450.2022.2067461","http://dx.doi.org/10.1080/00295450.2022.2067461")</f>
        <v>http://dx.doi.org/10.1080/00295450.2022.2067461</v>
      </c>
      <c r="BG794" t="s">
        <v>72</v>
      </c>
      <c r="BH794" t="s">
        <v>988</v>
      </c>
      <c r="BI794">
        <v>19</v>
      </c>
      <c r="BJ794" t="s">
        <v>7922</v>
      </c>
      <c r="BK794" t="s">
        <v>7922</v>
      </c>
      <c r="BL794" t="s">
        <v>7923</v>
      </c>
      <c r="BM794" t="s">
        <v>72</v>
      </c>
      <c r="BN794" t="s">
        <v>280</v>
      </c>
      <c r="BO794" t="s">
        <v>72</v>
      </c>
      <c r="BP794" t="s">
        <v>72</v>
      </c>
      <c r="BQ794" t="s">
        <v>100</v>
      </c>
      <c r="BR794" t="s">
        <v>7924</v>
      </c>
      <c r="BS794" t="str">
        <f>HYPERLINK("https%3A%2F%2Fwww.webofscience.com%2Fwos%2Fwoscc%2Ffull-record%2FWOS:000817277800001","View Full Record in Web of Science")</f>
        <v>View Full Record in Web of Science</v>
      </c>
    </row>
    <row r="795" spans="1:71" hidden="1" x14ac:dyDescent="0.2">
      <c r="A795" t="s">
        <v>70</v>
      </c>
      <c r="B795" t="s">
        <v>15744</v>
      </c>
      <c r="C795" t="s">
        <v>72</v>
      </c>
      <c r="D795" t="s">
        <v>72</v>
      </c>
      <c r="E795" t="s">
        <v>72</v>
      </c>
      <c r="F795" t="s">
        <v>15745</v>
      </c>
      <c r="G795" t="s">
        <v>72</v>
      </c>
      <c r="H795" t="s">
        <v>72</v>
      </c>
      <c r="I795" t="s">
        <v>15746</v>
      </c>
      <c r="J795" t="s">
        <v>15747</v>
      </c>
      <c r="K795" t="s">
        <v>72</v>
      </c>
      <c r="L795" t="s">
        <v>72</v>
      </c>
      <c r="M795" t="s">
        <v>76</v>
      </c>
      <c r="N795" t="s">
        <v>77</v>
      </c>
      <c r="O795" t="s">
        <v>72</v>
      </c>
      <c r="P795" t="s">
        <v>72</v>
      </c>
      <c r="Q795" t="s">
        <v>72</v>
      </c>
      <c r="R795" t="s">
        <v>72</v>
      </c>
      <c r="S795" t="s">
        <v>72</v>
      </c>
      <c r="T795" t="s">
        <v>15748</v>
      </c>
      <c r="U795" t="s">
        <v>15749</v>
      </c>
      <c r="V795" t="s">
        <v>15750</v>
      </c>
      <c r="W795" t="s">
        <v>15751</v>
      </c>
      <c r="X795" t="s">
        <v>15752</v>
      </c>
      <c r="Y795" t="s">
        <v>15753</v>
      </c>
      <c r="Z795" t="s">
        <v>15754</v>
      </c>
      <c r="AA795" t="s">
        <v>15755</v>
      </c>
      <c r="AB795" t="s">
        <v>15756</v>
      </c>
      <c r="AC795" t="s">
        <v>15757</v>
      </c>
      <c r="AD795" t="s">
        <v>15758</v>
      </c>
      <c r="AE795" t="s">
        <v>15759</v>
      </c>
      <c r="AF795" t="s">
        <v>72</v>
      </c>
      <c r="AG795">
        <v>40</v>
      </c>
      <c r="AH795">
        <v>5</v>
      </c>
      <c r="AI795">
        <v>5</v>
      </c>
      <c r="AJ795">
        <v>1</v>
      </c>
      <c r="AK795">
        <v>7</v>
      </c>
      <c r="AL795" t="s">
        <v>924</v>
      </c>
      <c r="AM795" t="s">
        <v>168</v>
      </c>
      <c r="AN795" t="s">
        <v>925</v>
      </c>
      <c r="AO795" t="s">
        <v>15760</v>
      </c>
      <c r="AP795" t="s">
        <v>15761</v>
      </c>
      <c r="AQ795" t="s">
        <v>72</v>
      </c>
      <c r="AR795" t="s">
        <v>15762</v>
      </c>
      <c r="AS795" t="s">
        <v>15763</v>
      </c>
      <c r="AT795" t="s">
        <v>1602</v>
      </c>
      <c r="AU795">
        <v>2019</v>
      </c>
      <c r="AV795">
        <v>32</v>
      </c>
      <c r="AW795">
        <v>1</v>
      </c>
      <c r="AX795" t="s">
        <v>72</v>
      </c>
      <c r="AY795" t="s">
        <v>72</v>
      </c>
      <c r="AZ795" t="s">
        <v>72</v>
      </c>
      <c r="BA795" t="s">
        <v>72</v>
      </c>
      <c r="BB795" t="s">
        <v>15764</v>
      </c>
      <c r="BC795" t="s">
        <v>15765</v>
      </c>
      <c r="BD795" t="s">
        <v>72</v>
      </c>
      <c r="BE795" t="s">
        <v>15766</v>
      </c>
      <c r="BF795" t="str">
        <f>HYPERLINK("http://dx.doi.org/10.1016/j.wombi.2018.04.011","http://dx.doi.org/10.1016/j.wombi.2018.04.011")</f>
        <v>http://dx.doi.org/10.1016/j.wombi.2018.04.011</v>
      </c>
      <c r="BG795" t="s">
        <v>72</v>
      </c>
      <c r="BH795" t="s">
        <v>72</v>
      </c>
      <c r="BI795">
        <v>10</v>
      </c>
      <c r="BJ795" t="s">
        <v>15767</v>
      </c>
      <c r="BK795" t="s">
        <v>15767</v>
      </c>
      <c r="BL795" t="s">
        <v>15768</v>
      </c>
      <c r="BM795">
        <v>29735392</v>
      </c>
      <c r="BN795" t="s">
        <v>72</v>
      </c>
      <c r="BO795" t="s">
        <v>72</v>
      </c>
      <c r="BP795" t="s">
        <v>72</v>
      </c>
      <c r="BQ795" t="s">
        <v>100</v>
      </c>
      <c r="BR795" t="s">
        <v>15769</v>
      </c>
      <c r="BS795" t="str">
        <f>HYPERLINK("https%3A%2F%2Fwww.webofscience.com%2Fwos%2Fwoscc%2Ffull-record%2FWOS:000455681800004","View Full Record in Web of Science")</f>
        <v>View Full Record in Web of Science</v>
      </c>
    </row>
    <row r="796" spans="1:71" hidden="1" x14ac:dyDescent="0.2">
      <c r="A796" t="s">
        <v>70</v>
      </c>
      <c r="B796" t="s">
        <v>15744</v>
      </c>
      <c r="C796" t="s">
        <v>72</v>
      </c>
      <c r="D796" t="s">
        <v>72</v>
      </c>
      <c r="E796" t="s">
        <v>72</v>
      </c>
      <c r="F796" t="s">
        <v>15745</v>
      </c>
      <c r="G796" t="s">
        <v>72</v>
      </c>
      <c r="H796" t="s">
        <v>72</v>
      </c>
      <c r="I796" t="s">
        <v>15874</v>
      </c>
      <c r="J796" t="s">
        <v>15747</v>
      </c>
      <c r="K796" t="s">
        <v>72</v>
      </c>
      <c r="L796" t="s">
        <v>72</v>
      </c>
      <c r="M796" t="s">
        <v>76</v>
      </c>
      <c r="N796" t="s">
        <v>77</v>
      </c>
      <c r="O796" t="s">
        <v>72</v>
      </c>
      <c r="P796" t="s">
        <v>72</v>
      </c>
      <c r="Q796" t="s">
        <v>72</v>
      </c>
      <c r="R796" t="s">
        <v>72</v>
      </c>
      <c r="S796" t="s">
        <v>72</v>
      </c>
      <c r="T796" t="s">
        <v>15875</v>
      </c>
      <c r="U796" t="s">
        <v>15876</v>
      </c>
      <c r="V796" t="s">
        <v>15877</v>
      </c>
      <c r="W796" t="s">
        <v>15878</v>
      </c>
      <c r="X796" t="s">
        <v>15879</v>
      </c>
      <c r="Y796" t="s">
        <v>15880</v>
      </c>
      <c r="Z796" t="s">
        <v>15881</v>
      </c>
      <c r="AA796" t="s">
        <v>15882</v>
      </c>
      <c r="AB796" t="s">
        <v>15883</v>
      </c>
      <c r="AC796" t="s">
        <v>15757</v>
      </c>
      <c r="AD796" t="s">
        <v>15758</v>
      </c>
      <c r="AE796" t="s">
        <v>15759</v>
      </c>
      <c r="AF796" t="s">
        <v>72</v>
      </c>
      <c r="AG796">
        <v>51</v>
      </c>
      <c r="AH796">
        <v>15</v>
      </c>
      <c r="AI796">
        <v>15</v>
      </c>
      <c r="AJ796">
        <v>0</v>
      </c>
      <c r="AK796">
        <v>13</v>
      </c>
      <c r="AL796" t="s">
        <v>924</v>
      </c>
      <c r="AM796" t="s">
        <v>168</v>
      </c>
      <c r="AN796" t="s">
        <v>925</v>
      </c>
      <c r="AO796" t="s">
        <v>15760</v>
      </c>
      <c r="AP796" t="s">
        <v>15761</v>
      </c>
      <c r="AQ796" t="s">
        <v>72</v>
      </c>
      <c r="AR796" t="s">
        <v>15762</v>
      </c>
      <c r="AS796" t="s">
        <v>15763</v>
      </c>
      <c r="AT796" t="s">
        <v>929</v>
      </c>
      <c r="AU796">
        <v>2015</v>
      </c>
      <c r="AV796">
        <v>28</v>
      </c>
      <c r="AW796">
        <v>4</v>
      </c>
      <c r="AX796" t="s">
        <v>72</v>
      </c>
      <c r="AY796" t="s">
        <v>72</v>
      </c>
      <c r="AZ796" t="s">
        <v>72</v>
      </c>
      <c r="BA796" t="s">
        <v>72</v>
      </c>
      <c r="BB796">
        <v>285</v>
      </c>
      <c r="BC796">
        <v>292</v>
      </c>
      <c r="BD796" t="s">
        <v>72</v>
      </c>
      <c r="BE796" t="s">
        <v>15884</v>
      </c>
      <c r="BF796" t="str">
        <f>HYPERLINK("http://dx.doi.org/10.1016/j.wombi.2015.06.004","http://dx.doi.org/10.1016/j.wombi.2015.06.004")</f>
        <v>http://dx.doi.org/10.1016/j.wombi.2015.06.004</v>
      </c>
      <c r="BG796" t="s">
        <v>72</v>
      </c>
      <c r="BH796" t="s">
        <v>72</v>
      </c>
      <c r="BI796">
        <v>8</v>
      </c>
      <c r="BJ796" t="s">
        <v>15767</v>
      </c>
      <c r="BK796" t="s">
        <v>15767</v>
      </c>
      <c r="BL796" t="s">
        <v>15885</v>
      </c>
      <c r="BM796">
        <v>26197766</v>
      </c>
      <c r="BN796" t="s">
        <v>72</v>
      </c>
      <c r="BO796" t="s">
        <v>72</v>
      </c>
      <c r="BP796" t="s">
        <v>72</v>
      </c>
      <c r="BQ796" t="s">
        <v>100</v>
      </c>
      <c r="BR796" t="s">
        <v>15886</v>
      </c>
      <c r="BS796" t="str">
        <f>HYPERLINK("https%3A%2F%2Fwww.webofscience.com%2Fwos%2Fwoscc%2Ffull-record%2FWOS:000365158500015","View Full Record in Web of Science")</f>
        <v>View Full Record in Web of Science</v>
      </c>
    </row>
    <row r="797" spans="1:71" hidden="1" x14ac:dyDescent="0.2">
      <c r="A797" t="s">
        <v>70</v>
      </c>
      <c r="B797" t="s">
        <v>12451</v>
      </c>
      <c r="C797" t="s">
        <v>72</v>
      </c>
      <c r="D797" t="s">
        <v>72</v>
      </c>
      <c r="E797" t="s">
        <v>72</v>
      </c>
      <c r="F797" t="s">
        <v>12452</v>
      </c>
      <c r="G797" t="s">
        <v>72</v>
      </c>
      <c r="H797" t="s">
        <v>72</v>
      </c>
      <c r="I797" t="s">
        <v>12453</v>
      </c>
      <c r="J797" t="s">
        <v>12454</v>
      </c>
      <c r="K797" t="s">
        <v>72</v>
      </c>
      <c r="L797" t="s">
        <v>72</v>
      </c>
      <c r="M797" t="s">
        <v>76</v>
      </c>
      <c r="N797" t="s">
        <v>77</v>
      </c>
      <c r="O797" t="s">
        <v>72</v>
      </c>
      <c r="P797" t="s">
        <v>72</v>
      </c>
      <c r="Q797" t="s">
        <v>72</v>
      </c>
      <c r="R797" t="s">
        <v>72</v>
      </c>
      <c r="S797" t="s">
        <v>72</v>
      </c>
      <c r="T797" t="s">
        <v>12455</v>
      </c>
      <c r="U797" t="s">
        <v>12456</v>
      </c>
      <c r="V797" t="s">
        <v>12457</v>
      </c>
      <c r="W797" t="s">
        <v>12458</v>
      </c>
      <c r="X797" t="s">
        <v>12459</v>
      </c>
      <c r="Y797" t="s">
        <v>12460</v>
      </c>
      <c r="Z797" t="s">
        <v>12461</v>
      </c>
      <c r="AA797" t="s">
        <v>72</v>
      </c>
      <c r="AB797" t="s">
        <v>72</v>
      </c>
      <c r="AC797" t="s">
        <v>12462</v>
      </c>
      <c r="AD797" t="s">
        <v>12463</v>
      </c>
      <c r="AE797" t="s">
        <v>12464</v>
      </c>
      <c r="AF797" t="s">
        <v>72</v>
      </c>
      <c r="AG797">
        <v>39</v>
      </c>
      <c r="AH797">
        <v>9</v>
      </c>
      <c r="AI797">
        <v>10</v>
      </c>
      <c r="AJ797">
        <v>0</v>
      </c>
      <c r="AK797">
        <v>9</v>
      </c>
      <c r="AL797" t="s">
        <v>1596</v>
      </c>
      <c r="AM797" t="s">
        <v>451</v>
      </c>
      <c r="AN797" t="s">
        <v>1597</v>
      </c>
      <c r="AO797" t="s">
        <v>12465</v>
      </c>
      <c r="AP797" t="s">
        <v>12466</v>
      </c>
      <c r="AQ797" t="s">
        <v>72</v>
      </c>
      <c r="AR797" t="s">
        <v>12467</v>
      </c>
      <c r="AS797" t="s">
        <v>12468</v>
      </c>
      <c r="AT797" t="s">
        <v>929</v>
      </c>
      <c r="AU797">
        <v>2016</v>
      </c>
      <c r="AV797">
        <v>133</v>
      </c>
      <c r="AW797" t="s">
        <v>72</v>
      </c>
      <c r="AX797" t="s">
        <v>72</v>
      </c>
      <c r="AY797" t="s">
        <v>72</v>
      </c>
      <c r="AZ797" t="s">
        <v>72</v>
      </c>
      <c r="BA797" t="s">
        <v>72</v>
      </c>
      <c r="BB797">
        <v>105</v>
      </c>
      <c r="BC797">
        <v>113</v>
      </c>
      <c r="BD797" t="s">
        <v>72</v>
      </c>
      <c r="BE797" t="s">
        <v>12469</v>
      </c>
      <c r="BF797" t="str">
        <f>HYPERLINK("http://dx.doi.org/10.1016/j.ocecoaman.2016.09.015","http://dx.doi.org/10.1016/j.ocecoaman.2016.09.015")</f>
        <v>http://dx.doi.org/10.1016/j.ocecoaman.2016.09.015</v>
      </c>
      <c r="BG797" t="s">
        <v>72</v>
      </c>
      <c r="BH797" t="s">
        <v>72</v>
      </c>
      <c r="BI797">
        <v>9</v>
      </c>
      <c r="BJ797" t="s">
        <v>12470</v>
      </c>
      <c r="BK797" t="s">
        <v>12470</v>
      </c>
      <c r="BL797" t="s">
        <v>12471</v>
      </c>
      <c r="BM797" t="s">
        <v>72</v>
      </c>
      <c r="BN797" t="s">
        <v>72</v>
      </c>
      <c r="BO797" t="s">
        <v>72</v>
      </c>
      <c r="BP797" t="s">
        <v>72</v>
      </c>
      <c r="BQ797" t="s">
        <v>100</v>
      </c>
      <c r="BR797" t="s">
        <v>12472</v>
      </c>
      <c r="BS797" t="str">
        <f>HYPERLINK("https%3A%2F%2Fwww.webofscience.com%2Fwos%2Fwoscc%2Ffull-record%2FWOS:000386989900012","View Full Record in Web of Science")</f>
        <v>View Full Record in Web of Science</v>
      </c>
    </row>
    <row r="798" spans="1:71" hidden="1" x14ac:dyDescent="0.2">
      <c r="A798" t="s">
        <v>70</v>
      </c>
      <c r="B798" t="s">
        <v>8466</v>
      </c>
      <c r="C798" t="s">
        <v>72</v>
      </c>
      <c r="D798" t="s">
        <v>72</v>
      </c>
      <c r="E798" t="s">
        <v>72</v>
      </c>
      <c r="F798" t="s">
        <v>8467</v>
      </c>
      <c r="G798" t="s">
        <v>72</v>
      </c>
      <c r="H798" t="s">
        <v>72</v>
      </c>
      <c r="I798" t="s">
        <v>8468</v>
      </c>
      <c r="J798" t="s">
        <v>8469</v>
      </c>
      <c r="K798" t="s">
        <v>72</v>
      </c>
      <c r="L798" t="s">
        <v>72</v>
      </c>
      <c r="M798" t="s">
        <v>76</v>
      </c>
      <c r="N798" t="s">
        <v>77</v>
      </c>
      <c r="O798" t="s">
        <v>72</v>
      </c>
      <c r="P798" t="s">
        <v>72</v>
      </c>
      <c r="Q798" t="s">
        <v>72</v>
      </c>
      <c r="R798" t="s">
        <v>72</v>
      </c>
      <c r="S798" t="s">
        <v>72</v>
      </c>
      <c r="T798" t="s">
        <v>8470</v>
      </c>
      <c r="U798" t="s">
        <v>8471</v>
      </c>
      <c r="V798" t="s">
        <v>8472</v>
      </c>
      <c r="W798" t="s">
        <v>8473</v>
      </c>
      <c r="X798" t="s">
        <v>8474</v>
      </c>
      <c r="Y798" t="s">
        <v>8475</v>
      </c>
      <c r="Z798" t="s">
        <v>8476</v>
      </c>
      <c r="AA798" t="s">
        <v>72</v>
      </c>
      <c r="AB798" t="s">
        <v>72</v>
      </c>
      <c r="AC798" t="s">
        <v>8477</v>
      </c>
      <c r="AD798" t="s">
        <v>8478</v>
      </c>
      <c r="AE798" t="s">
        <v>8479</v>
      </c>
      <c r="AF798" t="s">
        <v>72</v>
      </c>
      <c r="AG798">
        <v>26</v>
      </c>
      <c r="AH798">
        <v>8</v>
      </c>
      <c r="AI798">
        <v>8</v>
      </c>
      <c r="AJ798">
        <v>1</v>
      </c>
      <c r="AK798">
        <v>6</v>
      </c>
      <c r="AL798" t="s">
        <v>8480</v>
      </c>
      <c r="AM798" t="s">
        <v>2317</v>
      </c>
      <c r="AN798" t="s">
        <v>8481</v>
      </c>
      <c r="AO798" t="s">
        <v>8482</v>
      </c>
      <c r="AP798" t="s">
        <v>72</v>
      </c>
      <c r="AQ798" t="s">
        <v>72</v>
      </c>
      <c r="AR798" t="s">
        <v>8469</v>
      </c>
      <c r="AS798" t="s">
        <v>8483</v>
      </c>
      <c r="AT798" t="s">
        <v>8484</v>
      </c>
      <c r="AU798">
        <v>2018</v>
      </c>
      <c r="AV798">
        <v>4</v>
      </c>
      <c r="AW798">
        <v>1</v>
      </c>
      <c r="AX798" t="s">
        <v>72</v>
      </c>
      <c r="AY798" t="s">
        <v>72</v>
      </c>
      <c r="AZ798" t="s">
        <v>72</v>
      </c>
      <c r="BA798" t="s">
        <v>72</v>
      </c>
      <c r="BB798" t="s">
        <v>72</v>
      </c>
      <c r="BC798" t="s">
        <v>72</v>
      </c>
      <c r="BD798" t="s">
        <v>8485</v>
      </c>
      <c r="BE798" t="s">
        <v>8486</v>
      </c>
      <c r="BF798" t="str">
        <f>HYPERLINK("http://dx.doi.org/10.2196/cancer.9050","http://dx.doi.org/10.2196/cancer.9050")</f>
        <v>http://dx.doi.org/10.2196/cancer.9050</v>
      </c>
      <c r="BG798" t="s">
        <v>72</v>
      </c>
      <c r="BH798" t="s">
        <v>72</v>
      </c>
      <c r="BI798">
        <v>14</v>
      </c>
      <c r="BJ798" t="s">
        <v>8487</v>
      </c>
      <c r="BK798" t="s">
        <v>8487</v>
      </c>
      <c r="BL798" t="s">
        <v>8488</v>
      </c>
      <c r="BM798" t="s">
        <v>72</v>
      </c>
      <c r="BN798" t="s">
        <v>1975</v>
      </c>
      <c r="BO798" t="s">
        <v>72</v>
      </c>
      <c r="BP798" t="s">
        <v>72</v>
      </c>
      <c r="BQ798" t="s">
        <v>100</v>
      </c>
      <c r="BR798" t="s">
        <v>8489</v>
      </c>
      <c r="BS798" t="str">
        <f>HYPERLINK("https%3A%2F%2Fwww.webofscience.com%2Fwos%2Fwoscc%2Ffull-record%2FWOS:000453445600001","View Full Record in Web of Science")</f>
        <v>View Full Record in Web of Science</v>
      </c>
    </row>
    <row r="799" spans="1:71" hidden="1" x14ac:dyDescent="0.2">
      <c r="A799" t="s">
        <v>305</v>
      </c>
      <c r="B799" t="s">
        <v>306</v>
      </c>
      <c r="C799" t="s">
        <v>72</v>
      </c>
      <c r="D799" t="s">
        <v>307</v>
      </c>
      <c r="E799" t="s">
        <v>72</v>
      </c>
      <c r="F799" t="s">
        <v>306</v>
      </c>
      <c r="G799" t="s">
        <v>72</v>
      </c>
      <c r="H799" t="s">
        <v>72</v>
      </c>
      <c r="I799" t="s">
        <v>308</v>
      </c>
      <c r="J799" t="s">
        <v>309</v>
      </c>
      <c r="K799" t="s">
        <v>310</v>
      </c>
      <c r="L799" t="s">
        <v>72</v>
      </c>
      <c r="M799" t="s">
        <v>311</v>
      </c>
      <c r="N799" t="s">
        <v>312</v>
      </c>
      <c r="O799" t="s">
        <v>313</v>
      </c>
      <c r="P799" t="s">
        <v>314</v>
      </c>
      <c r="Q799" t="s">
        <v>315</v>
      </c>
      <c r="R799" t="s">
        <v>72</v>
      </c>
      <c r="S799" t="s">
        <v>72</v>
      </c>
      <c r="T799" t="s">
        <v>72</v>
      </c>
      <c r="U799" t="s">
        <v>72</v>
      </c>
      <c r="V799" t="s">
        <v>72</v>
      </c>
      <c r="W799" t="s">
        <v>72</v>
      </c>
      <c r="X799" t="s">
        <v>72</v>
      </c>
      <c r="Y799" t="s">
        <v>72</v>
      </c>
      <c r="Z799" t="s">
        <v>72</v>
      </c>
      <c r="AA799" t="s">
        <v>72</v>
      </c>
      <c r="AB799" t="s">
        <v>72</v>
      </c>
      <c r="AC799" t="s">
        <v>72</v>
      </c>
      <c r="AD799" t="s">
        <v>72</v>
      </c>
      <c r="AE799" t="s">
        <v>72</v>
      </c>
      <c r="AF799" t="s">
        <v>72</v>
      </c>
      <c r="AG799">
        <v>0</v>
      </c>
      <c r="AH799">
        <v>0</v>
      </c>
      <c r="AI799">
        <v>0</v>
      </c>
      <c r="AJ799">
        <v>0</v>
      </c>
      <c r="AK799">
        <v>0</v>
      </c>
      <c r="AL799" t="s">
        <v>316</v>
      </c>
      <c r="AM799" t="s">
        <v>317</v>
      </c>
      <c r="AN799" t="s">
        <v>318</v>
      </c>
      <c r="AO799" t="s">
        <v>72</v>
      </c>
      <c r="AP799" t="s">
        <v>72</v>
      </c>
      <c r="AQ799" t="s">
        <v>319</v>
      </c>
      <c r="AR799" t="s">
        <v>320</v>
      </c>
      <c r="AS799" t="s">
        <v>72</v>
      </c>
      <c r="AT799" t="s">
        <v>72</v>
      </c>
      <c r="AU799">
        <v>1997</v>
      </c>
      <c r="AV799">
        <v>70</v>
      </c>
      <c r="AW799" t="s">
        <v>72</v>
      </c>
      <c r="AX799" t="s">
        <v>72</v>
      </c>
      <c r="AY799" t="s">
        <v>72</v>
      </c>
      <c r="AZ799" t="s">
        <v>72</v>
      </c>
      <c r="BA799" t="s">
        <v>72</v>
      </c>
      <c r="BB799">
        <v>151</v>
      </c>
      <c r="BC799">
        <v>163</v>
      </c>
      <c r="BD799" t="s">
        <v>72</v>
      </c>
      <c r="BE799" t="s">
        <v>72</v>
      </c>
      <c r="BF799" t="s">
        <v>72</v>
      </c>
      <c r="BG799" t="s">
        <v>72</v>
      </c>
      <c r="BH799" t="s">
        <v>72</v>
      </c>
      <c r="BI799">
        <v>13</v>
      </c>
      <c r="BJ799" t="s">
        <v>321</v>
      </c>
      <c r="BK799" t="s">
        <v>321</v>
      </c>
      <c r="BL799" t="s">
        <v>322</v>
      </c>
      <c r="BM799" t="s">
        <v>72</v>
      </c>
      <c r="BN799" t="s">
        <v>72</v>
      </c>
      <c r="BO799" t="s">
        <v>72</v>
      </c>
      <c r="BP799" t="s">
        <v>72</v>
      </c>
      <c r="BQ799" t="s">
        <v>100</v>
      </c>
      <c r="BR799" t="s">
        <v>323</v>
      </c>
      <c r="BS799" t="str">
        <f>HYPERLINK("https%3A%2F%2Fwww.webofscience.com%2Fwos%2Fwoscc%2Ffull-record%2FWOS:000072089700011","View Full Record in Web of Science")</f>
        <v>View Full Record in Web of Science</v>
      </c>
    </row>
    <row r="800" spans="1:71" hidden="1" x14ac:dyDescent="0.2">
      <c r="A800" t="s">
        <v>70</v>
      </c>
      <c r="B800" t="s">
        <v>10585</v>
      </c>
      <c r="C800" t="s">
        <v>72</v>
      </c>
      <c r="D800" t="s">
        <v>72</v>
      </c>
      <c r="E800" t="s">
        <v>72</v>
      </c>
      <c r="F800" t="s">
        <v>10586</v>
      </c>
      <c r="G800" t="s">
        <v>72</v>
      </c>
      <c r="H800" t="s">
        <v>72</v>
      </c>
      <c r="I800" t="s">
        <v>10587</v>
      </c>
      <c r="J800" t="s">
        <v>10588</v>
      </c>
      <c r="K800" t="s">
        <v>72</v>
      </c>
      <c r="L800" t="s">
        <v>72</v>
      </c>
      <c r="M800" t="s">
        <v>76</v>
      </c>
      <c r="N800" t="s">
        <v>77</v>
      </c>
      <c r="O800" t="s">
        <v>72</v>
      </c>
      <c r="P800" t="s">
        <v>72</v>
      </c>
      <c r="Q800" t="s">
        <v>72</v>
      </c>
      <c r="R800" t="s">
        <v>72</v>
      </c>
      <c r="S800" t="s">
        <v>72</v>
      </c>
      <c r="T800" t="s">
        <v>10589</v>
      </c>
      <c r="U800" t="s">
        <v>10590</v>
      </c>
      <c r="V800" t="s">
        <v>10591</v>
      </c>
      <c r="W800" t="s">
        <v>10592</v>
      </c>
      <c r="X800" t="s">
        <v>10593</v>
      </c>
      <c r="Y800" t="s">
        <v>10594</v>
      </c>
      <c r="Z800" t="s">
        <v>10595</v>
      </c>
      <c r="AA800" t="s">
        <v>72</v>
      </c>
      <c r="AB800" t="s">
        <v>72</v>
      </c>
      <c r="AC800" t="s">
        <v>72</v>
      </c>
      <c r="AD800" t="s">
        <v>72</v>
      </c>
      <c r="AE800" t="s">
        <v>72</v>
      </c>
      <c r="AF800" t="s">
        <v>72</v>
      </c>
      <c r="AG800">
        <v>59</v>
      </c>
      <c r="AH800">
        <v>1</v>
      </c>
      <c r="AI800">
        <v>1</v>
      </c>
      <c r="AJ800">
        <v>1</v>
      </c>
      <c r="AK800">
        <v>3</v>
      </c>
      <c r="AL800" t="s">
        <v>2426</v>
      </c>
      <c r="AM800" t="s">
        <v>2427</v>
      </c>
      <c r="AN800" t="s">
        <v>2428</v>
      </c>
      <c r="AO800" t="s">
        <v>72</v>
      </c>
      <c r="AP800" t="s">
        <v>10596</v>
      </c>
      <c r="AQ800" t="s">
        <v>72</v>
      </c>
      <c r="AR800" t="s">
        <v>10597</v>
      </c>
      <c r="AS800" t="s">
        <v>10598</v>
      </c>
      <c r="AT800" t="s">
        <v>639</v>
      </c>
      <c r="AU800">
        <v>2021</v>
      </c>
      <c r="AV800">
        <v>23</v>
      </c>
      <c r="AW800">
        <v>8</v>
      </c>
      <c r="AX800" t="s">
        <v>72</v>
      </c>
      <c r="AY800" t="s">
        <v>72</v>
      </c>
      <c r="AZ800" t="s">
        <v>72</v>
      </c>
      <c r="BA800" t="s">
        <v>72</v>
      </c>
      <c r="BB800" t="s">
        <v>72</v>
      </c>
      <c r="BC800" t="s">
        <v>72</v>
      </c>
      <c r="BD800">
        <v>944</v>
      </c>
      <c r="BE800" t="s">
        <v>10599</v>
      </c>
      <c r="BF800" t="str">
        <f>HYPERLINK("http://dx.doi.org/10.3390/e23080944","http://dx.doi.org/10.3390/e23080944")</f>
        <v>http://dx.doi.org/10.3390/e23080944</v>
      </c>
      <c r="BG800" t="s">
        <v>72</v>
      </c>
      <c r="BH800" t="s">
        <v>72</v>
      </c>
      <c r="BI800">
        <v>17</v>
      </c>
      <c r="BJ800" t="s">
        <v>10600</v>
      </c>
      <c r="BK800" t="s">
        <v>10601</v>
      </c>
      <c r="BL800" t="s">
        <v>10602</v>
      </c>
      <c r="BM800">
        <v>34441084</v>
      </c>
      <c r="BN800" t="s">
        <v>910</v>
      </c>
      <c r="BO800" t="s">
        <v>72</v>
      </c>
      <c r="BP800" t="s">
        <v>72</v>
      </c>
      <c r="BQ800" t="s">
        <v>100</v>
      </c>
      <c r="BR800" t="s">
        <v>10603</v>
      </c>
      <c r="BS800" t="str">
        <f>HYPERLINK("https%3A%2F%2Fwww.webofscience.com%2Fwos%2Fwoscc%2Ffull-record%2FWOS:000689177100001","View Full Record in Web of Science")</f>
        <v>View Full Record in Web of Science</v>
      </c>
    </row>
    <row r="801" spans="1:71" hidden="1" x14ac:dyDescent="0.2">
      <c r="A801" t="s">
        <v>70</v>
      </c>
      <c r="B801" t="s">
        <v>14327</v>
      </c>
      <c r="C801" t="s">
        <v>72</v>
      </c>
      <c r="D801" t="s">
        <v>72</v>
      </c>
      <c r="E801" t="s">
        <v>72</v>
      </c>
      <c r="F801" t="s">
        <v>14328</v>
      </c>
      <c r="G801" t="s">
        <v>72</v>
      </c>
      <c r="H801" t="s">
        <v>72</v>
      </c>
      <c r="I801" t="s">
        <v>14329</v>
      </c>
      <c r="J801" t="s">
        <v>14330</v>
      </c>
      <c r="K801" t="s">
        <v>72</v>
      </c>
      <c r="L801" t="s">
        <v>72</v>
      </c>
      <c r="M801" t="s">
        <v>76</v>
      </c>
      <c r="N801" t="s">
        <v>77</v>
      </c>
      <c r="O801" t="s">
        <v>72</v>
      </c>
      <c r="P801" t="s">
        <v>72</v>
      </c>
      <c r="Q801" t="s">
        <v>72</v>
      </c>
      <c r="R801" t="s">
        <v>72</v>
      </c>
      <c r="S801" t="s">
        <v>72</v>
      </c>
      <c r="T801" t="s">
        <v>14331</v>
      </c>
      <c r="U801" t="s">
        <v>14332</v>
      </c>
      <c r="V801" t="s">
        <v>14333</v>
      </c>
      <c r="W801" t="s">
        <v>14334</v>
      </c>
      <c r="X801" t="s">
        <v>14335</v>
      </c>
      <c r="Y801" t="s">
        <v>14336</v>
      </c>
      <c r="Z801" t="s">
        <v>14337</v>
      </c>
      <c r="AA801" t="s">
        <v>14338</v>
      </c>
      <c r="AB801" t="s">
        <v>14339</v>
      </c>
      <c r="AC801" t="s">
        <v>14340</v>
      </c>
      <c r="AD801" t="s">
        <v>14341</v>
      </c>
      <c r="AE801" t="s">
        <v>14342</v>
      </c>
      <c r="AF801" t="s">
        <v>72</v>
      </c>
      <c r="AG801">
        <v>170</v>
      </c>
      <c r="AH801">
        <v>2</v>
      </c>
      <c r="AI801">
        <v>2</v>
      </c>
      <c r="AJ801">
        <v>1</v>
      </c>
      <c r="AK801">
        <v>10</v>
      </c>
      <c r="AL801" t="s">
        <v>2426</v>
      </c>
      <c r="AM801" t="s">
        <v>2427</v>
      </c>
      <c r="AN801" t="s">
        <v>2428</v>
      </c>
      <c r="AO801" t="s">
        <v>72</v>
      </c>
      <c r="AP801" t="s">
        <v>14343</v>
      </c>
      <c r="AQ801" t="s">
        <v>72</v>
      </c>
      <c r="AR801" t="s">
        <v>14330</v>
      </c>
      <c r="AS801" t="s">
        <v>14344</v>
      </c>
      <c r="AT801" t="s">
        <v>247</v>
      </c>
      <c r="AU801">
        <v>2022</v>
      </c>
      <c r="AV801">
        <v>11</v>
      </c>
      <c r="AW801">
        <v>2</v>
      </c>
      <c r="AX801" t="s">
        <v>72</v>
      </c>
      <c r="AY801" t="s">
        <v>72</v>
      </c>
      <c r="AZ801" t="s">
        <v>72</v>
      </c>
      <c r="BA801" t="s">
        <v>72</v>
      </c>
      <c r="BB801" t="s">
        <v>72</v>
      </c>
      <c r="BC801" t="s">
        <v>72</v>
      </c>
      <c r="BD801">
        <v>212</v>
      </c>
      <c r="BE801" t="s">
        <v>14345</v>
      </c>
      <c r="BF801" t="str">
        <f>HYPERLINK("http://dx.doi.org/10.3390/plants11020212","http://dx.doi.org/10.3390/plants11020212")</f>
        <v>http://dx.doi.org/10.3390/plants11020212</v>
      </c>
      <c r="BG801" t="s">
        <v>72</v>
      </c>
      <c r="BH801" t="s">
        <v>72</v>
      </c>
      <c r="BI801">
        <v>27</v>
      </c>
      <c r="BJ801" t="s">
        <v>14346</v>
      </c>
      <c r="BK801" t="s">
        <v>14346</v>
      </c>
      <c r="BL801" t="s">
        <v>14347</v>
      </c>
      <c r="BM801">
        <v>35050100</v>
      </c>
      <c r="BN801" t="s">
        <v>910</v>
      </c>
      <c r="BO801" t="s">
        <v>72</v>
      </c>
      <c r="BP801" t="s">
        <v>72</v>
      </c>
      <c r="BQ801" t="s">
        <v>100</v>
      </c>
      <c r="BR801" t="s">
        <v>14348</v>
      </c>
      <c r="BS801" t="str">
        <f>HYPERLINK("https%3A%2F%2Fwww.webofscience.com%2Fwos%2Fwoscc%2Ffull-record%2FWOS:000758635600001","View Full Record in Web of Science")</f>
        <v>View Full Record in Web of Science</v>
      </c>
    </row>
    <row r="802" spans="1:71" hidden="1" x14ac:dyDescent="0.2">
      <c r="A802" t="s">
        <v>70</v>
      </c>
      <c r="B802" t="s">
        <v>9590</v>
      </c>
      <c r="C802" t="s">
        <v>72</v>
      </c>
      <c r="D802" t="s">
        <v>72</v>
      </c>
      <c r="E802" t="s">
        <v>72</v>
      </c>
      <c r="F802" t="s">
        <v>9591</v>
      </c>
      <c r="G802" t="s">
        <v>72</v>
      </c>
      <c r="H802" t="s">
        <v>72</v>
      </c>
      <c r="I802" t="s">
        <v>9592</v>
      </c>
      <c r="J802" t="s">
        <v>9593</v>
      </c>
      <c r="K802" t="s">
        <v>72</v>
      </c>
      <c r="L802" t="s">
        <v>72</v>
      </c>
      <c r="M802" t="s">
        <v>76</v>
      </c>
      <c r="N802" t="s">
        <v>77</v>
      </c>
      <c r="O802" t="s">
        <v>72</v>
      </c>
      <c r="P802" t="s">
        <v>72</v>
      </c>
      <c r="Q802" t="s">
        <v>72</v>
      </c>
      <c r="R802" t="s">
        <v>72</v>
      </c>
      <c r="S802" t="s">
        <v>72</v>
      </c>
      <c r="T802" t="s">
        <v>9594</v>
      </c>
      <c r="U802" t="s">
        <v>9595</v>
      </c>
      <c r="V802" t="s">
        <v>9596</v>
      </c>
      <c r="W802" t="s">
        <v>9597</v>
      </c>
      <c r="X802" t="s">
        <v>9598</v>
      </c>
      <c r="Y802" t="s">
        <v>9599</v>
      </c>
      <c r="Z802" t="s">
        <v>9600</v>
      </c>
      <c r="AA802" t="s">
        <v>9601</v>
      </c>
      <c r="AB802" t="s">
        <v>9602</v>
      </c>
      <c r="AC802" t="s">
        <v>9603</v>
      </c>
      <c r="AD802" t="s">
        <v>9604</v>
      </c>
      <c r="AE802" t="s">
        <v>9605</v>
      </c>
      <c r="AF802" t="s">
        <v>72</v>
      </c>
      <c r="AG802">
        <v>40</v>
      </c>
      <c r="AH802">
        <v>28</v>
      </c>
      <c r="AI802">
        <v>29</v>
      </c>
      <c r="AJ802">
        <v>0</v>
      </c>
      <c r="AK802">
        <v>23</v>
      </c>
      <c r="AL802" t="s">
        <v>7198</v>
      </c>
      <c r="AM802" t="s">
        <v>7199</v>
      </c>
      <c r="AN802" t="s">
        <v>7200</v>
      </c>
      <c r="AO802" t="s">
        <v>9606</v>
      </c>
      <c r="AP802" t="s">
        <v>72</v>
      </c>
      <c r="AQ802" t="s">
        <v>72</v>
      </c>
      <c r="AR802" t="s">
        <v>9607</v>
      </c>
      <c r="AS802" t="s">
        <v>9608</v>
      </c>
      <c r="AT802" t="s">
        <v>9609</v>
      </c>
      <c r="AU802">
        <v>2013</v>
      </c>
      <c r="AV802">
        <v>210</v>
      </c>
      <c r="AW802">
        <v>2</v>
      </c>
      <c r="AX802" t="s">
        <v>72</v>
      </c>
      <c r="AY802" t="s">
        <v>72</v>
      </c>
      <c r="AZ802" t="s">
        <v>72</v>
      </c>
      <c r="BA802" t="s">
        <v>72</v>
      </c>
      <c r="BB802">
        <v>548</v>
      </c>
      <c r="BC802">
        <v>552</v>
      </c>
      <c r="BD802" t="s">
        <v>72</v>
      </c>
      <c r="BE802" t="s">
        <v>9610</v>
      </c>
      <c r="BF802" t="str">
        <f>HYPERLINK("http://dx.doi.org/10.1016/j.psychres.2013.06.024","http://dx.doi.org/10.1016/j.psychres.2013.06.024")</f>
        <v>http://dx.doi.org/10.1016/j.psychres.2013.06.024</v>
      </c>
      <c r="BG802" t="s">
        <v>72</v>
      </c>
      <c r="BH802" t="s">
        <v>72</v>
      </c>
      <c r="BI802">
        <v>5</v>
      </c>
      <c r="BJ802" t="s">
        <v>9611</v>
      </c>
      <c r="BK802" t="s">
        <v>9611</v>
      </c>
      <c r="BL802" t="s">
        <v>9612</v>
      </c>
      <c r="BM802">
        <v>23850436</v>
      </c>
      <c r="BN802" t="s">
        <v>72</v>
      </c>
      <c r="BO802" t="s">
        <v>72</v>
      </c>
      <c r="BP802" t="s">
        <v>72</v>
      </c>
      <c r="BQ802" t="s">
        <v>100</v>
      </c>
      <c r="BR802" t="s">
        <v>9613</v>
      </c>
      <c r="BS802" t="str">
        <f>HYPERLINK("https%3A%2F%2Fwww.webofscience.com%2Fwos%2Fwoscc%2Ffull-record%2FWOS:000328518600028","View Full Record in Web of Science")</f>
        <v>View Full Record in Web of Science</v>
      </c>
    </row>
    <row r="803" spans="1:71" hidden="1" x14ac:dyDescent="0.2">
      <c r="A803" t="s">
        <v>70</v>
      </c>
      <c r="B803" t="s">
        <v>13306</v>
      </c>
      <c r="C803" t="s">
        <v>72</v>
      </c>
      <c r="D803" t="s">
        <v>72</v>
      </c>
      <c r="E803" t="s">
        <v>72</v>
      </c>
      <c r="F803" t="s">
        <v>13307</v>
      </c>
      <c r="G803" t="s">
        <v>72</v>
      </c>
      <c r="H803" t="s">
        <v>72</v>
      </c>
      <c r="I803" t="s">
        <v>13308</v>
      </c>
      <c r="J803" t="s">
        <v>13309</v>
      </c>
      <c r="K803" t="s">
        <v>72</v>
      </c>
      <c r="L803" t="s">
        <v>72</v>
      </c>
      <c r="M803" t="s">
        <v>76</v>
      </c>
      <c r="N803" t="s">
        <v>77</v>
      </c>
      <c r="O803" t="s">
        <v>72</v>
      </c>
      <c r="P803" t="s">
        <v>72</v>
      </c>
      <c r="Q803" t="s">
        <v>72</v>
      </c>
      <c r="R803" t="s">
        <v>72</v>
      </c>
      <c r="S803" t="s">
        <v>72</v>
      </c>
      <c r="T803" t="s">
        <v>13310</v>
      </c>
      <c r="U803" t="s">
        <v>13311</v>
      </c>
      <c r="V803" t="s">
        <v>13312</v>
      </c>
      <c r="W803" t="s">
        <v>13313</v>
      </c>
      <c r="X803" t="s">
        <v>2379</v>
      </c>
      <c r="Y803" t="s">
        <v>13314</v>
      </c>
      <c r="Z803" t="s">
        <v>13315</v>
      </c>
      <c r="AA803" t="s">
        <v>72</v>
      </c>
      <c r="AB803" t="s">
        <v>13316</v>
      </c>
      <c r="AC803" t="s">
        <v>72</v>
      </c>
      <c r="AD803" t="s">
        <v>72</v>
      </c>
      <c r="AE803" t="s">
        <v>72</v>
      </c>
      <c r="AF803" t="s">
        <v>72</v>
      </c>
      <c r="AG803">
        <v>13</v>
      </c>
      <c r="AH803">
        <v>4</v>
      </c>
      <c r="AI803">
        <v>4</v>
      </c>
      <c r="AJ803">
        <v>2</v>
      </c>
      <c r="AK803">
        <v>10</v>
      </c>
      <c r="AL803" t="s">
        <v>13317</v>
      </c>
      <c r="AM803" t="s">
        <v>12754</v>
      </c>
      <c r="AN803" t="s">
        <v>13318</v>
      </c>
      <c r="AO803" t="s">
        <v>13319</v>
      </c>
      <c r="AP803" t="s">
        <v>13320</v>
      </c>
      <c r="AQ803" t="s">
        <v>72</v>
      </c>
      <c r="AR803" t="s">
        <v>13321</v>
      </c>
      <c r="AS803" t="s">
        <v>13322</v>
      </c>
      <c r="AT803" t="s">
        <v>247</v>
      </c>
      <c r="AU803">
        <v>2018</v>
      </c>
      <c r="AV803">
        <v>39</v>
      </c>
      <c r="AW803">
        <v>1</v>
      </c>
      <c r="AX803" t="s">
        <v>72</v>
      </c>
      <c r="AY803" t="s">
        <v>72</v>
      </c>
      <c r="AZ803" t="s">
        <v>72</v>
      </c>
      <c r="BA803" t="s">
        <v>72</v>
      </c>
      <c r="BB803">
        <v>70</v>
      </c>
      <c r="BC803">
        <v>73</v>
      </c>
      <c r="BD803" t="s">
        <v>72</v>
      </c>
      <c r="BE803" t="s">
        <v>13323</v>
      </c>
      <c r="BF803" t="str">
        <f>HYPERLINK("http://dx.doi.org/10.1027/0227-5910/a000467","http://dx.doi.org/10.1027/0227-5910/a000467")</f>
        <v>http://dx.doi.org/10.1027/0227-5910/a000467</v>
      </c>
      <c r="BG803" t="s">
        <v>72</v>
      </c>
      <c r="BH803" t="s">
        <v>72</v>
      </c>
      <c r="BI803">
        <v>4</v>
      </c>
      <c r="BJ803" t="s">
        <v>13324</v>
      </c>
      <c r="BK803" t="s">
        <v>13325</v>
      </c>
      <c r="BL803" t="s">
        <v>13326</v>
      </c>
      <c r="BM803">
        <v>29442550</v>
      </c>
      <c r="BN803" t="s">
        <v>72</v>
      </c>
      <c r="BO803" t="s">
        <v>72</v>
      </c>
      <c r="BP803" t="s">
        <v>72</v>
      </c>
      <c r="BQ803" t="s">
        <v>100</v>
      </c>
      <c r="BR803" t="s">
        <v>13327</v>
      </c>
      <c r="BS803" t="str">
        <f>HYPERLINK("https%3A%2F%2Fwww.webofscience.com%2Fwos%2Fwoscc%2Ffull-record%2FWOS:000425328600009","View Full Record in Web of Science")</f>
        <v>View Full Record in Web of Science</v>
      </c>
    </row>
    <row r="804" spans="1:71" hidden="1" x14ac:dyDescent="0.2">
      <c r="A804" t="s">
        <v>70</v>
      </c>
      <c r="B804" t="s">
        <v>102</v>
      </c>
      <c r="C804" t="s">
        <v>72</v>
      </c>
      <c r="D804" t="s">
        <v>72</v>
      </c>
      <c r="E804" t="s">
        <v>72</v>
      </c>
      <c r="F804" t="s">
        <v>103</v>
      </c>
      <c r="G804" t="s">
        <v>72</v>
      </c>
      <c r="H804" t="s">
        <v>72</v>
      </c>
      <c r="I804" t="s">
        <v>104</v>
      </c>
      <c r="J804" t="s">
        <v>105</v>
      </c>
      <c r="K804" t="s">
        <v>72</v>
      </c>
      <c r="L804" t="s">
        <v>72</v>
      </c>
      <c r="M804" t="s">
        <v>76</v>
      </c>
      <c r="N804" t="s">
        <v>106</v>
      </c>
      <c r="O804" t="s">
        <v>72</v>
      </c>
      <c r="P804" t="s">
        <v>72</v>
      </c>
      <c r="Q804" t="s">
        <v>72</v>
      </c>
      <c r="R804" t="s">
        <v>72</v>
      </c>
      <c r="S804" t="s">
        <v>72</v>
      </c>
      <c r="T804" t="s">
        <v>107</v>
      </c>
      <c r="U804" t="s">
        <v>108</v>
      </c>
      <c r="V804" t="s">
        <v>109</v>
      </c>
      <c r="W804" t="s">
        <v>110</v>
      </c>
      <c r="X804" t="s">
        <v>111</v>
      </c>
      <c r="Y804" t="s">
        <v>112</v>
      </c>
      <c r="Z804" t="s">
        <v>72</v>
      </c>
      <c r="AA804" t="s">
        <v>113</v>
      </c>
      <c r="AB804" t="s">
        <v>114</v>
      </c>
      <c r="AC804" t="s">
        <v>115</v>
      </c>
      <c r="AD804" t="s">
        <v>116</v>
      </c>
      <c r="AE804" t="s">
        <v>117</v>
      </c>
      <c r="AF804" t="s">
        <v>72</v>
      </c>
      <c r="AG804">
        <v>57</v>
      </c>
      <c r="AH804">
        <v>4</v>
      </c>
      <c r="AI804">
        <v>5</v>
      </c>
      <c r="AJ804">
        <v>5</v>
      </c>
      <c r="AK804">
        <v>13</v>
      </c>
      <c r="AL804" t="s">
        <v>118</v>
      </c>
      <c r="AM804" t="s">
        <v>119</v>
      </c>
      <c r="AN804" t="s">
        <v>120</v>
      </c>
      <c r="AO804" t="s">
        <v>72</v>
      </c>
      <c r="AP804" t="s">
        <v>121</v>
      </c>
      <c r="AQ804" t="s">
        <v>72</v>
      </c>
      <c r="AR804" t="s">
        <v>122</v>
      </c>
      <c r="AS804" t="s">
        <v>123</v>
      </c>
      <c r="AT804" t="s">
        <v>72</v>
      </c>
      <c r="AU804">
        <v>2019</v>
      </c>
      <c r="AV804">
        <v>7</v>
      </c>
      <c r="AW804">
        <v>1</v>
      </c>
      <c r="AX804" t="s">
        <v>72</v>
      </c>
      <c r="AY804" t="s">
        <v>72</v>
      </c>
      <c r="AZ804" t="s">
        <v>72</v>
      </c>
      <c r="BA804" t="s">
        <v>72</v>
      </c>
      <c r="BB804">
        <v>124</v>
      </c>
      <c r="BC804">
        <v>143</v>
      </c>
      <c r="BD804" t="s">
        <v>72</v>
      </c>
      <c r="BE804" t="s">
        <v>124</v>
      </c>
      <c r="BF804" t="str">
        <f>HYPERLINK("http://dx.doi.org/10.5964/jspp.v7i1.964","http://dx.doi.org/10.5964/jspp.v7i1.964")</f>
        <v>http://dx.doi.org/10.5964/jspp.v7i1.964</v>
      </c>
      <c r="BG804" t="s">
        <v>72</v>
      </c>
      <c r="BH804" t="s">
        <v>72</v>
      </c>
      <c r="BI804">
        <v>20</v>
      </c>
      <c r="BJ804" t="s">
        <v>125</v>
      </c>
      <c r="BK804" t="s">
        <v>126</v>
      </c>
      <c r="BL804" t="s">
        <v>127</v>
      </c>
      <c r="BM804" t="s">
        <v>72</v>
      </c>
      <c r="BN804" t="s">
        <v>128</v>
      </c>
      <c r="BO804" t="s">
        <v>72</v>
      </c>
      <c r="BP804" t="s">
        <v>72</v>
      </c>
      <c r="BQ804" t="s">
        <v>100</v>
      </c>
      <c r="BR804" t="s">
        <v>129</v>
      </c>
      <c r="BS804" t="str">
        <f>HYPERLINK("https%3A%2F%2Fwww.webofscience.com%2Fwos%2Fwoscc%2Ffull-record%2FWOS:000514931000008","View Full Record in Web of Science")</f>
        <v>View Full Record in Web of Science</v>
      </c>
    </row>
    <row r="805" spans="1:71" hidden="1" x14ac:dyDescent="0.2">
      <c r="A805" t="s">
        <v>70</v>
      </c>
      <c r="B805" t="s">
        <v>401</v>
      </c>
      <c r="C805" t="s">
        <v>72</v>
      </c>
      <c r="D805" t="s">
        <v>72</v>
      </c>
      <c r="E805" t="s">
        <v>72</v>
      </c>
      <c r="F805" t="s">
        <v>402</v>
      </c>
      <c r="G805" t="s">
        <v>72</v>
      </c>
      <c r="H805" t="s">
        <v>72</v>
      </c>
      <c r="I805" t="s">
        <v>403</v>
      </c>
      <c r="J805" t="s">
        <v>404</v>
      </c>
      <c r="K805" t="s">
        <v>72</v>
      </c>
      <c r="L805" t="s">
        <v>72</v>
      </c>
      <c r="M805" t="s">
        <v>76</v>
      </c>
      <c r="N805" t="s">
        <v>52</v>
      </c>
      <c r="O805" t="s">
        <v>72</v>
      </c>
      <c r="P805" t="s">
        <v>72</v>
      </c>
      <c r="Q805" t="s">
        <v>72</v>
      </c>
      <c r="R805" t="s">
        <v>72</v>
      </c>
      <c r="S805" t="s">
        <v>72</v>
      </c>
      <c r="T805" t="s">
        <v>72</v>
      </c>
      <c r="U805" t="s">
        <v>72</v>
      </c>
      <c r="V805" t="s">
        <v>72</v>
      </c>
      <c r="W805" t="s">
        <v>405</v>
      </c>
      <c r="X805" t="s">
        <v>406</v>
      </c>
      <c r="Y805" t="s">
        <v>72</v>
      </c>
      <c r="Z805" t="s">
        <v>72</v>
      </c>
      <c r="AA805" t="s">
        <v>72</v>
      </c>
      <c r="AB805" t="s">
        <v>72</v>
      </c>
      <c r="AC805" t="s">
        <v>72</v>
      </c>
      <c r="AD805" t="s">
        <v>72</v>
      </c>
      <c r="AE805" t="s">
        <v>72</v>
      </c>
      <c r="AF805" t="s">
        <v>72</v>
      </c>
      <c r="AG805">
        <v>0</v>
      </c>
      <c r="AH805">
        <v>0</v>
      </c>
      <c r="AI805">
        <v>0</v>
      </c>
      <c r="AJ805">
        <v>0</v>
      </c>
      <c r="AK805">
        <v>0</v>
      </c>
      <c r="AL805" t="s">
        <v>407</v>
      </c>
      <c r="AM805" t="s">
        <v>408</v>
      </c>
      <c r="AN805" t="s">
        <v>409</v>
      </c>
      <c r="AO805" t="s">
        <v>410</v>
      </c>
      <c r="AP805" t="s">
        <v>72</v>
      </c>
      <c r="AQ805" t="s">
        <v>72</v>
      </c>
      <c r="AR805" t="s">
        <v>411</v>
      </c>
      <c r="AS805" t="s">
        <v>412</v>
      </c>
      <c r="AT805" t="s">
        <v>413</v>
      </c>
      <c r="AU805">
        <v>2008</v>
      </c>
      <c r="AV805">
        <v>43</v>
      </c>
      <c r="AW805" t="s">
        <v>414</v>
      </c>
      <c r="AX805" t="s">
        <v>72</v>
      </c>
      <c r="AY805" t="s">
        <v>72</v>
      </c>
      <c r="AZ805" t="s">
        <v>72</v>
      </c>
      <c r="BA805" t="s">
        <v>72</v>
      </c>
      <c r="BB805">
        <v>396</v>
      </c>
      <c r="BC805">
        <v>396</v>
      </c>
      <c r="BD805" t="s">
        <v>72</v>
      </c>
      <c r="BE805" t="s">
        <v>72</v>
      </c>
      <c r="BF805" t="s">
        <v>72</v>
      </c>
      <c r="BG805" t="s">
        <v>72</v>
      </c>
      <c r="BH805" t="s">
        <v>72</v>
      </c>
      <c r="BI805">
        <v>1</v>
      </c>
      <c r="BJ805" t="s">
        <v>415</v>
      </c>
      <c r="BK805" t="s">
        <v>126</v>
      </c>
      <c r="BL805" t="s">
        <v>416</v>
      </c>
      <c r="BM805" t="s">
        <v>72</v>
      </c>
      <c r="BN805" t="s">
        <v>72</v>
      </c>
      <c r="BO805" t="s">
        <v>72</v>
      </c>
      <c r="BP805" t="s">
        <v>72</v>
      </c>
      <c r="BQ805" t="s">
        <v>100</v>
      </c>
      <c r="BR805" t="s">
        <v>417</v>
      </c>
      <c r="BS805" t="str">
        <f>HYPERLINK("https%3A%2F%2Fwww.webofscience.com%2Fwos%2Fwoscc%2Ffull-record%2FWOS:000259264304687","View Full Record in Web of Science")</f>
        <v>View Full Record in Web of Science</v>
      </c>
    </row>
    <row r="806" spans="1:71" hidden="1" x14ac:dyDescent="0.2">
      <c r="A806" t="s">
        <v>70</v>
      </c>
      <c r="B806" t="s">
        <v>850</v>
      </c>
      <c r="C806" t="s">
        <v>72</v>
      </c>
      <c r="D806" t="s">
        <v>72</v>
      </c>
      <c r="E806" t="s">
        <v>72</v>
      </c>
      <c r="F806" t="s">
        <v>851</v>
      </c>
      <c r="G806" t="s">
        <v>72</v>
      </c>
      <c r="H806" t="s">
        <v>72</v>
      </c>
      <c r="I806" t="s">
        <v>852</v>
      </c>
      <c r="J806" t="s">
        <v>853</v>
      </c>
      <c r="K806" t="s">
        <v>72</v>
      </c>
      <c r="L806" t="s">
        <v>72</v>
      </c>
      <c r="M806" t="s">
        <v>542</v>
      </c>
      <c r="N806" t="s">
        <v>106</v>
      </c>
      <c r="O806" t="s">
        <v>72</v>
      </c>
      <c r="P806" t="s">
        <v>72</v>
      </c>
      <c r="Q806" t="s">
        <v>72</v>
      </c>
      <c r="R806" t="s">
        <v>72</v>
      </c>
      <c r="S806" t="s">
        <v>72</v>
      </c>
      <c r="T806" t="s">
        <v>72</v>
      </c>
      <c r="U806" t="s">
        <v>72</v>
      </c>
      <c r="V806" t="s">
        <v>72</v>
      </c>
      <c r="W806" t="s">
        <v>854</v>
      </c>
      <c r="X806" t="s">
        <v>855</v>
      </c>
      <c r="Y806" t="s">
        <v>856</v>
      </c>
      <c r="Z806" t="s">
        <v>857</v>
      </c>
      <c r="AA806" t="s">
        <v>72</v>
      </c>
      <c r="AB806" t="s">
        <v>72</v>
      </c>
      <c r="AC806" t="s">
        <v>72</v>
      </c>
      <c r="AD806" t="s">
        <v>72</v>
      </c>
      <c r="AE806" t="s">
        <v>72</v>
      </c>
      <c r="AF806" t="s">
        <v>72</v>
      </c>
      <c r="AG806">
        <v>7</v>
      </c>
      <c r="AH806">
        <v>0</v>
      </c>
      <c r="AI806">
        <v>0</v>
      </c>
      <c r="AJ806">
        <v>1</v>
      </c>
      <c r="AK806">
        <v>4</v>
      </c>
      <c r="AL806" t="s">
        <v>858</v>
      </c>
      <c r="AM806" t="s">
        <v>859</v>
      </c>
      <c r="AN806" t="s">
        <v>860</v>
      </c>
      <c r="AO806" t="s">
        <v>861</v>
      </c>
      <c r="AP806" t="s">
        <v>862</v>
      </c>
      <c r="AQ806" t="s">
        <v>72</v>
      </c>
      <c r="AR806" t="s">
        <v>863</v>
      </c>
      <c r="AS806" t="s">
        <v>864</v>
      </c>
      <c r="AT806" t="s">
        <v>776</v>
      </c>
      <c r="AU806">
        <v>2021</v>
      </c>
      <c r="AV806">
        <v>71</v>
      </c>
      <c r="AW806">
        <v>7</v>
      </c>
      <c r="AX806" t="s">
        <v>72</v>
      </c>
      <c r="AY806" t="s">
        <v>72</v>
      </c>
      <c r="AZ806" t="s">
        <v>72</v>
      </c>
      <c r="BA806" t="s">
        <v>72</v>
      </c>
      <c r="BB806">
        <v>301</v>
      </c>
      <c r="BC806">
        <v>302</v>
      </c>
      <c r="BD806" t="s">
        <v>72</v>
      </c>
      <c r="BE806" t="s">
        <v>865</v>
      </c>
      <c r="BF806" t="str">
        <f>HYPERLINK("http://dx.doi.org/10.1055/a-1385-9319","http://dx.doi.org/10.1055/a-1385-9319")</f>
        <v>http://dx.doi.org/10.1055/a-1385-9319</v>
      </c>
      <c r="BG806" t="s">
        <v>72</v>
      </c>
      <c r="BH806" t="s">
        <v>72</v>
      </c>
      <c r="BI806">
        <v>2</v>
      </c>
      <c r="BJ806" t="s">
        <v>866</v>
      </c>
      <c r="BK806" t="s">
        <v>126</v>
      </c>
      <c r="BL806" t="s">
        <v>867</v>
      </c>
      <c r="BM806">
        <v>34237790</v>
      </c>
      <c r="BN806" t="s">
        <v>72</v>
      </c>
      <c r="BO806" t="s">
        <v>72</v>
      </c>
      <c r="BP806" t="s">
        <v>72</v>
      </c>
      <c r="BQ806" t="s">
        <v>100</v>
      </c>
      <c r="BR806" t="s">
        <v>868</v>
      </c>
      <c r="BS806" t="str">
        <f>HYPERLINK("https%3A%2F%2Fwww.webofscience.com%2Fwos%2Fwoscc%2Ffull-record%2FWOS:000670741900006","View Full Record in Web of Science")</f>
        <v>View Full Record in Web of Science</v>
      </c>
    </row>
    <row r="807" spans="1:71" hidden="1" x14ac:dyDescent="0.2">
      <c r="A807" t="s">
        <v>70</v>
      </c>
      <c r="B807" t="s">
        <v>889</v>
      </c>
      <c r="C807" t="s">
        <v>72</v>
      </c>
      <c r="D807" t="s">
        <v>72</v>
      </c>
      <c r="E807" t="s">
        <v>72</v>
      </c>
      <c r="F807" t="s">
        <v>890</v>
      </c>
      <c r="G807" t="s">
        <v>72</v>
      </c>
      <c r="H807" t="s">
        <v>72</v>
      </c>
      <c r="I807" t="s">
        <v>891</v>
      </c>
      <c r="J807" t="s">
        <v>892</v>
      </c>
      <c r="K807" t="s">
        <v>72</v>
      </c>
      <c r="L807" t="s">
        <v>72</v>
      </c>
      <c r="M807" t="s">
        <v>76</v>
      </c>
      <c r="N807" t="s">
        <v>106</v>
      </c>
      <c r="O807" t="s">
        <v>72</v>
      </c>
      <c r="P807" t="s">
        <v>72</v>
      </c>
      <c r="Q807" t="s">
        <v>72</v>
      </c>
      <c r="R807" t="s">
        <v>72</v>
      </c>
      <c r="S807" t="s">
        <v>72</v>
      </c>
      <c r="T807" t="s">
        <v>893</v>
      </c>
      <c r="U807" t="s">
        <v>894</v>
      </c>
      <c r="V807" t="s">
        <v>72</v>
      </c>
      <c r="W807" t="s">
        <v>895</v>
      </c>
      <c r="X807" t="s">
        <v>896</v>
      </c>
      <c r="Y807" t="s">
        <v>897</v>
      </c>
      <c r="Z807" t="s">
        <v>292</v>
      </c>
      <c r="AA807" t="s">
        <v>72</v>
      </c>
      <c r="AB807" t="s">
        <v>72</v>
      </c>
      <c r="AC807" t="s">
        <v>898</v>
      </c>
      <c r="AD807" t="s">
        <v>899</v>
      </c>
      <c r="AE807" t="s">
        <v>900</v>
      </c>
      <c r="AF807" t="s">
        <v>72</v>
      </c>
      <c r="AG807">
        <v>51</v>
      </c>
      <c r="AH807">
        <v>8</v>
      </c>
      <c r="AI807">
        <v>9</v>
      </c>
      <c r="AJ807">
        <v>0</v>
      </c>
      <c r="AK807">
        <v>10</v>
      </c>
      <c r="AL807" t="s">
        <v>901</v>
      </c>
      <c r="AM807" t="s">
        <v>902</v>
      </c>
      <c r="AN807" t="s">
        <v>903</v>
      </c>
      <c r="AO807" t="s">
        <v>904</v>
      </c>
      <c r="AP807" t="s">
        <v>72</v>
      </c>
      <c r="AQ807" t="s">
        <v>72</v>
      </c>
      <c r="AR807" t="s">
        <v>905</v>
      </c>
      <c r="AS807" t="s">
        <v>906</v>
      </c>
      <c r="AT807" t="s">
        <v>907</v>
      </c>
      <c r="AU807">
        <v>2015</v>
      </c>
      <c r="AV807">
        <v>6</v>
      </c>
      <c r="AW807" t="s">
        <v>72</v>
      </c>
      <c r="AX807" t="s">
        <v>72</v>
      </c>
      <c r="AY807" t="s">
        <v>72</v>
      </c>
      <c r="AZ807" t="s">
        <v>72</v>
      </c>
      <c r="BA807" t="s">
        <v>72</v>
      </c>
      <c r="BB807" t="s">
        <v>72</v>
      </c>
      <c r="BC807" t="s">
        <v>72</v>
      </c>
      <c r="BD807">
        <v>716</v>
      </c>
      <c r="BE807" t="s">
        <v>908</v>
      </c>
      <c r="BF807" t="str">
        <f>HYPERLINK("http://dx.doi.org/10.3389/fpsyg.2015.00716","http://dx.doi.org/10.3389/fpsyg.2015.00716")</f>
        <v>http://dx.doi.org/10.3389/fpsyg.2015.00716</v>
      </c>
      <c r="BG807" t="s">
        <v>72</v>
      </c>
      <c r="BH807" t="s">
        <v>72</v>
      </c>
      <c r="BI807">
        <v>5</v>
      </c>
      <c r="BJ807" t="s">
        <v>415</v>
      </c>
      <c r="BK807" t="s">
        <v>126</v>
      </c>
      <c r="BL807" t="s">
        <v>909</v>
      </c>
      <c r="BM807">
        <v>26074856</v>
      </c>
      <c r="BN807" t="s">
        <v>910</v>
      </c>
      <c r="BO807" t="s">
        <v>72</v>
      </c>
      <c r="BP807" t="s">
        <v>72</v>
      </c>
      <c r="BQ807" t="s">
        <v>100</v>
      </c>
      <c r="BR807" t="s">
        <v>911</v>
      </c>
      <c r="BS807" t="str">
        <f>HYPERLINK("https%3A%2F%2Fwww.webofscience.com%2Fwos%2Fwoscc%2Ffull-record%2FWOS:000355491400001","View Full Record in Web of Science")</f>
        <v>View Full Record in Web of Science</v>
      </c>
    </row>
    <row r="808" spans="1:71" hidden="1" x14ac:dyDescent="0.2">
      <c r="A808" t="s">
        <v>70</v>
      </c>
      <c r="B808" t="s">
        <v>1268</v>
      </c>
      <c r="C808" t="s">
        <v>72</v>
      </c>
      <c r="D808" t="s">
        <v>72</v>
      </c>
      <c r="E808" t="s">
        <v>72</v>
      </c>
      <c r="F808" t="s">
        <v>1269</v>
      </c>
      <c r="G808" t="s">
        <v>72</v>
      </c>
      <c r="H808" t="s">
        <v>72</v>
      </c>
      <c r="I808" t="s">
        <v>1270</v>
      </c>
      <c r="J808" t="s">
        <v>1271</v>
      </c>
      <c r="K808" t="s">
        <v>72</v>
      </c>
      <c r="L808" t="s">
        <v>72</v>
      </c>
      <c r="M808" t="s">
        <v>76</v>
      </c>
      <c r="N808" t="s">
        <v>77</v>
      </c>
      <c r="O808" t="s">
        <v>72</v>
      </c>
      <c r="P808" t="s">
        <v>72</v>
      </c>
      <c r="Q808" t="s">
        <v>72</v>
      </c>
      <c r="R808" t="s">
        <v>72</v>
      </c>
      <c r="S808" t="s">
        <v>72</v>
      </c>
      <c r="T808" t="s">
        <v>1272</v>
      </c>
      <c r="U808" t="s">
        <v>1273</v>
      </c>
      <c r="V808" t="s">
        <v>1274</v>
      </c>
      <c r="W808" t="s">
        <v>1275</v>
      </c>
      <c r="X808" t="s">
        <v>1276</v>
      </c>
      <c r="Y808" t="s">
        <v>1277</v>
      </c>
      <c r="Z808" t="s">
        <v>1278</v>
      </c>
      <c r="AA808" t="s">
        <v>72</v>
      </c>
      <c r="AB808" t="s">
        <v>72</v>
      </c>
      <c r="AC808" t="s">
        <v>72</v>
      </c>
      <c r="AD808" t="s">
        <v>72</v>
      </c>
      <c r="AE808" t="s">
        <v>72</v>
      </c>
      <c r="AF808" t="s">
        <v>72</v>
      </c>
      <c r="AG808">
        <v>111</v>
      </c>
      <c r="AH808">
        <v>2</v>
      </c>
      <c r="AI808">
        <v>2</v>
      </c>
      <c r="AJ808">
        <v>10</v>
      </c>
      <c r="AK808">
        <v>28</v>
      </c>
      <c r="AL808" t="s">
        <v>1279</v>
      </c>
      <c r="AM808" t="s">
        <v>1280</v>
      </c>
      <c r="AN808" t="s">
        <v>1281</v>
      </c>
      <c r="AO808" t="s">
        <v>1282</v>
      </c>
      <c r="AP808" t="s">
        <v>1283</v>
      </c>
      <c r="AQ808" t="s">
        <v>72</v>
      </c>
      <c r="AR808" t="s">
        <v>1284</v>
      </c>
      <c r="AS808" t="s">
        <v>1285</v>
      </c>
      <c r="AT808" t="s">
        <v>1286</v>
      </c>
      <c r="AU808">
        <v>2022</v>
      </c>
      <c r="AV808">
        <v>77</v>
      </c>
      <c r="AW808">
        <v>4</v>
      </c>
      <c r="AX808" t="s">
        <v>72</v>
      </c>
      <c r="AY808" t="s">
        <v>72</v>
      </c>
      <c r="AZ808" t="s">
        <v>72</v>
      </c>
      <c r="BA808" t="s">
        <v>72</v>
      </c>
      <c r="BB808">
        <v>525</v>
      </c>
      <c r="BC808">
        <v>537</v>
      </c>
      <c r="BD808" t="s">
        <v>72</v>
      </c>
      <c r="BE808" t="s">
        <v>1287</v>
      </c>
      <c r="BF808" t="str">
        <f>HYPERLINK("http://dx.doi.org/10.1037/amp0000882","http://dx.doi.org/10.1037/amp0000882")</f>
        <v>http://dx.doi.org/10.1037/amp0000882</v>
      </c>
      <c r="BG808" t="s">
        <v>72</v>
      </c>
      <c r="BH808" t="s">
        <v>1288</v>
      </c>
      <c r="BI808">
        <v>13</v>
      </c>
      <c r="BJ808" t="s">
        <v>415</v>
      </c>
      <c r="BK808" t="s">
        <v>126</v>
      </c>
      <c r="BL808" t="s">
        <v>1289</v>
      </c>
      <c r="BM808">
        <v>34914405</v>
      </c>
      <c r="BN808" t="s">
        <v>72</v>
      </c>
      <c r="BO808" t="s">
        <v>72</v>
      </c>
      <c r="BP808" t="s">
        <v>72</v>
      </c>
      <c r="BQ808" t="s">
        <v>100</v>
      </c>
      <c r="BR808" t="s">
        <v>1290</v>
      </c>
      <c r="BS808" t="str">
        <f>HYPERLINK("https%3A%2F%2Fwww.webofscience.com%2Fwos%2Fwoscc%2Ffull-record%2FWOS:000733230300001","View Full Record in Web of Science")</f>
        <v>View Full Record in Web of Science</v>
      </c>
    </row>
    <row r="809" spans="1:71" hidden="1" x14ac:dyDescent="0.2">
      <c r="A809" t="s">
        <v>70</v>
      </c>
      <c r="B809" t="s">
        <v>1542</v>
      </c>
      <c r="C809" t="s">
        <v>72</v>
      </c>
      <c r="D809" t="s">
        <v>72</v>
      </c>
      <c r="E809" t="s">
        <v>72</v>
      </c>
      <c r="F809" t="s">
        <v>1543</v>
      </c>
      <c r="G809" t="s">
        <v>72</v>
      </c>
      <c r="H809" t="s">
        <v>72</v>
      </c>
      <c r="I809" t="s">
        <v>1544</v>
      </c>
      <c r="J809" t="s">
        <v>1545</v>
      </c>
      <c r="K809" t="s">
        <v>72</v>
      </c>
      <c r="L809" t="s">
        <v>72</v>
      </c>
      <c r="M809" t="s">
        <v>76</v>
      </c>
      <c r="N809" t="s">
        <v>77</v>
      </c>
      <c r="O809" t="s">
        <v>72</v>
      </c>
      <c r="P809" t="s">
        <v>72</v>
      </c>
      <c r="Q809" t="s">
        <v>72</v>
      </c>
      <c r="R809" t="s">
        <v>72</v>
      </c>
      <c r="S809" t="s">
        <v>72</v>
      </c>
      <c r="T809" t="s">
        <v>72</v>
      </c>
      <c r="U809" t="s">
        <v>1546</v>
      </c>
      <c r="V809" t="s">
        <v>1547</v>
      </c>
      <c r="W809" t="s">
        <v>1548</v>
      </c>
      <c r="X809" t="s">
        <v>1549</v>
      </c>
      <c r="Y809" t="s">
        <v>1550</v>
      </c>
      <c r="Z809" t="s">
        <v>1551</v>
      </c>
      <c r="AA809" t="s">
        <v>72</v>
      </c>
      <c r="AB809" t="s">
        <v>72</v>
      </c>
      <c r="AC809" t="s">
        <v>72</v>
      </c>
      <c r="AD809" t="s">
        <v>72</v>
      </c>
      <c r="AE809" t="s">
        <v>72</v>
      </c>
      <c r="AF809" t="s">
        <v>72</v>
      </c>
      <c r="AG809">
        <v>56</v>
      </c>
      <c r="AH809">
        <v>0</v>
      </c>
      <c r="AI809">
        <v>0</v>
      </c>
      <c r="AJ809">
        <v>1</v>
      </c>
      <c r="AK809">
        <v>1</v>
      </c>
      <c r="AL809" t="s">
        <v>269</v>
      </c>
      <c r="AM809" t="s">
        <v>270</v>
      </c>
      <c r="AN809" t="s">
        <v>271</v>
      </c>
      <c r="AO809" t="s">
        <v>1552</v>
      </c>
      <c r="AP809" t="s">
        <v>1553</v>
      </c>
      <c r="AQ809" t="s">
        <v>72</v>
      </c>
      <c r="AR809" t="s">
        <v>1554</v>
      </c>
      <c r="AS809" t="s">
        <v>1555</v>
      </c>
      <c r="AT809" t="s">
        <v>1556</v>
      </c>
      <c r="AU809">
        <v>2022</v>
      </c>
      <c r="AV809">
        <v>35</v>
      </c>
      <c r="AW809">
        <v>2</v>
      </c>
      <c r="AX809" t="s">
        <v>72</v>
      </c>
      <c r="AY809" t="s">
        <v>72</v>
      </c>
      <c r="AZ809" t="s">
        <v>72</v>
      </c>
      <c r="BA809" t="s">
        <v>72</v>
      </c>
      <c r="BB809">
        <v>755</v>
      </c>
      <c r="BC809">
        <v>777</v>
      </c>
      <c r="BD809" t="s">
        <v>72</v>
      </c>
      <c r="BE809" t="s">
        <v>1557</v>
      </c>
      <c r="BF809" t="str">
        <f>HYPERLINK("http://dx.doi.org/10.1080/10720537.2021.1883489","http://dx.doi.org/10.1080/10720537.2021.1883489")</f>
        <v>http://dx.doi.org/10.1080/10720537.2021.1883489</v>
      </c>
      <c r="BG809" t="s">
        <v>72</v>
      </c>
      <c r="BH809" t="s">
        <v>344</v>
      </c>
      <c r="BI809">
        <v>23</v>
      </c>
      <c r="BJ809" t="s">
        <v>866</v>
      </c>
      <c r="BK809" t="s">
        <v>126</v>
      </c>
      <c r="BL809" t="s">
        <v>1558</v>
      </c>
      <c r="BM809" t="s">
        <v>72</v>
      </c>
      <c r="BN809" t="s">
        <v>72</v>
      </c>
      <c r="BO809" t="s">
        <v>72</v>
      </c>
      <c r="BP809" t="s">
        <v>72</v>
      </c>
      <c r="BQ809" t="s">
        <v>100</v>
      </c>
      <c r="BR809" t="s">
        <v>1559</v>
      </c>
      <c r="BS809" t="str">
        <f>HYPERLINK("https%3A%2F%2Fwww.webofscience.com%2Fwos%2Fwoscc%2Ffull-record%2FWOS:000617586200001","View Full Record in Web of Science")</f>
        <v>View Full Record in Web of Science</v>
      </c>
    </row>
    <row r="810" spans="1:71" hidden="1" x14ac:dyDescent="0.2">
      <c r="A810" t="s">
        <v>70</v>
      </c>
      <c r="B810" t="s">
        <v>689</v>
      </c>
      <c r="C810" t="s">
        <v>72</v>
      </c>
      <c r="D810" t="s">
        <v>72</v>
      </c>
      <c r="E810" t="s">
        <v>72</v>
      </c>
      <c r="F810" t="s">
        <v>691</v>
      </c>
      <c r="G810" t="s">
        <v>72</v>
      </c>
      <c r="H810" t="s">
        <v>72</v>
      </c>
      <c r="I810" t="s">
        <v>2138</v>
      </c>
      <c r="J810" t="s">
        <v>2139</v>
      </c>
      <c r="K810" t="s">
        <v>72</v>
      </c>
      <c r="L810" t="s">
        <v>72</v>
      </c>
      <c r="M810" t="s">
        <v>76</v>
      </c>
      <c r="N810" t="s">
        <v>77</v>
      </c>
      <c r="O810" t="s">
        <v>72</v>
      </c>
      <c r="P810" t="s">
        <v>72</v>
      </c>
      <c r="Q810" t="s">
        <v>72</v>
      </c>
      <c r="R810" t="s">
        <v>72</v>
      </c>
      <c r="S810" t="s">
        <v>72</v>
      </c>
      <c r="T810" t="s">
        <v>2140</v>
      </c>
      <c r="U810" t="s">
        <v>2141</v>
      </c>
      <c r="V810" t="s">
        <v>2142</v>
      </c>
      <c r="W810" t="s">
        <v>2143</v>
      </c>
      <c r="X810" t="s">
        <v>72</v>
      </c>
      <c r="Y810" t="s">
        <v>2144</v>
      </c>
      <c r="Z810" t="s">
        <v>2145</v>
      </c>
      <c r="AA810" t="s">
        <v>72</v>
      </c>
      <c r="AB810" t="s">
        <v>705</v>
      </c>
      <c r="AC810" t="s">
        <v>72</v>
      </c>
      <c r="AD810" t="s">
        <v>72</v>
      </c>
      <c r="AE810" t="s">
        <v>72</v>
      </c>
      <c r="AF810" t="s">
        <v>72</v>
      </c>
      <c r="AG810">
        <v>35</v>
      </c>
      <c r="AH810">
        <v>17</v>
      </c>
      <c r="AI810">
        <v>17</v>
      </c>
      <c r="AJ810">
        <v>1</v>
      </c>
      <c r="AK810">
        <v>32</v>
      </c>
      <c r="AL810" t="s">
        <v>450</v>
      </c>
      <c r="AM810" t="s">
        <v>451</v>
      </c>
      <c r="AN810" t="s">
        <v>452</v>
      </c>
      <c r="AO810" t="s">
        <v>2146</v>
      </c>
      <c r="AP810" t="s">
        <v>2147</v>
      </c>
      <c r="AQ810" t="s">
        <v>72</v>
      </c>
      <c r="AR810" t="s">
        <v>2148</v>
      </c>
      <c r="AS810" t="s">
        <v>2149</v>
      </c>
      <c r="AT810" t="s">
        <v>951</v>
      </c>
      <c r="AU810">
        <v>2017</v>
      </c>
      <c r="AV810">
        <v>76</v>
      </c>
      <c r="AW810" t="s">
        <v>72</v>
      </c>
      <c r="AX810" t="s">
        <v>72</v>
      </c>
      <c r="AY810" t="s">
        <v>72</v>
      </c>
      <c r="AZ810" t="s">
        <v>72</v>
      </c>
      <c r="BA810" t="s">
        <v>72</v>
      </c>
      <c r="BB810">
        <v>122</v>
      </c>
      <c r="BC810">
        <v>127</v>
      </c>
      <c r="BD810" t="s">
        <v>72</v>
      </c>
      <c r="BE810" t="s">
        <v>2150</v>
      </c>
      <c r="BF810" t="str">
        <f>HYPERLINK("http://dx.doi.org/10.1016/j.chb.2017.06.038","http://dx.doi.org/10.1016/j.chb.2017.06.038")</f>
        <v>http://dx.doi.org/10.1016/j.chb.2017.06.038</v>
      </c>
      <c r="BG810" t="s">
        <v>72</v>
      </c>
      <c r="BH810" t="s">
        <v>72</v>
      </c>
      <c r="BI810">
        <v>6</v>
      </c>
      <c r="BJ810" t="s">
        <v>2151</v>
      </c>
      <c r="BK810" t="s">
        <v>126</v>
      </c>
      <c r="BL810" t="s">
        <v>2152</v>
      </c>
      <c r="BM810" t="s">
        <v>72</v>
      </c>
      <c r="BN810" t="s">
        <v>72</v>
      </c>
      <c r="BO810" t="s">
        <v>72</v>
      </c>
      <c r="BP810" t="s">
        <v>72</v>
      </c>
      <c r="BQ810" t="s">
        <v>100</v>
      </c>
      <c r="BR810" t="s">
        <v>2153</v>
      </c>
      <c r="BS810" t="str">
        <f>HYPERLINK("https%3A%2F%2Fwww.webofscience.com%2Fwos%2Fwoscc%2Ffull-record%2FWOS:000412251400015","View Full Record in Web of Science")</f>
        <v>View Full Record in Web of Science</v>
      </c>
    </row>
    <row r="811" spans="1:71" hidden="1" x14ac:dyDescent="0.2">
      <c r="A811" t="s">
        <v>70</v>
      </c>
      <c r="B811" t="s">
        <v>2470</v>
      </c>
      <c r="C811" t="s">
        <v>72</v>
      </c>
      <c r="D811" t="s">
        <v>72</v>
      </c>
      <c r="E811" t="s">
        <v>72</v>
      </c>
      <c r="F811" t="s">
        <v>2471</v>
      </c>
      <c r="G811" t="s">
        <v>72</v>
      </c>
      <c r="H811" t="s">
        <v>72</v>
      </c>
      <c r="I811" t="s">
        <v>2472</v>
      </c>
      <c r="J811" t="s">
        <v>2473</v>
      </c>
      <c r="K811" t="s">
        <v>72</v>
      </c>
      <c r="L811" t="s">
        <v>72</v>
      </c>
      <c r="M811" t="s">
        <v>76</v>
      </c>
      <c r="N811" t="s">
        <v>77</v>
      </c>
      <c r="O811" t="s">
        <v>72</v>
      </c>
      <c r="P811" t="s">
        <v>72</v>
      </c>
      <c r="Q811" t="s">
        <v>72</v>
      </c>
      <c r="R811" t="s">
        <v>72</v>
      </c>
      <c r="S811" t="s">
        <v>72</v>
      </c>
      <c r="T811" t="s">
        <v>2474</v>
      </c>
      <c r="U811" t="s">
        <v>2475</v>
      </c>
      <c r="V811" t="s">
        <v>2476</v>
      </c>
      <c r="W811" t="s">
        <v>2477</v>
      </c>
      <c r="X811" t="s">
        <v>2478</v>
      </c>
      <c r="Y811" t="s">
        <v>2479</v>
      </c>
      <c r="Z811" t="s">
        <v>2480</v>
      </c>
      <c r="AA811" t="s">
        <v>72</v>
      </c>
      <c r="AB811" t="s">
        <v>72</v>
      </c>
      <c r="AC811" t="s">
        <v>2481</v>
      </c>
      <c r="AD811" t="s">
        <v>2481</v>
      </c>
      <c r="AE811" t="s">
        <v>2482</v>
      </c>
      <c r="AF811" t="s">
        <v>72</v>
      </c>
      <c r="AG811">
        <v>37</v>
      </c>
      <c r="AH811">
        <v>6</v>
      </c>
      <c r="AI811">
        <v>6</v>
      </c>
      <c r="AJ811">
        <v>0</v>
      </c>
      <c r="AK811">
        <v>0</v>
      </c>
      <c r="AL811" t="s">
        <v>2483</v>
      </c>
      <c r="AM811" t="s">
        <v>1280</v>
      </c>
      <c r="AN811" t="s">
        <v>2484</v>
      </c>
      <c r="AO811" t="s">
        <v>2485</v>
      </c>
      <c r="AP811" t="s">
        <v>2486</v>
      </c>
      <c r="AQ811" t="s">
        <v>72</v>
      </c>
      <c r="AR811" t="s">
        <v>2473</v>
      </c>
      <c r="AS811" t="s">
        <v>2487</v>
      </c>
      <c r="AT811" t="s">
        <v>555</v>
      </c>
      <c r="AU811">
        <v>2020</v>
      </c>
      <c r="AV811">
        <v>30</v>
      </c>
      <c r="AW811">
        <v>1</v>
      </c>
      <c r="AX811" t="s">
        <v>72</v>
      </c>
      <c r="AY811" t="s">
        <v>72</v>
      </c>
      <c r="AZ811" t="s">
        <v>72</v>
      </c>
      <c r="BA811" t="s">
        <v>72</v>
      </c>
      <c r="BB811">
        <v>54</v>
      </c>
      <c r="BC811">
        <v>67</v>
      </c>
      <c r="BD811" t="s">
        <v>72</v>
      </c>
      <c r="BE811" t="s">
        <v>2488</v>
      </c>
      <c r="BF811" t="str">
        <f>HYPERLINK("http://dx.doi.org/10.1037/drm0000128","http://dx.doi.org/10.1037/drm0000128")</f>
        <v>http://dx.doi.org/10.1037/drm0000128</v>
      </c>
      <c r="BG811" t="s">
        <v>72</v>
      </c>
      <c r="BH811" t="s">
        <v>72</v>
      </c>
      <c r="BI811">
        <v>14</v>
      </c>
      <c r="BJ811" t="s">
        <v>415</v>
      </c>
      <c r="BK811" t="s">
        <v>126</v>
      </c>
      <c r="BL811" t="s">
        <v>2489</v>
      </c>
      <c r="BM811" t="s">
        <v>72</v>
      </c>
      <c r="BN811" t="s">
        <v>72</v>
      </c>
      <c r="BO811" t="s">
        <v>72</v>
      </c>
      <c r="BP811" t="s">
        <v>72</v>
      </c>
      <c r="BQ811" t="s">
        <v>100</v>
      </c>
      <c r="BR811" t="s">
        <v>2490</v>
      </c>
      <c r="BS811" t="str">
        <f>HYPERLINK("https%3A%2F%2Fwww.webofscience.com%2Fwos%2Fwoscc%2Ffull-record%2FWOS:000607809700005","View Full Record in Web of Science")</f>
        <v>View Full Record in Web of Science</v>
      </c>
    </row>
    <row r="812" spans="1:71" hidden="1" x14ac:dyDescent="0.2">
      <c r="A812" t="s">
        <v>70</v>
      </c>
      <c r="B812" t="s">
        <v>2566</v>
      </c>
      <c r="C812" t="s">
        <v>72</v>
      </c>
      <c r="D812" t="s">
        <v>72</v>
      </c>
      <c r="E812" t="s">
        <v>72</v>
      </c>
      <c r="F812" t="s">
        <v>2567</v>
      </c>
      <c r="G812" t="s">
        <v>72</v>
      </c>
      <c r="H812" t="s">
        <v>72</v>
      </c>
      <c r="I812" t="s">
        <v>2568</v>
      </c>
      <c r="J812" t="s">
        <v>892</v>
      </c>
      <c r="K812" t="s">
        <v>72</v>
      </c>
      <c r="L812" t="s">
        <v>72</v>
      </c>
      <c r="M812" t="s">
        <v>76</v>
      </c>
      <c r="N812" t="s">
        <v>77</v>
      </c>
      <c r="O812" t="s">
        <v>72</v>
      </c>
      <c r="P812" t="s">
        <v>72</v>
      </c>
      <c r="Q812" t="s">
        <v>72</v>
      </c>
      <c r="R812" t="s">
        <v>72</v>
      </c>
      <c r="S812" t="s">
        <v>72</v>
      </c>
      <c r="T812" t="s">
        <v>2569</v>
      </c>
      <c r="U812" t="s">
        <v>2570</v>
      </c>
      <c r="V812" t="s">
        <v>2571</v>
      </c>
      <c r="W812" t="s">
        <v>2572</v>
      </c>
      <c r="X812" t="s">
        <v>2573</v>
      </c>
      <c r="Y812" t="s">
        <v>2574</v>
      </c>
      <c r="Z812" t="s">
        <v>2575</v>
      </c>
      <c r="AA812" t="s">
        <v>2576</v>
      </c>
      <c r="AB812" t="s">
        <v>2577</v>
      </c>
      <c r="AC812" t="s">
        <v>72</v>
      </c>
      <c r="AD812" t="s">
        <v>72</v>
      </c>
      <c r="AE812" t="s">
        <v>72</v>
      </c>
      <c r="AF812" t="s">
        <v>72</v>
      </c>
      <c r="AG812">
        <v>57</v>
      </c>
      <c r="AH812">
        <v>53</v>
      </c>
      <c r="AI812">
        <v>55</v>
      </c>
      <c r="AJ812">
        <v>11</v>
      </c>
      <c r="AK812">
        <v>130</v>
      </c>
      <c r="AL812" t="s">
        <v>901</v>
      </c>
      <c r="AM812" t="s">
        <v>902</v>
      </c>
      <c r="AN812" t="s">
        <v>903</v>
      </c>
      <c r="AO812" t="s">
        <v>904</v>
      </c>
      <c r="AP812" t="s">
        <v>72</v>
      </c>
      <c r="AQ812" t="s">
        <v>72</v>
      </c>
      <c r="AR812" t="s">
        <v>905</v>
      </c>
      <c r="AS812" t="s">
        <v>906</v>
      </c>
      <c r="AT812" t="s">
        <v>2578</v>
      </c>
      <c r="AU812">
        <v>2015</v>
      </c>
      <c r="AV812">
        <v>6</v>
      </c>
      <c r="AW812" t="s">
        <v>72</v>
      </c>
      <c r="AX812" t="s">
        <v>72</v>
      </c>
      <c r="AY812" t="s">
        <v>72</v>
      </c>
      <c r="AZ812" t="s">
        <v>72</v>
      </c>
      <c r="BA812" t="s">
        <v>72</v>
      </c>
      <c r="BB812" t="s">
        <v>72</v>
      </c>
      <c r="BC812" t="s">
        <v>72</v>
      </c>
      <c r="BD812">
        <v>1045</v>
      </c>
      <c r="BE812" t="s">
        <v>2579</v>
      </c>
      <c r="BF812" t="str">
        <f>HYPERLINK("http://dx.doi.org/10.3389/fpsyg.2015.01045","http://dx.doi.org/10.3389/fpsyg.2015.01045")</f>
        <v>http://dx.doi.org/10.3389/fpsyg.2015.01045</v>
      </c>
      <c r="BG812" t="s">
        <v>72</v>
      </c>
      <c r="BH812" t="s">
        <v>72</v>
      </c>
      <c r="BI812">
        <v>7</v>
      </c>
      <c r="BJ812" t="s">
        <v>415</v>
      </c>
      <c r="BK812" t="s">
        <v>126</v>
      </c>
      <c r="BL812" t="s">
        <v>2580</v>
      </c>
      <c r="BM812">
        <v>26257692</v>
      </c>
      <c r="BN812" t="s">
        <v>910</v>
      </c>
      <c r="BO812" t="s">
        <v>72</v>
      </c>
      <c r="BP812" t="s">
        <v>72</v>
      </c>
      <c r="BQ812" t="s">
        <v>100</v>
      </c>
      <c r="BR812" t="s">
        <v>2581</v>
      </c>
      <c r="BS812" t="str">
        <f>HYPERLINK("https%3A%2F%2Fwww.webofscience.com%2Fwos%2Fwoscc%2Ffull-record%2FWOS:000358878800001","View Full Record in Web of Science")</f>
        <v>View Full Record in Web of Science</v>
      </c>
    </row>
    <row r="813" spans="1:71" hidden="1" x14ac:dyDescent="0.2">
      <c r="A813" t="s">
        <v>70</v>
      </c>
      <c r="B813" t="s">
        <v>2924</v>
      </c>
      <c r="C813" t="s">
        <v>72</v>
      </c>
      <c r="D813" t="s">
        <v>72</v>
      </c>
      <c r="E813" t="s">
        <v>72</v>
      </c>
      <c r="F813" t="s">
        <v>2925</v>
      </c>
      <c r="G813" t="s">
        <v>72</v>
      </c>
      <c r="H813" t="s">
        <v>72</v>
      </c>
      <c r="I813" t="s">
        <v>2926</v>
      </c>
      <c r="J813" t="s">
        <v>2927</v>
      </c>
      <c r="K813" t="s">
        <v>72</v>
      </c>
      <c r="L813" t="s">
        <v>72</v>
      </c>
      <c r="M813" t="s">
        <v>76</v>
      </c>
      <c r="N813" t="s">
        <v>77</v>
      </c>
      <c r="O813" t="s">
        <v>72</v>
      </c>
      <c r="P813" t="s">
        <v>72</v>
      </c>
      <c r="Q813" t="s">
        <v>72</v>
      </c>
      <c r="R813" t="s">
        <v>72</v>
      </c>
      <c r="S813" t="s">
        <v>72</v>
      </c>
      <c r="T813" t="s">
        <v>2928</v>
      </c>
      <c r="U813" t="s">
        <v>2929</v>
      </c>
      <c r="V813" t="s">
        <v>2930</v>
      </c>
      <c r="W813" t="s">
        <v>2931</v>
      </c>
      <c r="X813" t="s">
        <v>2932</v>
      </c>
      <c r="Y813" t="s">
        <v>2933</v>
      </c>
      <c r="Z813" t="s">
        <v>2934</v>
      </c>
      <c r="AA813" t="s">
        <v>2935</v>
      </c>
      <c r="AB813" t="s">
        <v>2936</v>
      </c>
      <c r="AC813" t="s">
        <v>72</v>
      </c>
      <c r="AD813" t="s">
        <v>72</v>
      </c>
      <c r="AE813" t="s">
        <v>72</v>
      </c>
      <c r="AF813" t="s">
        <v>72</v>
      </c>
      <c r="AG813">
        <v>104</v>
      </c>
      <c r="AH813">
        <v>1</v>
      </c>
      <c r="AI813">
        <v>1</v>
      </c>
      <c r="AJ813">
        <v>0</v>
      </c>
      <c r="AK813">
        <v>9</v>
      </c>
      <c r="AL813" t="s">
        <v>336</v>
      </c>
      <c r="AM813" t="s">
        <v>337</v>
      </c>
      <c r="AN813" t="s">
        <v>338</v>
      </c>
      <c r="AO813" t="s">
        <v>2937</v>
      </c>
      <c r="AP813" t="s">
        <v>2938</v>
      </c>
      <c r="AQ813" t="s">
        <v>72</v>
      </c>
      <c r="AR813" t="s">
        <v>2939</v>
      </c>
      <c r="AS813" t="s">
        <v>2940</v>
      </c>
      <c r="AT813" t="s">
        <v>95</v>
      </c>
      <c r="AU813">
        <v>2020</v>
      </c>
      <c r="AV813">
        <v>34</v>
      </c>
      <c r="AW813">
        <v>5</v>
      </c>
      <c r="AX813" t="s">
        <v>72</v>
      </c>
      <c r="AY813" t="s">
        <v>72</v>
      </c>
      <c r="AZ813" t="s">
        <v>478</v>
      </c>
      <c r="BA813" t="s">
        <v>72</v>
      </c>
      <c r="BB813">
        <v>917</v>
      </c>
      <c r="BC813">
        <v>943</v>
      </c>
      <c r="BD813" t="s">
        <v>72</v>
      </c>
      <c r="BE813" t="s">
        <v>2941</v>
      </c>
      <c r="BF813" t="str">
        <f>HYPERLINK("http://dx.doi.org/10.1002/per.2270","http://dx.doi.org/10.1002/per.2270")</f>
        <v>http://dx.doi.org/10.1002/per.2270</v>
      </c>
      <c r="BG813" t="s">
        <v>72</v>
      </c>
      <c r="BH813" t="s">
        <v>2942</v>
      </c>
      <c r="BI813">
        <v>27</v>
      </c>
      <c r="BJ813" t="s">
        <v>125</v>
      </c>
      <c r="BK813" t="s">
        <v>126</v>
      </c>
      <c r="BL813" t="s">
        <v>2943</v>
      </c>
      <c r="BM813" t="s">
        <v>72</v>
      </c>
      <c r="BN813" t="s">
        <v>559</v>
      </c>
      <c r="BO813" t="s">
        <v>72</v>
      </c>
      <c r="BP813" t="s">
        <v>72</v>
      </c>
      <c r="BQ813" t="s">
        <v>100</v>
      </c>
      <c r="BR813" t="s">
        <v>2944</v>
      </c>
      <c r="BS813" t="str">
        <f>HYPERLINK("https%3A%2F%2Fwww.webofscience.com%2Fwos%2Fwoscc%2Ffull-record%2FWOS:000537746200001","View Full Record in Web of Science")</f>
        <v>View Full Record in Web of Science</v>
      </c>
    </row>
    <row r="814" spans="1:71" hidden="1" x14ac:dyDescent="0.2">
      <c r="A814" t="s">
        <v>70</v>
      </c>
      <c r="B814" t="s">
        <v>4356</v>
      </c>
      <c r="C814" t="s">
        <v>72</v>
      </c>
      <c r="D814" t="s">
        <v>72</v>
      </c>
      <c r="E814" t="s">
        <v>72</v>
      </c>
      <c r="F814" t="s">
        <v>4357</v>
      </c>
      <c r="G814" t="s">
        <v>72</v>
      </c>
      <c r="H814" t="s">
        <v>72</v>
      </c>
      <c r="I814" t="s">
        <v>4358</v>
      </c>
      <c r="J814" t="s">
        <v>892</v>
      </c>
      <c r="K814" t="s">
        <v>72</v>
      </c>
      <c r="L814" t="s">
        <v>72</v>
      </c>
      <c r="M814" t="s">
        <v>76</v>
      </c>
      <c r="N814" t="s">
        <v>77</v>
      </c>
      <c r="O814" t="s">
        <v>72</v>
      </c>
      <c r="P814" t="s">
        <v>72</v>
      </c>
      <c r="Q814" t="s">
        <v>72</v>
      </c>
      <c r="R814" t="s">
        <v>72</v>
      </c>
      <c r="S814" t="s">
        <v>72</v>
      </c>
      <c r="T814" t="s">
        <v>4359</v>
      </c>
      <c r="U814" t="s">
        <v>4360</v>
      </c>
      <c r="V814" t="s">
        <v>4361</v>
      </c>
      <c r="W814" t="s">
        <v>4362</v>
      </c>
      <c r="X814" t="s">
        <v>4363</v>
      </c>
      <c r="Y814" t="s">
        <v>4364</v>
      </c>
      <c r="Z814" t="s">
        <v>4365</v>
      </c>
      <c r="AA814" t="s">
        <v>4366</v>
      </c>
      <c r="AB814" t="s">
        <v>4367</v>
      </c>
      <c r="AC814" t="s">
        <v>72</v>
      </c>
      <c r="AD814" t="s">
        <v>72</v>
      </c>
      <c r="AE814" t="s">
        <v>72</v>
      </c>
      <c r="AF814" t="s">
        <v>72</v>
      </c>
      <c r="AG814">
        <v>49</v>
      </c>
      <c r="AH814">
        <v>13</v>
      </c>
      <c r="AI814">
        <v>13</v>
      </c>
      <c r="AJ814">
        <v>0</v>
      </c>
      <c r="AK814">
        <v>15</v>
      </c>
      <c r="AL814" t="s">
        <v>901</v>
      </c>
      <c r="AM814" t="s">
        <v>902</v>
      </c>
      <c r="AN814" t="s">
        <v>903</v>
      </c>
      <c r="AO814" t="s">
        <v>904</v>
      </c>
      <c r="AP814" t="s">
        <v>72</v>
      </c>
      <c r="AQ814" t="s">
        <v>72</v>
      </c>
      <c r="AR814" t="s">
        <v>905</v>
      </c>
      <c r="AS814" t="s">
        <v>906</v>
      </c>
      <c r="AT814" t="s">
        <v>4368</v>
      </c>
      <c r="AU814">
        <v>2016</v>
      </c>
      <c r="AV814">
        <v>6</v>
      </c>
      <c r="AW814" t="s">
        <v>72</v>
      </c>
      <c r="AX814" t="s">
        <v>72</v>
      </c>
      <c r="AY814" t="s">
        <v>72</v>
      </c>
      <c r="AZ814" t="s">
        <v>72</v>
      </c>
      <c r="BA814" t="s">
        <v>72</v>
      </c>
      <c r="BB814" t="s">
        <v>72</v>
      </c>
      <c r="BC814" t="s">
        <v>72</v>
      </c>
      <c r="BD814">
        <v>1985</v>
      </c>
      <c r="BE814" t="s">
        <v>4369</v>
      </c>
      <c r="BF814" t="str">
        <f>HYPERLINK("http://dx.doi.org/10.3389/fpsyg.2015.01985","http://dx.doi.org/10.3389/fpsyg.2015.01985")</f>
        <v>http://dx.doi.org/10.3389/fpsyg.2015.01985</v>
      </c>
      <c r="BG814" t="s">
        <v>72</v>
      </c>
      <c r="BH814" t="s">
        <v>72</v>
      </c>
      <c r="BI814">
        <v>10</v>
      </c>
      <c r="BJ814" t="s">
        <v>415</v>
      </c>
      <c r="BK814" t="s">
        <v>126</v>
      </c>
      <c r="BL814" t="s">
        <v>4370</v>
      </c>
      <c r="BM814">
        <v>26793135</v>
      </c>
      <c r="BN814" t="s">
        <v>1975</v>
      </c>
      <c r="BO814" t="s">
        <v>72</v>
      </c>
      <c r="BP814" t="s">
        <v>72</v>
      </c>
      <c r="BQ814" t="s">
        <v>100</v>
      </c>
      <c r="BR814" t="s">
        <v>4371</v>
      </c>
      <c r="BS814" t="str">
        <f>HYPERLINK("https%3A%2F%2Fwww.webofscience.com%2Fwos%2Fwoscc%2Ffull-record%2FWOS:000368008300001","View Full Record in Web of Science")</f>
        <v>View Full Record in Web of Science</v>
      </c>
    </row>
    <row r="815" spans="1:71" hidden="1" x14ac:dyDescent="0.2">
      <c r="A815" t="s">
        <v>70</v>
      </c>
      <c r="B815" t="s">
        <v>4850</v>
      </c>
      <c r="C815" t="s">
        <v>72</v>
      </c>
      <c r="D815" t="s">
        <v>72</v>
      </c>
      <c r="E815" t="s">
        <v>72</v>
      </c>
      <c r="F815" t="s">
        <v>4851</v>
      </c>
      <c r="G815" t="s">
        <v>72</v>
      </c>
      <c r="H815" t="s">
        <v>72</v>
      </c>
      <c r="I815" t="s">
        <v>4852</v>
      </c>
      <c r="J815" t="s">
        <v>4853</v>
      </c>
      <c r="K815" t="s">
        <v>72</v>
      </c>
      <c r="L815" t="s">
        <v>72</v>
      </c>
      <c r="M815" t="s">
        <v>76</v>
      </c>
      <c r="N815" t="s">
        <v>4854</v>
      </c>
      <c r="O815" t="s">
        <v>4855</v>
      </c>
      <c r="P815" t="s">
        <v>4856</v>
      </c>
      <c r="Q815" t="s">
        <v>4857</v>
      </c>
      <c r="R815" t="s">
        <v>4858</v>
      </c>
      <c r="S815" t="s">
        <v>72</v>
      </c>
      <c r="T815" t="s">
        <v>4859</v>
      </c>
      <c r="U815" t="s">
        <v>4860</v>
      </c>
      <c r="V815" t="s">
        <v>4861</v>
      </c>
      <c r="W815" t="s">
        <v>4862</v>
      </c>
      <c r="X815" t="s">
        <v>4863</v>
      </c>
      <c r="Y815" t="s">
        <v>4864</v>
      </c>
      <c r="Z815" t="s">
        <v>4865</v>
      </c>
      <c r="AA815" t="s">
        <v>72</v>
      </c>
      <c r="AB815" t="s">
        <v>4866</v>
      </c>
      <c r="AC815" t="s">
        <v>4867</v>
      </c>
      <c r="AD815" t="s">
        <v>4868</v>
      </c>
      <c r="AE815" t="s">
        <v>72</v>
      </c>
      <c r="AF815" t="s">
        <v>72</v>
      </c>
      <c r="AG815">
        <v>17</v>
      </c>
      <c r="AH815">
        <v>27</v>
      </c>
      <c r="AI815">
        <v>27</v>
      </c>
      <c r="AJ815">
        <v>0</v>
      </c>
      <c r="AK815">
        <v>29</v>
      </c>
      <c r="AL815" t="s">
        <v>1279</v>
      </c>
      <c r="AM815" t="s">
        <v>1280</v>
      </c>
      <c r="AN815" t="s">
        <v>1281</v>
      </c>
      <c r="AO815" t="s">
        <v>4869</v>
      </c>
      <c r="AP815" t="s">
        <v>4870</v>
      </c>
      <c r="AQ815" t="s">
        <v>72</v>
      </c>
      <c r="AR815" t="s">
        <v>4871</v>
      </c>
      <c r="AS815" t="s">
        <v>4872</v>
      </c>
      <c r="AT815" t="s">
        <v>299</v>
      </c>
      <c r="AU815">
        <v>2008</v>
      </c>
      <c r="AV815">
        <v>76</v>
      </c>
      <c r="AW815">
        <v>3</v>
      </c>
      <c r="AX815" t="s">
        <v>72</v>
      </c>
      <c r="AY815" t="s">
        <v>72</v>
      </c>
      <c r="AZ815" t="s">
        <v>72</v>
      </c>
      <c r="BA815" t="s">
        <v>72</v>
      </c>
      <c r="BB815">
        <v>517</v>
      </c>
      <c r="BC815">
        <v>523</v>
      </c>
      <c r="BD815" t="s">
        <v>72</v>
      </c>
      <c r="BE815" t="s">
        <v>4873</v>
      </c>
      <c r="BF815" t="str">
        <f>HYPERLINK("http://dx.doi.org/10.1037/0022-006X.76.3.517","http://dx.doi.org/10.1037/0022-006X.76.3.517")</f>
        <v>http://dx.doi.org/10.1037/0022-006X.76.3.517</v>
      </c>
      <c r="BG815" t="s">
        <v>72</v>
      </c>
      <c r="BH815" t="s">
        <v>72</v>
      </c>
      <c r="BI815">
        <v>7</v>
      </c>
      <c r="BJ815" t="s">
        <v>866</v>
      </c>
      <c r="BK815" t="s">
        <v>126</v>
      </c>
      <c r="BL815" t="s">
        <v>4874</v>
      </c>
      <c r="BM815">
        <v>18540745</v>
      </c>
      <c r="BN815" t="s">
        <v>1128</v>
      </c>
      <c r="BO815" t="s">
        <v>72</v>
      </c>
      <c r="BP815" t="s">
        <v>72</v>
      </c>
      <c r="BQ815" t="s">
        <v>100</v>
      </c>
      <c r="BR815" t="s">
        <v>4875</v>
      </c>
      <c r="BS815" t="str">
        <f>HYPERLINK("https%3A%2F%2Fwww.webofscience.com%2Fwos%2Fwoscc%2Ffull-record%2FWOS:000256326700016","View Full Record in Web of Science")</f>
        <v>View Full Record in Web of Science</v>
      </c>
    </row>
    <row r="816" spans="1:71" hidden="1" x14ac:dyDescent="0.2">
      <c r="A816" t="s">
        <v>70</v>
      </c>
      <c r="B816" t="s">
        <v>4916</v>
      </c>
      <c r="C816" t="s">
        <v>72</v>
      </c>
      <c r="D816" t="s">
        <v>72</v>
      </c>
      <c r="E816" t="s">
        <v>72</v>
      </c>
      <c r="F816" t="s">
        <v>4917</v>
      </c>
      <c r="G816" t="s">
        <v>72</v>
      </c>
      <c r="H816" t="s">
        <v>72</v>
      </c>
      <c r="I816" t="s">
        <v>4918</v>
      </c>
      <c r="J816" t="s">
        <v>4919</v>
      </c>
      <c r="K816" t="s">
        <v>72</v>
      </c>
      <c r="L816" t="s">
        <v>72</v>
      </c>
      <c r="M816" t="s">
        <v>76</v>
      </c>
      <c r="N816" t="s">
        <v>77</v>
      </c>
      <c r="O816" t="s">
        <v>72</v>
      </c>
      <c r="P816" t="s">
        <v>72</v>
      </c>
      <c r="Q816" t="s">
        <v>72</v>
      </c>
      <c r="R816" t="s">
        <v>72</v>
      </c>
      <c r="S816" t="s">
        <v>72</v>
      </c>
      <c r="T816" t="s">
        <v>4920</v>
      </c>
      <c r="U816" t="s">
        <v>4921</v>
      </c>
      <c r="V816" t="s">
        <v>4922</v>
      </c>
      <c r="W816" t="s">
        <v>4923</v>
      </c>
      <c r="X816" t="s">
        <v>4924</v>
      </c>
      <c r="Y816" t="s">
        <v>4925</v>
      </c>
      <c r="Z816" t="s">
        <v>4926</v>
      </c>
      <c r="AA816" t="s">
        <v>72</v>
      </c>
      <c r="AB816" t="s">
        <v>4927</v>
      </c>
      <c r="AC816" t="s">
        <v>72</v>
      </c>
      <c r="AD816" t="s">
        <v>72</v>
      </c>
      <c r="AE816" t="s">
        <v>72</v>
      </c>
      <c r="AF816" t="s">
        <v>72</v>
      </c>
      <c r="AG816">
        <v>71</v>
      </c>
      <c r="AH816">
        <v>0</v>
      </c>
      <c r="AI816">
        <v>0</v>
      </c>
      <c r="AJ816">
        <v>0</v>
      </c>
      <c r="AK816">
        <v>0</v>
      </c>
      <c r="AL816" t="s">
        <v>336</v>
      </c>
      <c r="AM816" t="s">
        <v>337</v>
      </c>
      <c r="AN816" t="s">
        <v>338</v>
      </c>
      <c r="AO816" t="s">
        <v>4928</v>
      </c>
      <c r="AP816" t="s">
        <v>4929</v>
      </c>
      <c r="AQ816" t="s">
        <v>72</v>
      </c>
      <c r="AR816" t="s">
        <v>4930</v>
      </c>
      <c r="AS816" t="s">
        <v>4931</v>
      </c>
      <c r="AT816" t="s">
        <v>776</v>
      </c>
      <c r="AU816">
        <v>2022</v>
      </c>
      <c r="AV816">
        <v>27</v>
      </c>
      <c r="AW816">
        <v>8</v>
      </c>
      <c r="AX816" t="s">
        <v>72</v>
      </c>
      <c r="AY816" t="s">
        <v>72</v>
      </c>
      <c r="AZ816" t="s">
        <v>72</v>
      </c>
      <c r="BA816" t="s">
        <v>72</v>
      </c>
      <c r="BB816">
        <v>1942</v>
      </c>
      <c r="BC816">
        <v>1958</v>
      </c>
      <c r="BD816" t="s">
        <v>72</v>
      </c>
      <c r="BE816" t="s">
        <v>4932</v>
      </c>
      <c r="BF816" t="str">
        <f>HYPERLINK("http://dx.doi.org/10.1177/13591053211017207","http://dx.doi.org/10.1177/13591053211017207")</f>
        <v>http://dx.doi.org/10.1177/13591053211017207</v>
      </c>
      <c r="BG816" t="s">
        <v>72</v>
      </c>
      <c r="BH816" t="s">
        <v>72</v>
      </c>
      <c r="BI816">
        <v>17</v>
      </c>
      <c r="BJ816" t="s">
        <v>866</v>
      </c>
      <c r="BK816" t="s">
        <v>126</v>
      </c>
      <c r="BL816" t="s">
        <v>4933</v>
      </c>
      <c r="BM816">
        <v>35801352</v>
      </c>
      <c r="BN816" t="s">
        <v>72</v>
      </c>
      <c r="BO816" t="s">
        <v>72</v>
      </c>
      <c r="BP816" t="s">
        <v>72</v>
      </c>
      <c r="BQ816" t="s">
        <v>100</v>
      </c>
      <c r="BR816" t="s">
        <v>4934</v>
      </c>
      <c r="BS816" t="str">
        <f>HYPERLINK("https%3A%2F%2Fwww.webofscience.com%2Fwos%2Fwoscc%2Ffull-record%2FWOS:000826997100011","View Full Record in Web of Science")</f>
        <v>View Full Record in Web of Science</v>
      </c>
    </row>
    <row r="817" spans="1:71" hidden="1" x14ac:dyDescent="0.2">
      <c r="A817" t="s">
        <v>70</v>
      </c>
      <c r="B817" t="s">
        <v>5747</v>
      </c>
      <c r="C817" t="s">
        <v>72</v>
      </c>
      <c r="D817" t="s">
        <v>72</v>
      </c>
      <c r="E817" t="s">
        <v>72</v>
      </c>
      <c r="F817" t="s">
        <v>5748</v>
      </c>
      <c r="G817" t="s">
        <v>72</v>
      </c>
      <c r="H817" t="s">
        <v>72</v>
      </c>
      <c r="I817" t="s">
        <v>5749</v>
      </c>
      <c r="J817" t="s">
        <v>5750</v>
      </c>
      <c r="K817" t="s">
        <v>72</v>
      </c>
      <c r="L817" t="s">
        <v>72</v>
      </c>
      <c r="M817" t="s">
        <v>76</v>
      </c>
      <c r="N817" t="s">
        <v>352</v>
      </c>
      <c r="O817" t="s">
        <v>72</v>
      </c>
      <c r="P817" t="s">
        <v>72</v>
      </c>
      <c r="Q817" t="s">
        <v>72</v>
      </c>
      <c r="R817" t="s">
        <v>72</v>
      </c>
      <c r="S817" t="s">
        <v>72</v>
      </c>
      <c r="T817" t="s">
        <v>5751</v>
      </c>
      <c r="U817" t="s">
        <v>5752</v>
      </c>
      <c r="V817" t="s">
        <v>5753</v>
      </c>
      <c r="W817" t="s">
        <v>72</v>
      </c>
      <c r="X817" t="s">
        <v>72</v>
      </c>
      <c r="Y817" t="s">
        <v>72</v>
      </c>
      <c r="Z817" t="s">
        <v>72</v>
      </c>
      <c r="AA817" t="s">
        <v>72</v>
      </c>
      <c r="AB817" t="s">
        <v>72</v>
      </c>
      <c r="AC817" t="s">
        <v>72</v>
      </c>
      <c r="AD817" t="s">
        <v>72</v>
      </c>
      <c r="AE817" t="s">
        <v>72</v>
      </c>
      <c r="AF817" t="s">
        <v>72</v>
      </c>
      <c r="AG817">
        <v>50</v>
      </c>
      <c r="AH817">
        <v>0</v>
      </c>
      <c r="AI817">
        <v>0</v>
      </c>
      <c r="AJ817">
        <v>0</v>
      </c>
      <c r="AK817">
        <v>0</v>
      </c>
      <c r="AL817" t="s">
        <v>1279</v>
      </c>
      <c r="AM817" t="s">
        <v>1280</v>
      </c>
      <c r="AN817" t="s">
        <v>1281</v>
      </c>
      <c r="AO817" t="s">
        <v>5754</v>
      </c>
      <c r="AP817" t="s">
        <v>5755</v>
      </c>
      <c r="AQ817" t="s">
        <v>72</v>
      </c>
      <c r="AR817" t="s">
        <v>5756</v>
      </c>
      <c r="AS817" t="s">
        <v>5757</v>
      </c>
      <c r="AT817" t="s">
        <v>72</v>
      </c>
      <c r="AU817" t="s">
        <v>72</v>
      </c>
      <c r="AV817" t="s">
        <v>72</v>
      </c>
      <c r="AW817" t="s">
        <v>72</v>
      </c>
      <c r="AX817" t="s">
        <v>72</v>
      </c>
      <c r="AY817" t="s">
        <v>72</v>
      </c>
      <c r="AZ817" t="s">
        <v>72</v>
      </c>
      <c r="BA817" t="s">
        <v>72</v>
      </c>
      <c r="BB817" t="s">
        <v>72</v>
      </c>
      <c r="BC817" t="s">
        <v>72</v>
      </c>
      <c r="BD817" t="s">
        <v>72</v>
      </c>
      <c r="BE817" t="s">
        <v>5758</v>
      </c>
      <c r="BF817" t="str">
        <f>HYPERLINK("http://dx.doi.org/10.1037/mac0000077","http://dx.doi.org/10.1037/mac0000077")</f>
        <v>http://dx.doi.org/10.1037/mac0000077</v>
      </c>
      <c r="BG817" t="s">
        <v>72</v>
      </c>
      <c r="BH817" t="s">
        <v>2010</v>
      </c>
      <c r="BI817">
        <v>12</v>
      </c>
      <c r="BJ817" t="s">
        <v>5759</v>
      </c>
      <c r="BK817" t="s">
        <v>126</v>
      </c>
      <c r="BL817" t="s">
        <v>5760</v>
      </c>
      <c r="BM817" t="s">
        <v>72</v>
      </c>
      <c r="BN817" t="s">
        <v>72</v>
      </c>
      <c r="BO817" t="s">
        <v>72</v>
      </c>
      <c r="BP817" t="s">
        <v>72</v>
      </c>
      <c r="BQ817" t="s">
        <v>100</v>
      </c>
      <c r="BR817" t="s">
        <v>5761</v>
      </c>
      <c r="BS817" t="str">
        <f>HYPERLINK("https%3A%2F%2Fwww.webofscience.com%2Fwos%2Fwoscc%2Ffull-record%2FWOS:000881828600001","View Full Record in Web of Science")</f>
        <v>View Full Record in Web of Science</v>
      </c>
    </row>
    <row r="818" spans="1:71" hidden="1" x14ac:dyDescent="0.2">
      <c r="A818" t="s">
        <v>70</v>
      </c>
      <c r="B818" t="s">
        <v>6086</v>
      </c>
      <c r="C818" t="s">
        <v>72</v>
      </c>
      <c r="D818" t="s">
        <v>72</v>
      </c>
      <c r="E818" t="s">
        <v>72</v>
      </c>
      <c r="F818" t="s">
        <v>6087</v>
      </c>
      <c r="G818" t="s">
        <v>72</v>
      </c>
      <c r="H818" t="s">
        <v>72</v>
      </c>
      <c r="I818" t="s">
        <v>6088</v>
      </c>
      <c r="J818" t="s">
        <v>892</v>
      </c>
      <c r="K818" t="s">
        <v>72</v>
      </c>
      <c r="L818" t="s">
        <v>72</v>
      </c>
      <c r="M818" t="s">
        <v>76</v>
      </c>
      <c r="N818" t="s">
        <v>77</v>
      </c>
      <c r="O818" t="s">
        <v>72</v>
      </c>
      <c r="P818" t="s">
        <v>72</v>
      </c>
      <c r="Q818" t="s">
        <v>72</v>
      </c>
      <c r="R818" t="s">
        <v>72</v>
      </c>
      <c r="S818" t="s">
        <v>72</v>
      </c>
      <c r="T818" t="s">
        <v>6089</v>
      </c>
      <c r="U818" t="s">
        <v>6090</v>
      </c>
      <c r="V818" t="s">
        <v>6091</v>
      </c>
      <c r="W818" t="s">
        <v>6092</v>
      </c>
      <c r="X818" t="s">
        <v>6093</v>
      </c>
      <c r="Y818" t="s">
        <v>6094</v>
      </c>
      <c r="Z818" t="s">
        <v>6095</v>
      </c>
      <c r="AA818" t="s">
        <v>6096</v>
      </c>
      <c r="AB818" t="s">
        <v>6097</v>
      </c>
      <c r="AC818" t="s">
        <v>72</v>
      </c>
      <c r="AD818" t="s">
        <v>72</v>
      </c>
      <c r="AE818" t="s">
        <v>72</v>
      </c>
      <c r="AF818" t="s">
        <v>72</v>
      </c>
      <c r="AG818">
        <v>76</v>
      </c>
      <c r="AH818">
        <v>10</v>
      </c>
      <c r="AI818">
        <v>10</v>
      </c>
      <c r="AJ818">
        <v>1</v>
      </c>
      <c r="AK818">
        <v>6</v>
      </c>
      <c r="AL818" t="s">
        <v>901</v>
      </c>
      <c r="AM818" t="s">
        <v>902</v>
      </c>
      <c r="AN818" t="s">
        <v>903</v>
      </c>
      <c r="AO818" t="s">
        <v>904</v>
      </c>
      <c r="AP818" t="s">
        <v>72</v>
      </c>
      <c r="AQ818" t="s">
        <v>72</v>
      </c>
      <c r="AR818" t="s">
        <v>905</v>
      </c>
      <c r="AS818" t="s">
        <v>906</v>
      </c>
      <c r="AT818" t="s">
        <v>6098</v>
      </c>
      <c r="AU818">
        <v>2020</v>
      </c>
      <c r="AV818">
        <v>11</v>
      </c>
      <c r="AW818" t="s">
        <v>72</v>
      </c>
      <c r="AX818" t="s">
        <v>72</v>
      </c>
      <c r="AY818" t="s">
        <v>72</v>
      </c>
      <c r="AZ818" t="s">
        <v>72</v>
      </c>
      <c r="BA818" t="s">
        <v>72</v>
      </c>
      <c r="BB818" t="s">
        <v>72</v>
      </c>
      <c r="BC818" t="s">
        <v>72</v>
      </c>
      <c r="BD818">
        <v>1667</v>
      </c>
      <c r="BE818" t="s">
        <v>6099</v>
      </c>
      <c r="BF818" t="str">
        <f>HYPERLINK("http://dx.doi.org/10.3389/fpsyg.2020.01667","http://dx.doi.org/10.3389/fpsyg.2020.01667")</f>
        <v>http://dx.doi.org/10.3389/fpsyg.2020.01667</v>
      </c>
      <c r="BG818" t="s">
        <v>72</v>
      </c>
      <c r="BH818" t="s">
        <v>72</v>
      </c>
      <c r="BI818">
        <v>13</v>
      </c>
      <c r="BJ818" t="s">
        <v>415</v>
      </c>
      <c r="BK818" t="s">
        <v>126</v>
      </c>
      <c r="BL818" t="s">
        <v>6100</v>
      </c>
      <c r="BM818">
        <v>32903443</v>
      </c>
      <c r="BN818" t="s">
        <v>6101</v>
      </c>
      <c r="BO818" t="s">
        <v>72</v>
      </c>
      <c r="BP818" t="s">
        <v>72</v>
      </c>
      <c r="BQ818" t="s">
        <v>100</v>
      </c>
      <c r="BR818" t="s">
        <v>6102</v>
      </c>
      <c r="BS818" t="str">
        <f>HYPERLINK("https%3A%2F%2Fwww.webofscience.com%2Fwos%2Fwoscc%2Ffull-record%2FWOS:000565287600001","View Full Record in Web of Science")</f>
        <v>View Full Record in Web of Science</v>
      </c>
    </row>
    <row r="819" spans="1:71" hidden="1" x14ac:dyDescent="0.2">
      <c r="A819" t="s">
        <v>70</v>
      </c>
      <c r="B819" t="s">
        <v>6193</v>
      </c>
      <c r="C819" t="s">
        <v>72</v>
      </c>
      <c r="D819" t="s">
        <v>72</v>
      </c>
      <c r="E819" t="s">
        <v>72</v>
      </c>
      <c r="F819" t="s">
        <v>6194</v>
      </c>
      <c r="G819" t="s">
        <v>72</v>
      </c>
      <c r="H819" t="s">
        <v>72</v>
      </c>
      <c r="I819" t="s">
        <v>6195</v>
      </c>
      <c r="J819" t="s">
        <v>6196</v>
      </c>
      <c r="K819" t="s">
        <v>72</v>
      </c>
      <c r="L819" t="s">
        <v>72</v>
      </c>
      <c r="M819" t="s">
        <v>76</v>
      </c>
      <c r="N819" t="s">
        <v>77</v>
      </c>
      <c r="O819" t="s">
        <v>72</v>
      </c>
      <c r="P819" t="s">
        <v>72</v>
      </c>
      <c r="Q819" t="s">
        <v>72</v>
      </c>
      <c r="R819" t="s">
        <v>72</v>
      </c>
      <c r="S819" t="s">
        <v>72</v>
      </c>
      <c r="T819" t="s">
        <v>6197</v>
      </c>
      <c r="U819" t="s">
        <v>6198</v>
      </c>
      <c r="V819" t="s">
        <v>6199</v>
      </c>
      <c r="W819" t="s">
        <v>6200</v>
      </c>
      <c r="X819" t="s">
        <v>6201</v>
      </c>
      <c r="Y819" t="s">
        <v>6202</v>
      </c>
      <c r="Z819" t="s">
        <v>6203</v>
      </c>
      <c r="AA819" t="s">
        <v>72</v>
      </c>
      <c r="AB819" t="s">
        <v>72</v>
      </c>
      <c r="AC819" t="s">
        <v>6204</v>
      </c>
      <c r="AD819" t="s">
        <v>6205</v>
      </c>
      <c r="AE819" t="s">
        <v>6206</v>
      </c>
      <c r="AF819" t="s">
        <v>72</v>
      </c>
      <c r="AG819">
        <v>51</v>
      </c>
      <c r="AH819">
        <v>7</v>
      </c>
      <c r="AI819">
        <v>7</v>
      </c>
      <c r="AJ819">
        <v>0</v>
      </c>
      <c r="AK819">
        <v>12</v>
      </c>
      <c r="AL819" t="s">
        <v>190</v>
      </c>
      <c r="AM819" t="s">
        <v>191</v>
      </c>
      <c r="AN819" t="s">
        <v>192</v>
      </c>
      <c r="AO819" t="s">
        <v>6207</v>
      </c>
      <c r="AP819" t="s">
        <v>6208</v>
      </c>
      <c r="AQ819" t="s">
        <v>72</v>
      </c>
      <c r="AR819" t="s">
        <v>6209</v>
      </c>
      <c r="AS819" t="s">
        <v>6210</v>
      </c>
      <c r="AT819" t="s">
        <v>197</v>
      </c>
      <c r="AU819">
        <v>2016</v>
      </c>
      <c r="AV819">
        <v>27</v>
      </c>
      <c r="AW819">
        <v>5</v>
      </c>
      <c r="AX819" t="s">
        <v>72</v>
      </c>
      <c r="AY819" t="s">
        <v>72</v>
      </c>
      <c r="AZ819" t="s">
        <v>72</v>
      </c>
      <c r="BA819" t="s">
        <v>72</v>
      </c>
      <c r="BB819">
        <v>635</v>
      </c>
      <c r="BC819">
        <v>643</v>
      </c>
      <c r="BD819" t="s">
        <v>72</v>
      </c>
      <c r="BE819" t="s">
        <v>6211</v>
      </c>
      <c r="BF819" t="str">
        <f>HYPERLINK("http://dx.doi.org/10.1177/0956797616630540","http://dx.doi.org/10.1177/0956797616630540")</f>
        <v>http://dx.doi.org/10.1177/0956797616630540</v>
      </c>
      <c r="BG819" t="s">
        <v>72</v>
      </c>
      <c r="BH819" t="s">
        <v>72</v>
      </c>
      <c r="BI819">
        <v>9</v>
      </c>
      <c r="BJ819" t="s">
        <v>415</v>
      </c>
      <c r="BK819" t="s">
        <v>126</v>
      </c>
      <c r="BL819" t="s">
        <v>6212</v>
      </c>
      <c r="BM819">
        <v>26993741</v>
      </c>
      <c r="BN819" t="s">
        <v>72</v>
      </c>
      <c r="BO819" t="s">
        <v>72</v>
      </c>
      <c r="BP819" t="s">
        <v>72</v>
      </c>
      <c r="BQ819" t="s">
        <v>100</v>
      </c>
      <c r="BR819" t="s">
        <v>6213</v>
      </c>
      <c r="BS819" t="str">
        <f>HYPERLINK("https%3A%2F%2Fwww.webofscience.com%2Fwos%2Fwoscc%2Ffull-record%2FWOS:000375725700004","View Full Record in Web of Science")</f>
        <v>View Full Record in Web of Science</v>
      </c>
    </row>
    <row r="820" spans="1:71" hidden="1" x14ac:dyDescent="0.2">
      <c r="A820" t="s">
        <v>70</v>
      </c>
      <c r="B820" t="s">
        <v>6214</v>
      </c>
      <c r="C820" t="s">
        <v>72</v>
      </c>
      <c r="D820" t="s">
        <v>72</v>
      </c>
      <c r="E820" t="s">
        <v>72</v>
      </c>
      <c r="F820" t="s">
        <v>6214</v>
      </c>
      <c r="G820" t="s">
        <v>72</v>
      </c>
      <c r="H820" t="s">
        <v>72</v>
      </c>
      <c r="I820" t="s">
        <v>6215</v>
      </c>
      <c r="J820" t="s">
        <v>2139</v>
      </c>
      <c r="K820" t="s">
        <v>72</v>
      </c>
      <c r="L820" t="s">
        <v>72</v>
      </c>
      <c r="M820" t="s">
        <v>76</v>
      </c>
      <c r="N820" t="s">
        <v>77</v>
      </c>
      <c r="O820" t="s">
        <v>72</v>
      </c>
      <c r="P820" t="s">
        <v>72</v>
      </c>
      <c r="Q820" t="s">
        <v>72</v>
      </c>
      <c r="R820" t="s">
        <v>72</v>
      </c>
      <c r="S820" t="s">
        <v>72</v>
      </c>
      <c r="T820" t="s">
        <v>6216</v>
      </c>
      <c r="U820" t="s">
        <v>6217</v>
      </c>
      <c r="V820" t="s">
        <v>6218</v>
      </c>
      <c r="W820" t="s">
        <v>6219</v>
      </c>
      <c r="X820" t="s">
        <v>6220</v>
      </c>
      <c r="Y820" t="s">
        <v>6221</v>
      </c>
      <c r="Z820" t="s">
        <v>6222</v>
      </c>
      <c r="AA820" t="s">
        <v>6223</v>
      </c>
      <c r="AB820" t="s">
        <v>6224</v>
      </c>
      <c r="AC820" t="s">
        <v>72</v>
      </c>
      <c r="AD820" t="s">
        <v>72</v>
      </c>
      <c r="AE820" t="s">
        <v>72</v>
      </c>
      <c r="AF820" t="s">
        <v>72</v>
      </c>
      <c r="AG820">
        <v>43</v>
      </c>
      <c r="AH820">
        <v>109</v>
      </c>
      <c r="AI820">
        <v>111</v>
      </c>
      <c r="AJ820">
        <v>0</v>
      </c>
      <c r="AK820">
        <v>30</v>
      </c>
      <c r="AL820" t="s">
        <v>450</v>
      </c>
      <c r="AM820" t="s">
        <v>451</v>
      </c>
      <c r="AN820" t="s">
        <v>452</v>
      </c>
      <c r="AO820" t="s">
        <v>2146</v>
      </c>
      <c r="AP820" t="s">
        <v>2147</v>
      </c>
      <c r="AQ820" t="s">
        <v>72</v>
      </c>
      <c r="AR820" t="s">
        <v>2148</v>
      </c>
      <c r="AS820" t="s">
        <v>2149</v>
      </c>
      <c r="AT820" t="s">
        <v>555</v>
      </c>
      <c r="AU820">
        <v>2005</v>
      </c>
      <c r="AV820">
        <v>21</v>
      </c>
      <c r="AW820">
        <v>2</v>
      </c>
      <c r="AX820" t="s">
        <v>72</v>
      </c>
      <c r="AY820" t="s">
        <v>72</v>
      </c>
      <c r="AZ820" t="s">
        <v>72</v>
      </c>
      <c r="BA820" t="s">
        <v>72</v>
      </c>
      <c r="BB820">
        <v>361</v>
      </c>
      <c r="BC820">
        <v>376</v>
      </c>
      <c r="BD820" t="s">
        <v>72</v>
      </c>
      <c r="BE820" t="s">
        <v>6225</v>
      </c>
      <c r="BF820" t="str">
        <f>HYPERLINK("http://dx.doi.org/10.1016/j.chb.2004.02.008","http://dx.doi.org/10.1016/j.chb.2004.02.008")</f>
        <v>http://dx.doi.org/10.1016/j.chb.2004.02.008</v>
      </c>
      <c r="BG820" t="s">
        <v>72</v>
      </c>
      <c r="BH820" t="s">
        <v>72</v>
      </c>
      <c r="BI820">
        <v>16</v>
      </c>
      <c r="BJ820" t="s">
        <v>2151</v>
      </c>
      <c r="BK820" t="s">
        <v>126</v>
      </c>
      <c r="BL820" t="s">
        <v>6226</v>
      </c>
      <c r="BM820" t="s">
        <v>72</v>
      </c>
      <c r="BN820" t="s">
        <v>72</v>
      </c>
      <c r="BO820" t="s">
        <v>72</v>
      </c>
      <c r="BP820" t="s">
        <v>72</v>
      </c>
      <c r="BQ820" t="s">
        <v>100</v>
      </c>
      <c r="BR820" t="s">
        <v>6227</v>
      </c>
      <c r="BS820" t="str">
        <f>HYPERLINK("https%3A%2F%2Fwww.webofscience.com%2Fwos%2Fwoscc%2Ffull-record%2FWOS:000226329600012","View Full Record in Web of Science")</f>
        <v>View Full Record in Web of Science</v>
      </c>
    </row>
    <row r="821" spans="1:71" hidden="1" x14ac:dyDescent="0.2">
      <c r="A821" t="s">
        <v>70</v>
      </c>
      <c r="B821" t="s">
        <v>6894</v>
      </c>
      <c r="C821" t="s">
        <v>72</v>
      </c>
      <c r="D821" t="s">
        <v>72</v>
      </c>
      <c r="E821" t="s">
        <v>72</v>
      </c>
      <c r="F821" t="s">
        <v>6895</v>
      </c>
      <c r="G821" t="s">
        <v>72</v>
      </c>
      <c r="H821" t="s">
        <v>72</v>
      </c>
      <c r="I821" t="s">
        <v>6896</v>
      </c>
      <c r="J821" t="s">
        <v>6897</v>
      </c>
      <c r="K821" t="s">
        <v>72</v>
      </c>
      <c r="L821" t="s">
        <v>72</v>
      </c>
      <c r="M821" t="s">
        <v>76</v>
      </c>
      <c r="N821" t="s">
        <v>352</v>
      </c>
      <c r="O821" t="s">
        <v>72</v>
      </c>
      <c r="P821" t="s">
        <v>72</v>
      </c>
      <c r="Q821" t="s">
        <v>72</v>
      </c>
      <c r="R821" t="s">
        <v>72</v>
      </c>
      <c r="S821" t="s">
        <v>72</v>
      </c>
      <c r="T821" t="s">
        <v>6898</v>
      </c>
      <c r="U821" t="s">
        <v>6899</v>
      </c>
      <c r="V821" t="s">
        <v>6900</v>
      </c>
      <c r="W821" t="s">
        <v>6901</v>
      </c>
      <c r="X821" t="s">
        <v>6902</v>
      </c>
      <c r="Y821" t="s">
        <v>6903</v>
      </c>
      <c r="Z821" t="s">
        <v>6904</v>
      </c>
      <c r="AA821" t="s">
        <v>72</v>
      </c>
      <c r="AB821" t="s">
        <v>72</v>
      </c>
      <c r="AC821" t="s">
        <v>6905</v>
      </c>
      <c r="AD821" t="s">
        <v>6905</v>
      </c>
      <c r="AE821" t="s">
        <v>6906</v>
      </c>
      <c r="AF821" t="s">
        <v>72</v>
      </c>
      <c r="AG821">
        <v>42</v>
      </c>
      <c r="AH821">
        <v>0</v>
      </c>
      <c r="AI821">
        <v>0</v>
      </c>
      <c r="AJ821">
        <v>2</v>
      </c>
      <c r="AK821">
        <v>6</v>
      </c>
      <c r="AL821" t="s">
        <v>190</v>
      </c>
      <c r="AM821" t="s">
        <v>191</v>
      </c>
      <c r="AN821" t="s">
        <v>192</v>
      </c>
      <c r="AO821" t="s">
        <v>6907</v>
      </c>
      <c r="AP821" t="s">
        <v>6908</v>
      </c>
      <c r="AQ821" t="s">
        <v>72</v>
      </c>
      <c r="AR821" t="s">
        <v>6909</v>
      </c>
      <c r="AS821" t="s">
        <v>6910</v>
      </c>
      <c r="AT821" t="s">
        <v>72</v>
      </c>
      <c r="AU821" t="s">
        <v>72</v>
      </c>
      <c r="AV821" t="s">
        <v>72</v>
      </c>
      <c r="AW821" t="s">
        <v>72</v>
      </c>
      <c r="AX821" t="s">
        <v>72</v>
      </c>
      <c r="AY821" t="s">
        <v>72</v>
      </c>
      <c r="AZ821" t="s">
        <v>72</v>
      </c>
      <c r="BA821" t="s">
        <v>72</v>
      </c>
      <c r="BB821" t="s">
        <v>72</v>
      </c>
      <c r="BC821" t="s">
        <v>72</v>
      </c>
      <c r="BD821">
        <v>1.9485506221082736E+16</v>
      </c>
      <c r="BE821" t="s">
        <v>6911</v>
      </c>
      <c r="BF821" t="str">
        <f>HYPERLINK("http://dx.doi.org/10.1177/19485506221082737","http://dx.doi.org/10.1177/19485506221082737")</f>
        <v>http://dx.doi.org/10.1177/19485506221082737</v>
      </c>
      <c r="BG821" t="s">
        <v>72</v>
      </c>
      <c r="BH821" t="s">
        <v>1770</v>
      </c>
      <c r="BI821">
        <v>15</v>
      </c>
      <c r="BJ821" t="s">
        <v>125</v>
      </c>
      <c r="BK821" t="s">
        <v>126</v>
      </c>
      <c r="BL821" t="s">
        <v>6912</v>
      </c>
      <c r="BM821" t="s">
        <v>72</v>
      </c>
      <c r="BN821" t="s">
        <v>72</v>
      </c>
      <c r="BO821" t="s">
        <v>72</v>
      </c>
      <c r="BP821" t="s">
        <v>72</v>
      </c>
      <c r="BQ821" t="s">
        <v>100</v>
      </c>
      <c r="BR821" t="s">
        <v>6913</v>
      </c>
      <c r="BS821" t="str">
        <f>HYPERLINK("https%3A%2F%2Fwww.webofscience.com%2Fwos%2Fwoscc%2Ffull-record%2FWOS:000780133200001","View Full Record in Web of Science")</f>
        <v>View Full Record in Web of Science</v>
      </c>
    </row>
    <row r="822" spans="1:71" hidden="1" x14ac:dyDescent="0.2">
      <c r="A822" t="s">
        <v>70</v>
      </c>
      <c r="B822" t="s">
        <v>7130</v>
      </c>
      <c r="C822" t="s">
        <v>72</v>
      </c>
      <c r="D822" t="s">
        <v>72</v>
      </c>
      <c r="E822" t="s">
        <v>72</v>
      </c>
      <c r="F822" t="s">
        <v>7131</v>
      </c>
      <c r="G822" t="s">
        <v>72</v>
      </c>
      <c r="H822" t="s">
        <v>72</v>
      </c>
      <c r="I822" t="s">
        <v>7132</v>
      </c>
      <c r="J822" t="s">
        <v>7133</v>
      </c>
      <c r="K822" t="s">
        <v>72</v>
      </c>
      <c r="L822" t="s">
        <v>72</v>
      </c>
      <c r="M822" t="s">
        <v>76</v>
      </c>
      <c r="N822" t="s">
        <v>1503</v>
      </c>
      <c r="O822" t="s">
        <v>72</v>
      </c>
      <c r="P822" t="s">
        <v>72</v>
      </c>
      <c r="Q822" t="s">
        <v>72</v>
      </c>
      <c r="R822" t="s">
        <v>72</v>
      </c>
      <c r="S822" t="s">
        <v>72</v>
      </c>
      <c r="T822" t="s">
        <v>7134</v>
      </c>
      <c r="U822" t="s">
        <v>7135</v>
      </c>
      <c r="V822" t="s">
        <v>7136</v>
      </c>
      <c r="W822" t="s">
        <v>7137</v>
      </c>
      <c r="X822" t="s">
        <v>4590</v>
      </c>
      <c r="Y822" t="s">
        <v>7138</v>
      </c>
      <c r="Z822" t="s">
        <v>7139</v>
      </c>
      <c r="AA822" t="s">
        <v>7140</v>
      </c>
      <c r="AB822" t="s">
        <v>294</v>
      </c>
      <c r="AC822" t="s">
        <v>72</v>
      </c>
      <c r="AD822" t="s">
        <v>72</v>
      </c>
      <c r="AE822" t="s">
        <v>72</v>
      </c>
      <c r="AF822" t="s">
        <v>72</v>
      </c>
      <c r="AG822">
        <v>59</v>
      </c>
      <c r="AH822">
        <v>10</v>
      </c>
      <c r="AI822">
        <v>10</v>
      </c>
      <c r="AJ822">
        <v>1</v>
      </c>
      <c r="AK822">
        <v>16</v>
      </c>
      <c r="AL822" t="s">
        <v>88</v>
      </c>
      <c r="AM822" t="s">
        <v>707</v>
      </c>
      <c r="AN822" t="s">
        <v>1987</v>
      </c>
      <c r="AO822" t="s">
        <v>7141</v>
      </c>
      <c r="AP822" t="s">
        <v>7142</v>
      </c>
      <c r="AQ822" t="s">
        <v>72</v>
      </c>
      <c r="AR822" t="s">
        <v>7143</v>
      </c>
      <c r="AS822" t="s">
        <v>7144</v>
      </c>
      <c r="AT822" t="s">
        <v>149</v>
      </c>
      <c r="AU822">
        <v>2017</v>
      </c>
      <c r="AV822">
        <v>49</v>
      </c>
      <c r="AW822">
        <v>2</v>
      </c>
      <c r="AX822" t="s">
        <v>72</v>
      </c>
      <c r="AY822" t="s">
        <v>72</v>
      </c>
      <c r="AZ822" t="s">
        <v>72</v>
      </c>
      <c r="BA822" t="s">
        <v>72</v>
      </c>
      <c r="BB822">
        <v>538</v>
      </c>
      <c r="BC822">
        <v>547</v>
      </c>
      <c r="BD822" t="s">
        <v>72</v>
      </c>
      <c r="BE822" t="s">
        <v>7145</v>
      </c>
      <c r="BF822" t="str">
        <f>HYPERLINK("http://dx.doi.org/10.3758/s13428-016-0722-4","http://dx.doi.org/10.3758/s13428-016-0722-4")</f>
        <v>http://dx.doi.org/10.3758/s13428-016-0722-4</v>
      </c>
      <c r="BG822" t="s">
        <v>72</v>
      </c>
      <c r="BH822" t="s">
        <v>72</v>
      </c>
      <c r="BI822">
        <v>10</v>
      </c>
      <c r="BJ822" t="s">
        <v>7146</v>
      </c>
      <c r="BK822" t="s">
        <v>126</v>
      </c>
      <c r="BL822" t="s">
        <v>7147</v>
      </c>
      <c r="BM822">
        <v>26944580</v>
      </c>
      <c r="BN822" t="s">
        <v>280</v>
      </c>
      <c r="BO822" t="s">
        <v>72</v>
      </c>
      <c r="BP822" t="s">
        <v>72</v>
      </c>
      <c r="BQ822" t="s">
        <v>100</v>
      </c>
      <c r="BR822" t="s">
        <v>7148</v>
      </c>
      <c r="BS822" t="str">
        <f>HYPERLINK("https%3A%2F%2Fwww.webofscience.com%2Fwos%2Fwoscc%2Ffull-record%2FWOS:000400391800010","View Full Record in Web of Science")</f>
        <v>View Full Record in Web of Science</v>
      </c>
    </row>
    <row r="823" spans="1:71" hidden="1" x14ac:dyDescent="0.2">
      <c r="A823" t="s">
        <v>70</v>
      </c>
      <c r="B823" t="s">
        <v>7512</v>
      </c>
      <c r="C823" t="s">
        <v>72</v>
      </c>
      <c r="D823" t="s">
        <v>72</v>
      </c>
      <c r="E823" t="s">
        <v>72</v>
      </c>
      <c r="F823" t="s">
        <v>7513</v>
      </c>
      <c r="G823" t="s">
        <v>72</v>
      </c>
      <c r="H823" t="s">
        <v>72</v>
      </c>
      <c r="I823" t="s">
        <v>7514</v>
      </c>
      <c r="J823" t="s">
        <v>7515</v>
      </c>
      <c r="K823" t="s">
        <v>72</v>
      </c>
      <c r="L823" t="s">
        <v>72</v>
      </c>
      <c r="M823" t="s">
        <v>76</v>
      </c>
      <c r="N823" t="s">
        <v>77</v>
      </c>
      <c r="O823" t="s">
        <v>72</v>
      </c>
      <c r="P823" t="s">
        <v>72</v>
      </c>
      <c r="Q823" t="s">
        <v>72</v>
      </c>
      <c r="R823" t="s">
        <v>72</v>
      </c>
      <c r="S823" t="s">
        <v>72</v>
      </c>
      <c r="T823" t="s">
        <v>7516</v>
      </c>
      <c r="U823" t="s">
        <v>7517</v>
      </c>
      <c r="V823" t="s">
        <v>7518</v>
      </c>
      <c r="W823" t="s">
        <v>7519</v>
      </c>
      <c r="X823" t="s">
        <v>7520</v>
      </c>
      <c r="Y823" t="s">
        <v>7521</v>
      </c>
      <c r="Z823" t="s">
        <v>7522</v>
      </c>
      <c r="AA823" t="s">
        <v>72</v>
      </c>
      <c r="AB823" t="s">
        <v>72</v>
      </c>
      <c r="AC823" t="s">
        <v>7523</v>
      </c>
      <c r="AD823" t="s">
        <v>7524</v>
      </c>
      <c r="AE823" t="s">
        <v>7525</v>
      </c>
      <c r="AF823" t="s">
        <v>72</v>
      </c>
      <c r="AG823">
        <v>69</v>
      </c>
      <c r="AH823">
        <v>0</v>
      </c>
      <c r="AI823">
        <v>0</v>
      </c>
      <c r="AJ823">
        <v>4</v>
      </c>
      <c r="AK823">
        <v>16</v>
      </c>
      <c r="AL823" t="s">
        <v>7526</v>
      </c>
      <c r="AM823" t="s">
        <v>7527</v>
      </c>
      <c r="AN823" t="s">
        <v>7528</v>
      </c>
      <c r="AO823" t="s">
        <v>7529</v>
      </c>
      <c r="AP823" t="s">
        <v>72</v>
      </c>
      <c r="AQ823" t="s">
        <v>72</v>
      </c>
      <c r="AR823" t="s">
        <v>7530</v>
      </c>
      <c r="AS823" t="s">
        <v>7531</v>
      </c>
      <c r="AT823" t="s">
        <v>7532</v>
      </c>
      <c r="AU823">
        <v>2021</v>
      </c>
      <c r="AV823">
        <v>8</v>
      </c>
      <c r="AW823">
        <v>1</v>
      </c>
      <c r="AX823" t="s">
        <v>72</v>
      </c>
      <c r="AY823" t="s">
        <v>72</v>
      </c>
      <c r="AZ823" t="s">
        <v>72</v>
      </c>
      <c r="BA823" t="s">
        <v>72</v>
      </c>
      <c r="BB823" t="s">
        <v>72</v>
      </c>
      <c r="BC823" t="s">
        <v>72</v>
      </c>
      <c r="BD823">
        <v>1988193</v>
      </c>
      <c r="BE823" t="s">
        <v>7533</v>
      </c>
      <c r="BF823" t="str">
        <f>HYPERLINK("http://dx.doi.org/10.1080/23311908.2021.1988193","http://dx.doi.org/10.1080/23311908.2021.1988193")</f>
        <v>http://dx.doi.org/10.1080/23311908.2021.1988193</v>
      </c>
      <c r="BG823" t="s">
        <v>72</v>
      </c>
      <c r="BH823" t="s">
        <v>72</v>
      </c>
      <c r="BI823">
        <v>16</v>
      </c>
      <c r="BJ823" t="s">
        <v>415</v>
      </c>
      <c r="BK823" t="s">
        <v>126</v>
      </c>
      <c r="BL823" t="s">
        <v>7534</v>
      </c>
      <c r="BM823" t="s">
        <v>72</v>
      </c>
      <c r="BN823" t="s">
        <v>6324</v>
      </c>
      <c r="BO823" t="s">
        <v>72</v>
      </c>
      <c r="BP823" t="s">
        <v>72</v>
      </c>
      <c r="BQ823" t="s">
        <v>100</v>
      </c>
      <c r="BR823" t="s">
        <v>7535</v>
      </c>
      <c r="BS823" t="str">
        <f>HYPERLINK("https%3A%2F%2Fwww.webofscience.com%2Fwos%2Fwoscc%2Ffull-record%2FWOS:000705068100001","View Full Record in Web of Science")</f>
        <v>View Full Record in Web of Science</v>
      </c>
    </row>
    <row r="824" spans="1:71" hidden="1" x14ac:dyDescent="0.2">
      <c r="A824" t="s">
        <v>70</v>
      </c>
      <c r="B824" t="s">
        <v>8078</v>
      </c>
      <c r="C824" t="s">
        <v>72</v>
      </c>
      <c r="D824" t="s">
        <v>72</v>
      </c>
      <c r="E824" t="s">
        <v>72</v>
      </c>
      <c r="F824" t="s">
        <v>8079</v>
      </c>
      <c r="G824" t="s">
        <v>72</v>
      </c>
      <c r="H824" t="s">
        <v>72</v>
      </c>
      <c r="I824" t="s">
        <v>8080</v>
      </c>
      <c r="J824" t="s">
        <v>853</v>
      </c>
      <c r="K824" t="s">
        <v>72</v>
      </c>
      <c r="L824" t="s">
        <v>72</v>
      </c>
      <c r="M824" t="s">
        <v>542</v>
      </c>
      <c r="N824" t="s">
        <v>77</v>
      </c>
      <c r="O824" t="s">
        <v>72</v>
      </c>
      <c r="P824" t="s">
        <v>72</v>
      </c>
      <c r="Q824" t="s">
        <v>72</v>
      </c>
      <c r="R824" t="s">
        <v>72</v>
      </c>
      <c r="S824" t="s">
        <v>72</v>
      </c>
      <c r="T824" t="s">
        <v>8081</v>
      </c>
      <c r="U824" t="s">
        <v>72</v>
      </c>
      <c r="V824" t="s">
        <v>8082</v>
      </c>
      <c r="W824" t="s">
        <v>8083</v>
      </c>
      <c r="X824" t="s">
        <v>2669</v>
      </c>
      <c r="Y824" t="s">
        <v>8084</v>
      </c>
      <c r="Z824" t="s">
        <v>8085</v>
      </c>
      <c r="AA824" t="s">
        <v>8086</v>
      </c>
      <c r="AB824" t="s">
        <v>8087</v>
      </c>
      <c r="AC824" t="s">
        <v>72</v>
      </c>
      <c r="AD824" t="s">
        <v>72</v>
      </c>
      <c r="AE824" t="s">
        <v>72</v>
      </c>
      <c r="AF824" t="s">
        <v>72</v>
      </c>
      <c r="AG824">
        <v>35</v>
      </c>
      <c r="AH824">
        <v>5</v>
      </c>
      <c r="AI824">
        <v>5</v>
      </c>
      <c r="AJ824">
        <v>0</v>
      </c>
      <c r="AK824">
        <v>0</v>
      </c>
      <c r="AL824" t="s">
        <v>858</v>
      </c>
      <c r="AM824" t="s">
        <v>859</v>
      </c>
      <c r="AN824" t="s">
        <v>860</v>
      </c>
      <c r="AO824" t="s">
        <v>861</v>
      </c>
      <c r="AP824" t="s">
        <v>862</v>
      </c>
      <c r="AQ824" t="s">
        <v>72</v>
      </c>
      <c r="AR824" t="s">
        <v>863</v>
      </c>
      <c r="AS824" t="s">
        <v>864</v>
      </c>
      <c r="AT824" t="s">
        <v>8088</v>
      </c>
      <c r="AU824">
        <v>2008</v>
      </c>
      <c r="AV824">
        <v>58</v>
      </c>
      <c r="AW824" t="s">
        <v>8089</v>
      </c>
      <c r="AX824" t="s">
        <v>72</v>
      </c>
      <c r="AY824" t="s">
        <v>72</v>
      </c>
      <c r="AZ824" t="s">
        <v>72</v>
      </c>
      <c r="BA824" t="s">
        <v>72</v>
      </c>
      <c r="BB824">
        <v>379</v>
      </c>
      <c r="BC824">
        <v>386</v>
      </c>
      <c r="BD824" t="s">
        <v>72</v>
      </c>
      <c r="BE824" t="s">
        <v>8090</v>
      </c>
      <c r="BF824" t="str">
        <f>HYPERLINK("http://dx.doi.org/10.1055/s-2007-986360","http://dx.doi.org/10.1055/s-2007-986360")</f>
        <v>http://dx.doi.org/10.1055/s-2007-986360</v>
      </c>
      <c r="BG824" t="s">
        <v>72</v>
      </c>
      <c r="BH824" t="s">
        <v>72</v>
      </c>
      <c r="BI824">
        <v>8</v>
      </c>
      <c r="BJ824" t="s">
        <v>866</v>
      </c>
      <c r="BK824" t="s">
        <v>126</v>
      </c>
      <c r="BL824" t="s">
        <v>8091</v>
      </c>
      <c r="BM824">
        <v>21918951</v>
      </c>
      <c r="BN824" t="s">
        <v>72</v>
      </c>
      <c r="BO824" t="s">
        <v>72</v>
      </c>
      <c r="BP824" t="s">
        <v>72</v>
      </c>
      <c r="BQ824" t="s">
        <v>100</v>
      </c>
      <c r="BR824" t="s">
        <v>8092</v>
      </c>
      <c r="BS824" t="str">
        <f>HYPERLINK("https%3A%2F%2Fwww.webofscience.com%2Fwos%2Fwoscc%2Ffull-record%2FWOS:000260844700008","View Full Record in Web of Science")</f>
        <v>View Full Record in Web of Science</v>
      </c>
    </row>
    <row r="825" spans="1:71" hidden="1" x14ac:dyDescent="0.2">
      <c r="A825" t="s">
        <v>70</v>
      </c>
      <c r="B825" t="s">
        <v>8520</v>
      </c>
      <c r="C825" t="s">
        <v>72</v>
      </c>
      <c r="D825" t="s">
        <v>72</v>
      </c>
      <c r="E825" t="s">
        <v>72</v>
      </c>
      <c r="F825" t="s">
        <v>8521</v>
      </c>
      <c r="G825" t="s">
        <v>72</v>
      </c>
      <c r="H825" t="s">
        <v>72</v>
      </c>
      <c r="I825" t="s">
        <v>8522</v>
      </c>
      <c r="J825" t="s">
        <v>892</v>
      </c>
      <c r="K825" t="s">
        <v>72</v>
      </c>
      <c r="L825" t="s">
        <v>72</v>
      </c>
      <c r="M825" t="s">
        <v>76</v>
      </c>
      <c r="N825" t="s">
        <v>77</v>
      </c>
      <c r="O825" t="s">
        <v>72</v>
      </c>
      <c r="P825" t="s">
        <v>72</v>
      </c>
      <c r="Q825" t="s">
        <v>72</v>
      </c>
      <c r="R825" t="s">
        <v>72</v>
      </c>
      <c r="S825" t="s">
        <v>72</v>
      </c>
      <c r="T825" t="s">
        <v>8523</v>
      </c>
      <c r="U825" t="s">
        <v>8524</v>
      </c>
      <c r="V825" t="s">
        <v>8525</v>
      </c>
      <c r="W825" t="s">
        <v>8526</v>
      </c>
      <c r="X825" t="s">
        <v>8527</v>
      </c>
      <c r="Y825" t="s">
        <v>8528</v>
      </c>
      <c r="Z825" t="s">
        <v>8529</v>
      </c>
      <c r="AA825" t="s">
        <v>8530</v>
      </c>
      <c r="AB825" t="s">
        <v>8531</v>
      </c>
      <c r="AC825" t="s">
        <v>8532</v>
      </c>
      <c r="AD825" t="s">
        <v>8533</v>
      </c>
      <c r="AE825" t="s">
        <v>8534</v>
      </c>
      <c r="AF825" t="s">
        <v>72</v>
      </c>
      <c r="AG825">
        <v>166</v>
      </c>
      <c r="AH825">
        <v>1</v>
      </c>
      <c r="AI825">
        <v>1</v>
      </c>
      <c r="AJ825">
        <v>6</v>
      </c>
      <c r="AK825">
        <v>9</v>
      </c>
      <c r="AL825" t="s">
        <v>901</v>
      </c>
      <c r="AM825" t="s">
        <v>902</v>
      </c>
      <c r="AN825" t="s">
        <v>903</v>
      </c>
      <c r="AO825" t="s">
        <v>904</v>
      </c>
      <c r="AP825" t="s">
        <v>72</v>
      </c>
      <c r="AQ825" t="s">
        <v>72</v>
      </c>
      <c r="AR825" t="s">
        <v>905</v>
      </c>
      <c r="AS825" t="s">
        <v>906</v>
      </c>
      <c r="AT825" t="s">
        <v>8535</v>
      </c>
      <c r="AU825">
        <v>2022</v>
      </c>
      <c r="AV825">
        <v>13</v>
      </c>
      <c r="AW825" t="s">
        <v>72</v>
      </c>
      <c r="AX825" t="s">
        <v>72</v>
      </c>
      <c r="AY825" t="s">
        <v>72</v>
      </c>
      <c r="AZ825" t="s">
        <v>72</v>
      </c>
      <c r="BA825" t="s">
        <v>72</v>
      </c>
      <c r="BB825" t="s">
        <v>72</v>
      </c>
      <c r="BC825" t="s">
        <v>72</v>
      </c>
      <c r="BD825">
        <v>819543</v>
      </c>
      <c r="BE825" t="s">
        <v>8536</v>
      </c>
      <c r="BF825" t="str">
        <f>HYPERLINK("http://dx.doi.org/10.3389/fpsyg.2022.819543","http://dx.doi.org/10.3389/fpsyg.2022.819543")</f>
        <v>http://dx.doi.org/10.3389/fpsyg.2022.819543</v>
      </c>
      <c r="BG825" t="s">
        <v>72</v>
      </c>
      <c r="BH825" t="s">
        <v>72</v>
      </c>
      <c r="BI825">
        <v>14</v>
      </c>
      <c r="BJ825" t="s">
        <v>415</v>
      </c>
      <c r="BK825" t="s">
        <v>126</v>
      </c>
      <c r="BL825" t="s">
        <v>8537</v>
      </c>
      <c r="BM825">
        <v>35310262</v>
      </c>
      <c r="BN825" t="s">
        <v>910</v>
      </c>
      <c r="BO825" t="s">
        <v>72</v>
      </c>
      <c r="BP825" t="s">
        <v>72</v>
      </c>
      <c r="BQ825" t="s">
        <v>100</v>
      </c>
      <c r="BR825" t="s">
        <v>8538</v>
      </c>
      <c r="BS825" t="str">
        <f>HYPERLINK("https%3A%2F%2Fwww.webofscience.com%2Fwos%2Fwoscc%2Ffull-record%2FWOS:000772585100001","View Full Record in Web of Science")</f>
        <v>View Full Record in Web of Science</v>
      </c>
    </row>
    <row r="826" spans="1:71" hidden="1" x14ac:dyDescent="0.2">
      <c r="A826" t="s">
        <v>70</v>
      </c>
      <c r="B826" t="s">
        <v>8789</v>
      </c>
      <c r="C826" t="s">
        <v>72</v>
      </c>
      <c r="D826" t="s">
        <v>72</v>
      </c>
      <c r="E826" t="s">
        <v>72</v>
      </c>
      <c r="F826" t="s">
        <v>8790</v>
      </c>
      <c r="G826" t="s">
        <v>72</v>
      </c>
      <c r="H826" t="s">
        <v>72</v>
      </c>
      <c r="I826" t="s">
        <v>8791</v>
      </c>
      <c r="J826" t="s">
        <v>8792</v>
      </c>
      <c r="K826" t="s">
        <v>72</v>
      </c>
      <c r="L826" t="s">
        <v>72</v>
      </c>
      <c r="M826" t="s">
        <v>76</v>
      </c>
      <c r="N826" t="s">
        <v>77</v>
      </c>
      <c r="O826" t="s">
        <v>72</v>
      </c>
      <c r="P826" t="s">
        <v>72</v>
      </c>
      <c r="Q826" t="s">
        <v>72</v>
      </c>
      <c r="R826" t="s">
        <v>72</v>
      </c>
      <c r="S826" t="s">
        <v>72</v>
      </c>
      <c r="T826" t="s">
        <v>8793</v>
      </c>
      <c r="U826" t="s">
        <v>8794</v>
      </c>
      <c r="V826" t="s">
        <v>8795</v>
      </c>
      <c r="W826" t="s">
        <v>8796</v>
      </c>
      <c r="X826" t="s">
        <v>8797</v>
      </c>
      <c r="Y826" t="s">
        <v>8798</v>
      </c>
      <c r="Z826" t="s">
        <v>8799</v>
      </c>
      <c r="AA826" t="s">
        <v>8800</v>
      </c>
      <c r="AB826" t="s">
        <v>8801</v>
      </c>
      <c r="AC826" t="s">
        <v>8802</v>
      </c>
      <c r="AD826" t="s">
        <v>188</v>
      </c>
      <c r="AE826" t="s">
        <v>8803</v>
      </c>
      <c r="AF826" t="s">
        <v>72</v>
      </c>
      <c r="AG826">
        <v>116</v>
      </c>
      <c r="AH826">
        <v>6</v>
      </c>
      <c r="AI826">
        <v>6</v>
      </c>
      <c r="AJ826">
        <v>2</v>
      </c>
      <c r="AK826">
        <v>11</v>
      </c>
      <c r="AL826" t="s">
        <v>3380</v>
      </c>
      <c r="AM826" t="s">
        <v>574</v>
      </c>
      <c r="AN826" t="s">
        <v>3381</v>
      </c>
      <c r="AO826" t="s">
        <v>8804</v>
      </c>
      <c r="AP826" t="s">
        <v>8805</v>
      </c>
      <c r="AQ826" t="s">
        <v>72</v>
      </c>
      <c r="AR826" t="s">
        <v>8806</v>
      </c>
      <c r="AS826" t="s">
        <v>8807</v>
      </c>
      <c r="AT826" t="s">
        <v>149</v>
      </c>
      <c r="AU826">
        <v>2019</v>
      </c>
      <c r="AV826">
        <v>79</v>
      </c>
      <c r="AW826" t="s">
        <v>72</v>
      </c>
      <c r="AX826" t="s">
        <v>72</v>
      </c>
      <c r="AY826" t="s">
        <v>72</v>
      </c>
      <c r="AZ826" t="s">
        <v>72</v>
      </c>
      <c r="BA826" t="s">
        <v>72</v>
      </c>
      <c r="BB826">
        <v>13</v>
      </c>
      <c r="BC826">
        <v>23</v>
      </c>
      <c r="BD826" t="s">
        <v>72</v>
      </c>
      <c r="BE826" t="s">
        <v>8808</v>
      </c>
      <c r="BF826" t="str">
        <f>HYPERLINK("http://dx.doi.org/10.1016/j.jrp.2019.01.003","http://dx.doi.org/10.1016/j.jrp.2019.01.003")</f>
        <v>http://dx.doi.org/10.1016/j.jrp.2019.01.003</v>
      </c>
      <c r="BG826" t="s">
        <v>72</v>
      </c>
      <c r="BH826" t="s">
        <v>72</v>
      </c>
      <c r="BI826">
        <v>11</v>
      </c>
      <c r="BJ826" t="s">
        <v>125</v>
      </c>
      <c r="BK826" t="s">
        <v>126</v>
      </c>
      <c r="BL826" t="s">
        <v>8809</v>
      </c>
      <c r="BM826" t="s">
        <v>72</v>
      </c>
      <c r="BN826" t="s">
        <v>72</v>
      </c>
      <c r="BO826" t="s">
        <v>72</v>
      </c>
      <c r="BP826" t="s">
        <v>72</v>
      </c>
      <c r="BQ826" t="s">
        <v>100</v>
      </c>
      <c r="BR826" t="s">
        <v>8810</v>
      </c>
      <c r="BS826" t="str">
        <f>HYPERLINK("https%3A%2F%2Fwww.webofscience.com%2Fwos%2Fwoscc%2Ffull-record%2FWOS:000464482300002","View Full Record in Web of Science")</f>
        <v>View Full Record in Web of Science</v>
      </c>
    </row>
    <row r="827" spans="1:71" hidden="1" x14ac:dyDescent="0.2">
      <c r="A827" t="s">
        <v>70</v>
      </c>
      <c r="B827" t="s">
        <v>8835</v>
      </c>
      <c r="C827" t="s">
        <v>72</v>
      </c>
      <c r="D827" t="s">
        <v>72</v>
      </c>
      <c r="E827" t="s">
        <v>72</v>
      </c>
      <c r="F827" t="s">
        <v>8836</v>
      </c>
      <c r="G827" t="s">
        <v>72</v>
      </c>
      <c r="H827" t="s">
        <v>72</v>
      </c>
      <c r="I827" t="s">
        <v>8837</v>
      </c>
      <c r="J827" t="s">
        <v>7133</v>
      </c>
      <c r="K827" t="s">
        <v>72</v>
      </c>
      <c r="L827" t="s">
        <v>72</v>
      </c>
      <c r="M827" t="s">
        <v>76</v>
      </c>
      <c r="N827" t="s">
        <v>352</v>
      </c>
      <c r="O827" t="s">
        <v>72</v>
      </c>
      <c r="P827" t="s">
        <v>72</v>
      </c>
      <c r="Q827" t="s">
        <v>72</v>
      </c>
      <c r="R827" t="s">
        <v>72</v>
      </c>
      <c r="S827" t="s">
        <v>72</v>
      </c>
      <c r="T827" t="s">
        <v>8838</v>
      </c>
      <c r="U827" t="s">
        <v>8839</v>
      </c>
      <c r="V827" t="s">
        <v>8840</v>
      </c>
      <c r="W827" t="s">
        <v>8841</v>
      </c>
      <c r="X827" t="s">
        <v>3977</v>
      </c>
      <c r="Y827" t="s">
        <v>8842</v>
      </c>
      <c r="Z827" t="s">
        <v>8843</v>
      </c>
      <c r="AA827" t="s">
        <v>8844</v>
      </c>
      <c r="AB827" t="s">
        <v>8845</v>
      </c>
      <c r="AC827" t="s">
        <v>8846</v>
      </c>
      <c r="AD827" t="s">
        <v>8847</v>
      </c>
      <c r="AE827" t="s">
        <v>8848</v>
      </c>
      <c r="AF827" t="s">
        <v>72</v>
      </c>
      <c r="AG827">
        <v>100</v>
      </c>
      <c r="AH827">
        <v>2</v>
      </c>
      <c r="AI827">
        <v>2</v>
      </c>
      <c r="AJ827">
        <v>6</v>
      </c>
      <c r="AK827">
        <v>8</v>
      </c>
      <c r="AL827" t="s">
        <v>88</v>
      </c>
      <c r="AM827" t="s">
        <v>707</v>
      </c>
      <c r="AN827" t="s">
        <v>1987</v>
      </c>
      <c r="AO827" t="s">
        <v>7141</v>
      </c>
      <c r="AP827" t="s">
        <v>7142</v>
      </c>
      <c r="AQ827" t="s">
        <v>72</v>
      </c>
      <c r="AR827" t="s">
        <v>7143</v>
      </c>
      <c r="AS827" t="s">
        <v>7144</v>
      </c>
      <c r="AT827" t="s">
        <v>72</v>
      </c>
      <c r="AU827" t="s">
        <v>72</v>
      </c>
      <c r="AV827" t="s">
        <v>72</v>
      </c>
      <c r="AW827" t="s">
        <v>72</v>
      </c>
      <c r="AX827" t="s">
        <v>72</v>
      </c>
      <c r="AY827" t="s">
        <v>72</v>
      </c>
      <c r="AZ827" t="s">
        <v>72</v>
      </c>
      <c r="BA827" t="s">
        <v>72</v>
      </c>
      <c r="BB827" t="s">
        <v>72</v>
      </c>
      <c r="BC827" t="s">
        <v>72</v>
      </c>
      <c r="BD827" t="s">
        <v>72</v>
      </c>
      <c r="BE827" t="s">
        <v>8849</v>
      </c>
      <c r="BF827" t="str">
        <f>HYPERLINK("http://dx.doi.org/10.3758/s13428-022-01801-y","http://dx.doi.org/10.3758/s13428-022-01801-y")</f>
        <v>http://dx.doi.org/10.3758/s13428-022-01801-y</v>
      </c>
      <c r="BG827" t="s">
        <v>72</v>
      </c>
      <c r="BH827" t="s">
        <v>1212</v>
      </c>
      <c r="BI827">
        <v>16</v>
      </c>
      <c r="BJ827" t="s">
        <v>7146</v>
      </c>
      <c r="BK827" t="s">
        <v>126</v>
      </c>
      <c r="BL827" t="s">
        <v>8850</v>
      </c>
      <c r="BM827">
        <v>35175566</v>
      </c>
      <c r="BN827" t="s">
        <v>72</v>
      </c>
      <c r="BO827" t="s">
        <v>72</v>
      </c>
      <c r="BP827" t="s">
        <v>72</v>
      </c>
      <c r="BQ827" t="s">
        <v>100</v>
      </c>
      <c r="BR827" t="s">
        <v>8851</v>
      </c>
      <c r="BS827" t="str">
        <f>HYPERLINK("https%3A%2F%2Fwww.webofscience.com%2Fwos%2Fwoscc%2Ffull-record%2FWOS:000757153100001","View Full Record in Web of Science")</f>
        <v>View Full Record in Web of Science</v>
      </c>
    </row>
    <row r="828" spans="1:71" hidden="1" x14ac:dyDescent="0.2">
      <c r="A828" t="s">
        <v>70</v>
      </c>
      <c r="B828" t="s">
        <v>8869</v>
      </c>
      <c r="C828" t="s">
        <v>72</v>
      </c>
      <c r="D828" t="s">
        <v>72</v>
      </c>
      <c r="E828" t="s">
        <v>72</v>
      </c>
      <c r="F828" t="s">
        <v>8870</v>
      </c>
      <c r="G828" t="s">
        <v>72</v>
      </c>
      <c r="H828" t="s">
        <v>72</v>
      </c>
      <c r="I828" t="s">
        <v>8871</v>
      </c>
      <c r="J828" t="s">
        <v>8872</v>
      </c>
      <c r="K828" t="s">
        <v>72</v>
      </c>
      <c r="L828" t="s">
        <v>72</v>
      </c>
      <c r="M828" t="s">
        <v>76</v>
      </c>
      <c r="N828" t="s">
        <v>77</v>
      </c>
      <c r="O828" t="s">
        <v>72</v>
      </c>
      <c r="P828" t="s">
        <v>72</v>
      </c>
      <c r="Q828" t="s">
        <v>72</v>
      </c>
      <c r="R828" t="s">
        <v>72</v>
      </c>
      <c r="S828" t="s">
        <v>72</v>
      </c>
      <c r="T828" t="s">
        <v>8873</v>
      </c>
      <c r="U828" t="s">
        <v>8874</v>
      </c>
      <c r="V828" t="s">
        <v>8875</v>
      </c>
      <c r="W828" t="s">
        <v>8876</v>
      </c>
      <c r="X828" t="s">
        <v>8877</v>
      </c>
      <c r="Y828" t="s">
        <v>8878</v>
      </c>
      <c r="Z828" t="s">
        <v>8879</v>
      </c>
      <c r="AA828" t="s">
        <v>8880</v>
      </c>
      <c r="AB828" t="s">
        <v>8881</v>
      </c>
      <c r="AC828" t="s">
        <v>8882</v>
      </c>
      <c r="AD828" t="s">
        <v>8883</v>
      </c>
      <c r="AE828" t="s">
        <v>8884</v>
      </c>
      <c r="AF828" t="s">
        <v>72</v>
      </c>
      <c r="AG828">
        <v>117</v>
      </c>
      <c r="AH828">
        <v>13</v>
      </c>
      <c r="AI828">
        <v>13</v>
      </c>
      <c r="AJ828">
        <v>2</v>
      </c>
      <c r="AK828">
        <v>10</v>
      </c>
      <c r="AL828" t="s">
        <v>1279</v>
      </c>
      <c r="AM828" t="s">
        <v>1280</v>
      </c>
      <c r="AN828" t="s">
        <v>1281</v>
      </c>
      <c r="AO828" t="s">
        <v>8885</v>
      </c>
      <c r="AP828" t="s">
        <v>8886</v>
      </c>
      <c r="AQ828" t="s">
        <v>72</v>
      </c>
      <c r="AR828" t="s">
        <v>8887</v>
      </c>
      <c r="AS828" t="s">
        <v>8888</v>
      </c>
      <c r="AT828" t="s">
        <v>639</v>
      </c>
      <c r="AU828">
        <v>2019</v>
      </c>
      <c r="AV828">
        <v>24</v>
      </c>
      <c r="AW828">
        <v>4</v>
      </c>
      <c r="AX828" t="s">
        <v>72</v>
      </c>
      <c r="AY828" t="s">
        <v>72</v>
      </c>
      <c r="AZ828" t="s">
        <v>72</v>
      </c>
      <c r="BA828" t="s">
        <v>72</v>
      </c>
      <c r="BB828">
        <v>419</v>
      </c>
      <c r="BC828">
        <v>438</v>
      </c>
      <c r="BD828" t="s">
        <v>72</v>
      </c>
      <c r="BE828" t="s">
        <v>8889</v>
      </c>
      <c r="BF828" t="str">
        <f>HYPERLINK("http://dx.doi.org/10.1037/met0000206","http://dx.doi.org/10.1037/met0000206")</f>
        <v>http://dx.doi.org/10.1037/met0000206</v>
      </c>
      <c r="BG828" t="s">
        <v>72</v>
      </c>
      <c r="BH828" t="s">
        <v>72</v>
      </c>
      <c r="BI828">
        <v>20</v>
      </c>
      <c r="BJ828" t="s">
        <v>415</v>
      </c>
      <c r="BK828" t="s">
        <v>126</v>
      </c>
      <c r="BL828" t="s">
        <v>8890</v>
      </c>
      <c r="BM828">
        <v>30816726</v>
      </c>
      <c r="BN828" t="s">
        <v>1497</v>
      </c>
      <c r="BO828" t="s">
        <v>72</v>
      </c>
      <c r="BP828" t="s">
        <v>72</v>
      </c>
      <c r="BQ828" t="s">
        <v>100</v>
      </c>
      <c r="BR828" t="s">
        <v>8891</v>
      </c>
      <c r="BS828" t="str">
        <f>HYPERLINK("https%3A%2F%2Fwww.webofscience.com%2Fwos%2Fwoscc%2Ffull-record%2FWOS:000478029600002","View Full Record in Web of Science")</f>
        <v>View Full Record in Web of Science</v>
      </c>
    </row>
    <row r="829" spans="1:71" hidden="1" x14ac:dyDescent="0.2">
      <c r="A829" t="s">
        <v>70</v>
      </c>
      <c r="B829" t="s">
        <v>8955</v>
      </c>
      <c r="C829" t="s">
        <v>72</v>
      </c>
      <c r="D829" t="s">
        <v>72</v>
      </c>
      <c r="E829" t="s">
        <v>72</v>
      </c>
      <c r="F829" t="s">
        <v>8956</v>
      </c>
      <c r="G829" t="s">
        <v>72</v>
      </c>
      <c r="H829" t="s">
        <v>72</v>
      </c>
      <c r="I829" t="s">
        <v>8957</v>
      </c>
      <c r="J829" t="s">
        <v>8958</v>
      </c>
      <c r="K829" t="s">
        <v>72</v>
      </c>
      <c r="L829" t="s">
        <v>72</v>
      </c>
      <c r="M829" t="s">
        <v>76</v>
      </c>
      <c r="N829" t="s">
        <v>77</v>
      </c>
      <c r="O829" t="s">
        <v>72</v>
      </c>
      <c r="P829" t="s">
        <v>72</v>
      </c>
      <c r="Q829" t="s">
        <v>72</v>
      </c>
      <c r="R829" t="s">
        <v>72</v>
      </c>
      <c r="S829" t="s">
        <v>72</v>
      </c>
      <c r="T829" t="s">
        <v>8959</v>
      </c>
      <c r="U829" t="s">
        <v>8960</v>
      </c>
      <c r="V829" t="s">
        <v>8961</v>
      </c>
      <c r="W829" t="s">
        <v>8962</v>
      </c>
      <c r="X829" t="s">
        <v>8963</v>
      </c>
      <c r="Y829" t="s">
        <v>8964</v>
      </c>
      <c r="Z829" t="s">
        <v>8965</v>
      </c>
      <c r="AA829" t="s">
        <v>8966</v>
      </c>
      <c r="AB829" t="s">
        <v>8967</v>
      </c>
      <c r="AC829" t="s">
        <v>72</v>
      </c>
      <c r="AD829" t="s">
        <v>72</v>
      </c>
      <c r="AE829" t="s">
        <v>72</v>
      </c>
      <c r="AF829" t="s">
        <v>72</v>
      </c>
      <c r="AG829">
        <v>46</v>
      </c>
      <c r="AH829">
        <v>16</v>
      </c>
      <c r="AI829">
        <v>16</v>
      </c>
      <c r="AJ829">
        <v>0</v>
      </c>
      <c r="AK829">
        <v>6</v>
      </c>
      <c r="AL829" t="s">
        <v>364</v>
      </c>
      <c r="AM829" t="s">
        <v>365</v>
      </c>
      <c r="AN829" t="s">
        <v>366</v>
      </c>
      <c r="AO829" t="s">
        <v>8968</v>
      </c>
      <c r="AP829" t="s">
        <v>8969</v>
      </c>
      <c r="AQ829" t="s">
        <v>72</v>
      </c>
      <c r="AR829" t="s">
        <v>8970</v>
      </c>
      <c r="AS829" t="s">
        <v>8971</v>
      </c>
      <c r="AT829" t="s">
        <v>72</v>
      </c>
      <c r="AU829">
        <v>2017</v>
      </c>
      <c r="AV829">
        <v>27</v>
      </c>
      <c r="AW829">
        <v>1</v>
      </c>
      <c r="AX829" t="s">
        <v>72</v>
      </c>
      <c r="AY829" t="s">
        <v>72</v>
      </c>
      <c r="AZ829" t="s">
        <v>72</v>
      </c>
      <c r="BA829" t="s">
        <v>72</v>
      </c>
      <c r="BB829">
        <v>38</v>
      </c>
      <c r="BC829">
        <v>50</v>
      </c>
      <c r="BD829" t="s">
        <v>72</v>
      </c>
      <c r="BE829" t="s">
        <v>8972</v>
      </c>
      <c r="BF829" t="str">
        <f>HYPERLINK("http://dx.doi.org/10.1080/10503307.2015.1072282","http://dx.doi.org/10.1080/10503307.2015.1072282")</f>
        <v>http://dx.doi.org/10.1080/10503307.2015.1072282</v>
      </c>
      <c r="BG829" t="s">
        <v>72</v>
      </c>
      <c r="BH829" t="s">
        <v>72</v>
      </c>
      <c r="BI829">
        <v>13</v>
      </c>
      <c r="BJ829" t="s">
        <v>866</v>
      </c>
      <c r="BK829" t="s">
        <v>126</v>
      </c>
      <c r="BL829" t="s">
        <v>8973</v>
      </c>
      <c r="BM829">
        <v>26337544</v>
      </c>
      <c r="BN829" t="s">
        <v>72</v>
      </c>
      <c r="BO829" t="s">
        <v>72</v>
      </c>
      <c r="BP829" t="s">
        <v>72</v>
      </c>
      <c r="BQ829" t="s">
        <v>100</v>
      </c>
      <c r="BR829" t="s">
        <v>8974</v>
      </c>
      <c r="BS829" t="str">
        <f>HYPERLINK("https%3A%2F%2Fwww.webofscience.com%2Fwos%2Fwoscc%2Ffull-record%2FWOS:000394015700005","View Full Record in Web of Science")</f>
        <v>View Full Record in Web of Science</v>
      </c>
    </row>
    <row r="830" spans="1:71" hidden="1" x14ac:dyDescent="0.2">
      <c r="A830" t="s">
        <v>70</v>
      </c>
      <c r="B830" t="s">
        <v>3170</v>
      </c>
      <c r="C830" t="s">
        <v>72</v>
      </c>
      <c r="D830" t="s">
        <v>72</v>
      </c>
      <c r="E830" t="s">
        <v>72</v>
      </c>
      <c r="F830" t="s">
        <v>3171</v>
      </c>
      <c r="G830" t="s">
        <v>72</v>
      </c>
      <c r="H830" t="s">
        <v>72</v>
      </c>
      <c r="I830" t="s">
        <v>9038</v>
      </c>
      <c r="J830" t="s">
        <v>9039</v>
      </c>
      <c r="K830" t="s">
        <v>72</v>
      </c>
      <c r="L830" t="s">
        <v>72</v>
      </c>
      <c r="M830" t="s">
        <v>76</v>
      </c>
      <c r="N830" t="s">
        <v>77</v>
      </c>
      <c r="O830" t="s">
        <v>72</v>
      </c>
      <c r="P830" t="s">
        <v>72</v>
      </c>
      <c r="Q830" t="s">
        <v>72</v>
      </c>
      <c r="R830" t="s">
        <v>72</v>
      </c>
      <c r="S830" t="s">
        <v>72</v>
      </c>
      <c r="T830" t="s">
        <v>9040</v>
      </c>
      <c r="U830" t="s">
        <v>9041</v>
      </c>
      <c r="V830" t="s">
        <v>9042</v>
      </c>
      <c r="W830" t="s">
        <v>6007</v>
      </c>
      <c r="X830" t="s">
        <v>3196</v>
      </c>
      <c r="Y830" t="s">
        <v>5637</v>
      </c>
      <c r="Z830" t="s">
        <v>3198</v>
      </c>
      <c r="AA830" t="s">
        <v>72</v>
      </c>
      <c r="AB830" t="s">
        <v>3181</v>
      </c>
      <c r="AC830" t="s">
        <v>72</v>
      </c>
      <c r="AD830" t="s">
        <v>72</v>
      </c>
      <c r="AE830" t="s">
        <v>72</v>
      </c>
      <c r="AF830" t="s">
        <v>72</v>
      </c>
      <c r="AG830">
        <v>69</v>
      </c>
      <c r="AH830">
        <v>5</v>
      </c>
      <c r="AI830">
        <v>5</v>
      </c>
      <c r="AJ830">
        <v>5</v>
      </c>
      <c r="AK830">
        <v>7</v>
      </c>
      <c r="AL830" t="s">
        <v>364</v>
      </c>
      <c r="AM830" t="s">
        <v>365</v>
      </c>
      <c r="AN830" t="s">
        <v>366</v>
      </c>
      <c r="AO830" t="s">
        <v>9043</v>
      </c>
      <c r="AP830" t="s">
        <v>9044</v>
      </c>
      <c r="AQ830" t="s">
        <v>72</v>
      </c>
      <c r="AR830" t="s">
        <v>9045</v>
      </c>
      <c r="AS830" t="s">
        <v>9046</v>
      </c>
      <c r="AT830" t="s">
        <v>1172</v>
      </c>
      <c r="AU830">
        <v>2022</v>
      </c>
      <c r="AV830">
        <v>36</v>
      </c>
      <c r="AW830">
        <v>1</v>
      </c>
      <c r="AX830" t="s">
        <v>72</v>
      </c>
      <c r="AY830" t="s">
        <v>72</v>
      </c>
      <c r="AZ830" t="s">
        <v>478</v>
      </c>
      <c r="BA830" t="s">
        <v>72</v>
      </c>
      <c r="BB830">
        <v>9</v>
      </c>
      <c r="BC830">
        <v>22</v>
      </c>
      <c r="BD830" t="s">
        <v>72</v>
      </c>
      <c r="BE830" t="s">
        <v>9047</v>
      </c>
      <c r="BF830" t="str">
        <f>HYPERLINK("http://dx.doi.org/10.1080/02699931.2021.2022602","http://dx.doi.org/10.1080/02699931.2021.2022602")</f>
        <v>http://dx.doi.org/10.1080/02699931.2021.2022602</v>
      </c>
      <c r="BG830" t="s">
        <v>72</v>
      </c>
      <c r="BH830" t="s">
        <v>1288</v>
      </c>
      <c r="BI830">
        <v>14</v>
      </c>
      <c r="BJ830" t="s">
        <v>5759</v>
      </c>
      <c r="BK830" t="s">
        <v>126</v>
      </c>
      <c r="BL830" t="s">
        <v>9048</v>
      </c>
      <c r="BM830">
        <v>34965201</v>
      </c>
      <c r="BN830" t="s">
        <v>251</v>
      </c>
      <c r="BO830" t="s">
        <v>72</v>
      </c>
      <c r="BP830" t="s">
        <v>72</v>
      </c>
      <c r="BQ830" t="s">
        <v>100</v>
      </c>
      <c r="BR830" t="s">
        <v>9049</v>
      </c>
      <c r="BS830" t="str">
        <f>HYPERLINK("https%3A%2F%2Fwww.webofscience.com%2Fwos%2Fwoscc%2Ffull-record%2FWOS:000735810500001","View Full Record in Web of Science")</f>
        <v>View Full Record in Web of Science</v>
      </c>
    </row>
    <row r="831" spans="1:71" hidden="1" x14ac:dyDescent="0.2">
      <c r="A831" t="s">
        <v>70</v>
      </c>
      <c r="B831" t="s">
        <v>9133</v>
      </c>
      <c r="C831" t="s">
        <v>72</v>
      </c>
      <c r="D831" t="s">
        <v>72</v>
      </c>
      <c r="E831" t="s">
        <v>72</v>
      </c>
      <c r="F831" t="s">
        <v>9134</v>
      </c>
      <c r="G831" t="s">
        <v>72</v>
      </c>
      <c r="H831" t="s">
        <v>72</v>
      </c>
      <c r="I831" t="s">
        <v>9135</v>
      </c>
      <c r="J831" t="s">
        <v>9136</v>
      </c>
      <c r="K831" t="s">
        <v>72</v>
      </c>
      <c r="L831" t="s">
        <v>72</v>
      </c>
      <c r="M831" t="s">
        <v>76</v>
      </c>
      <c r="N831" t="s">
        <v>77</v>
      </c>
      <c r="O831" t="s">
        <v>72</v>
      </c>
      <c r="P831" t="s">
        <v>72</v>
      </c>
      <c r="Q831" t="s">
        <v>72</v>
      </c>
      <c r="R831" t="s">
        <v>72</v>
      </c>
      <c r="S831" t="s">
        <v>72</v>
      </c>
      <c r="T831" t="s">
        <v>9137</v>
      </c>
      <c r="U831" t="s">
        <v>9138</v>
      </c>
      <c r="V831" t="s">
        <v>9139</v>
      </c>
      <c r="W831" t="s">
        <v>9140</v>
      </c>
      <c r="X831" t="s">
        <v>9141</v>
      </c>
      <c r="Y831" t="s">
        <v>9142</v>
      </c>
      <c r="Z831" t="s">
        <v>9143</v>
      </c>
      <c r="AA831" t="s">
        <v>72</v>
      </c>
      <c r="AB831" t="s">
        <v>9144</v>
      </c>
      <c r="AC831" t="s">
        <v>9145</v>
      </c>
      <c r="AD831" t="s">
        <v>9146</v>
      </c>
      <c r="AE831" t="s">
        <v>9147</v>
      </c>
      <c r="AF831" t="s">
        <v>72</v>
      </c>
      <c r="AG831">
        <v>45</v>
      </c>
      <c r="AH831">
        <v>4</v>
      </c>
      <c r="AI831">
        <v>4</v>
      </c>
      <c r="AJ831">
        <v>4</v>
      </c>
      <c r="AK831">
        <v>4</v>
      </c>
      <c r="AL831" t="s">
        <v>1279</v>
      </c>
      <c r="AM831" t="s">
        <v>1280</v>
      </c>
      <c r="AN831" t="s">
        <v>1281</v>
      </c>
      <c r="AO831" t="s">
        <v>9148</v>
      </c>
      <c r="AP831" t="s">
        <v>9149</v>
      </c>
      <c r="AQ831" t="s">
        <v>72</v>
      </c>
      <c r="AR831" t="s">
        <v>9136</v>
      </c>
      <c r="AS831" t="s">
        <v>9150</v>
      </c>
      <c r="AT831" t="s">
        <v>95</v>
      </c>
      <c r="AU831">
        <v>2021</v>
      </c>
      <c r="AV831">
        <v>21</v>
      </c>
      <c r="AW831">
        <v>6</v>
      </c>
      <c r="AX831" t="s">
        <v>72</v>
      </c>
      <c r="AY831" t="s">
        <v>72</v>
      </c>
      <c r="AZ831" t="s">
        <v>72</v>
      </c>
      <c r="BA831" t="s">
        <v>72</v>
      </c>
      <c r="BB831">
        <v>1268</v>
      </c>
      <c r="BC831">
        <v>1280</v>
      </c>
      <c r="BD831" t="s">
        <v>72</v>
      </c>
      <c r="BE831" t="s">
        <v>9151</v>
      </c>
      <c r="BF831" t="str">
        <f>HYPERLINK("http://dx.doi.org/10.1037/emo0000966","http://dx.doi.org/10.1037/emo0000966")</f>
        <v>http://dx.doi.org/10.1037/emo0000966</v>
      </c>
      <c r="BG831" t="s">
        <v>72</v>
      </c>
      <c r="BH831" t="s">
        <v>72</v>
      </c>
      <c r="BI831">
        <v>13</v>
      </c>
      <c r="BJ831" t="s">
        <v>5759</v>
      </c>
      <c r="BK831" t="s">
        <v>126</v>
      </c>
      <c r="BL831" t="s">
        <v>9152</v>
      </c>
      <c r="BM831">
        <v>34435843</v>
      </c>
      <c r="BN831" t="s">
        <v>72</v>
      </c>
      <c r="BO831" t="s">
        <v>72</v>
      </c>
      <c r="BP831" t="s">
        <v>72</v>
      </c>
      <c r="BQ831" t="s">
        <v>100</v>
      </c>
      <c r="BR831" t="s">
        <v>9153</v>
      </c>
      <c r="BS831" t="str">
        <f>HYPERLINK("https%3A%2F%2Fwww.webofscience.com%2Fwos%2Fwoscc%2Ffull-record%2FWOS:000728153900017","View Full Record in Web of Science")</f>
        <v>View Full Record in Web of Science</v>
      </c>
    </row>
    <row r="832" spans="1:71" hidden="1" x14ac:dyDescent="0.2">
      <c r="A832" t="s">
        <v>70</v>
      </c>
      <c r="B832" t="s">
        <v>9527</v>
      </c>
      <c r="C832" t="s">
        <v>72</v>
      </c>
      <c r="D832" t="s">
        <v>72</v>
      </c>
      <c r="E832" t="s">
        <v>72</v>
      </c>
      <c r="F832" t="s">
        <v>9527</v>
      </c>
      <c r="G832" t="s">
        <v>72</v>
      </c>
      <c r="H832" t="s">
        <v>72</v>
      </c>
      <c r="I832" t="s">
        <v>9528</v>
      </c>
      <c r="J832" t="s">
        <v>9529</v>
      </c>
      <c r="K832" t="s">
        <v>72</v>
      </c>
      <c r="L832" t="s">
        <v>72</v>
      </c>
      <c r="M832" t="s">
        <v>76</v>
      </c>
      <c r="N832" t="s">
        <v>77</v>
      </c>
      <c r="O832" t="s">
        <v>72</v>
      </c>
      <c r="P832" t="s">
        <v>72</v>
      </c>
      <c r="Q832" t="s">
        <v>72</v>
      </c>
      <c r="R832" t="s">
        <v>72</v>
      </c>
      <c r="S832" t="s">
        <v>72</v>
      </c>
      <c r="T832" t="s">
        <v>9530</v>
      </c>
      <c r="U832" t="s">
        <v>9531</v>
      </c>
      <c r="V832" t="s">
        <v>9532</v>
      </c>
      <c r="W832" t="s">
        <v>9533</v>
      </c>
      <c r="X832" t="s">
        <v>9534</v>
      </c>
      <c r="Y832" t="s">
        <v>9535</v>
      </c>
      <c r="Z832" t="s">
        <v>9536</v>
      </c>
      <c r="AA832" t="s">
        <v>72</v>
      </c>
      <c r="AB832" t="s">
        <v>72</v>
      </c>
      <c r="AC832" t="s">
        <v>72</v>
      </c>
      <c r="AD832" t="s">
        <v>72</v>
      </c>
      <c r="AE832" t="s">
        <v>72</v>
      </c>
      <c r="AF832" t="s">
        <v>72</v>
      </c>
      <c r="AG832">
        <v>28</v>
      </c>
      <c r="AH832">
        <v>51</v>
      </c>
      <c r="AI832">
        <v>52</v>
      </c>
      <c r="AJ832">
        <v>0</v>
      </c>
      <c r="AK832">
        <v>11</v>
      </c>
      <c r="AL832" t="s">
        <v>9537</v>
      </c>
      <c r="AM832" t="s">
        <v>707</v>
      </c>
      <c r="AN832" t="s">
        <v>5184</v>
      </c>
      <c r="AO832" t="s">
        <v>9538</v>
      </c>
      <c r="AP832" t="s">
        <v>72</v>
      </c>
      <c r="AQ832" t="s">
        <v>72</v>
      </c>
      <c r="AR832" t="s">
        <v>9539</v>
      </c>
      <c r="AS832" t="s">
        <v>9540</v>
      </c>
      <c r="AT832" t="s">
        <v>395</v>
      </c>
      <c r="AU832">
        <v>2004</v>
      </c>
      <c r="AV832">
        <v>27</v>
      </c>
      <c r="AW832">
        <v>5</v>
      </c>
      <c r="AX832" t="s">
        <v>72</v>
      </c>
      <c r="AY832" t="s">
        <v>72</v>
      </c>
      <c r="AZ832" t="s">
        <v>72</v>
      </c>
      <c r="BA832" t="s">
        <v>72</v>
      </c>
      <c r="BB832">
        <v>491</v>
      </c>
      <c r="BC832">
        <v>505</v>
      </c>
      <c r="BD832" t="s">
        <v>72</v>
      </c>
      <c r="BE832" t="s">
        <v>9541</v>
      </c>
      <c r="BF832" t="str">
        <f>HYPERLINK("http://dx.doi.org/10.1023/B:JOBM.0000047612.81370.f7","http://dx.doi.org/10.1023/B:JOBM.0000047612.81370.f7")</f>
        <v>http://dx.doi.org/10.1023/B:JOBM.0000047612.81370.f7</v>
      </c>
      <c r="BG832" t="s">
        <v>72</v>
      </c>
      <c r="BH832" t="s">
        <v>72</v>
      </c>
      <c r="BI832">
        <v>15</v>
      </c>
      <c r="BJ832" t="s">
        <v>866</v>
      </c>
      <c r="BK832" t="s">
        <v>126</v>
      </c>
      <c r="BL832" t="s">
        <v>9542</v>
      </c>
      <c r="BM832">
        <v>15675637</v>
      </c>
      <c r="BN832" t="s">
        <v>72</v>
      </c>
      <c r="BO832" t="s">
        <v>72</v>
      </c>
      <c r="BP832" t="s">
        <v>72</v>
      </c>
      <c r="BQ832" t="s">
        <v>100</v>
      </c>
      <c r="BR832" t="s">
        <v>9543</v>
      </c>
      <c r="BS832" t="str">
        <f>HYPERLINK("https%3A%2F%2Fwww.webofscience.com%2Fwos%2Fwoscc%2Ffull-record%2FWOS:000225598200005","View Full Record in Web of Science")</f>
        <v>View Full Record in Web of Science</v>
      </c>
    </row>
    <row r="833" spans="1:71" hidden="1" x14ac:dyDescent="0.2">
      <c r="A833" t="s">
        <v>70</v>
      </c>
      <c r="B833" t="s">
        <v>10457</v>
      </c>
      <c r="C833" t="s">
        <v>72</v>
      </c>
      <c r="D833" t="s">
        <v>72</v>
      </c>
      <c r="E833" t="s">
        <v>72</v>
      </c>
      <c r="F833" t="s">
        <v>10458</v>
      </c>
      <c r="G833" t="s">
        <v>72</v>
      </c>
      <c r="H833" t="s">
        <v>72</v>
      </c>
      <c r="I833" t="s">
        <v>10459</v>
      </c>
      <c r="J833" t="s">
        <v>10460</v>
      </c>
      <c r="K833" t="s">
        <v>72</v>
      </c>
      <c r="L833" t="s">
        <v>72</v>
      </c>
      <c r="M833" t="s">
        <v>76</v>
      </c>
      <c r="N833" t="s">
        <v>77</v>
      </c>
      <c r="O833" t="s">
        <v>72</v>
      </c>
      <c r="P833" t="s">
        <v>72</v>
      </c>
      <c r="Q833" t="s">
        <v>72</v>
      </c>
      <c r="R833" t="s">
        <v>72</v>
      </c>
      <c r="S833" t="s">
        <v>72</v>
      </c>
      <c r="T833" t="s">
        <v>10461</v>
      </c>
      <c r="U833" t="s">
        <v>10462</v>
      </c>
      <c r="V833" t="s">
        <v>10463</v>
      </c>
      <c r="W833" t="s">
        <v>10464</v>
      </c>
      <c r="X833" t="s">
        <v>10465</v>
      </c>
      <c r="Y833" t="s">
        <v>10466</v>
      </c>
      <c r="Z833" t="s">
        <v>10467</v>
      </c>
      <c r="AA833" t="s">
        <v>72</v>
      </c>
      <c r="AB833" t="s">
        <v>72</v>
      </c>
      <c r="AC833" t="s">
        <v>10468</v>
      </c>
      <c r="AD833" t="s">
        <v>10469</v>
      </c>
      <c r="AE833" t="s">
        <v>10470</v>
      </c>
      <c r="AF833" t="s">
        <v>72</v>
      </c>
      <c r="AG833">
        <v>52</v>
      </c>
      <c r="AH833">
        <v>17</v>
      </c>
      <c r="AI833">
        <v>17</v>
      </c>
      <c r="AJ833">
        <v>1</v>
      </c>
      <c r="AK833">
        <v>21</v>
      </c>
      <c r="AL833" t="s">
        <v>10471</v>
      </c>
      <c r="AM833" t="s">
        <v>10472</v>
      </c>
      <c r="AN833" t="s">
        <v>10473</v>
      </c>
      <c r="AO833" t="s">
        <v>10474</v>
      </c>
      <c r="AP833" t="s">
        <v>10475</v>
      </c>
      <c r="AQ833" t="s">
        <v>72</v>
      </c>
      <c r="AR833" t="s">
        <v>10476</v>
      </c>
      <c r="AS833" t="s">
        <v>10477</v>
      </c>
      <c r="AT833" t="s">
        <v>247</v>
      </c>
      <c r="AU833">
        <v>2016</v>
      </c>
      <c r="AV833">
        <v>48</v>
      </c>
      <c r="AW833">
        <v>1</v>
      </c>
      <c r="AX833" t="s">
        <v>72</v>
      </c>
      <c r="AY833" t="s">
        <v>72</v>
      </c>
      <c r="AZ833" t="s">
        <v>478</v>
      </c>
      <c r="BA833" t="s">
        <v>72</v>
      </c>
      <c r="BB833">
        <v>78</v>
      </c>
      <c r="BC833">
        <v>88</v>
      </c>
      <c r="BD833" t="s">
        <v>72</v>
      </c>
      <c r="BE833" t="s">
        <v>10478</v>
      </c>
      <c r="BF833" t="str">
        <f>HYPERLINK("http://dx.doi.org/10.1037/cbs0000035","http://dx.doi.org/10.1037/cbs0000035")</f>
        <v>http://dx.doi.org/10.1037/cbs0000035</v>
      </c>
      <c r="BG833" t="s">
        <v>72</v>
      </c>
      <c r="BH833" t="s">
        <v>72</v>
      </c>
      <c r="BI833">
        <v>11</v>
      </c>
      <c r="BJ833" t="s">
        <v>415</v>
      </c>
      <c r="BK833" t="s">
        <v>126</v>
      </c>
      <c r="BL833" t="s">
        <v>10479</v>
      </c>
      <c r="BM833">
        <v>27065477</v>
      </c>
      <c r="BN833" t="s">
        <v>5171</v>
      </c>
      <c r="BO833" t="s">
        <v>72</v>
      </c>
      <c r="BP833" t="s">
        <v>72</v>
      </c>
      <c r="BQ833" t="s">
        <v>100</v>
      </c>
      <c r="BR833" t="s">
        <v>10480</v>
      </c>
      <c r="BS833" t="str">
        <f>HYPERLINK("https%3A%2F%2Fwww.webofscience.com%2Fwos%2Fwoscc%2Ffull-record%2FWOS:000370183000009","View Full Record in Web of Science")</f>
        <v>View Full Record in Web of Science</v>
      </c>
    </row>
    <row r="834" spans="1:71" hidden="1" x14ac:dyDescent="0.2">
      <c r="A834" t="s">
        <v>70</v>
      </c>
      <c r="B834" t="s">
        <v>13016</v>
      </c>
      <c r="C834" t="s">
        <v>72</v>
      </c>
      <c r="D834" t="s">
        <v>72</v>
      </c>
      <c r="E834" t="s">
        <v>72</v>
      </c>
      <c r="F834" t="s">
        <v>13017</v>
      </c>
      <c r="G834" t="s">
        <v>72</v>
      </c>
      <c r="H834" t="s">
        <v>72</v>
      </c>
      <c r="I834" t="s">
        <v>13018</v>
      </c>
      <c r="J834" t="s">
        <v>13019</v>
      </c>
      <c r="K834" t="s">
        <v>72</v>
      </c>
      <c r="L834" t="s">
        <v>72</v>
      </c>
      <c r="M834" t="s">
        <v>76</v>
      </c>
      <c r="N834" t="s">
        <v>1503</v>
      </c>
      <c r="O834" t="s">
        <v>72</v>
      </c>
      <c r="P834" t="s">
        <v>72</v>
      </c>
      <c r="Q834" t="s">
        <v>72</v>
      </c>
      <c r="R834" t="s">
        <v>72</v>
      </c>
      <c r="S834" t="s">
        <v>72</v>
      </c>
      <c r="T834" t="s">
        <v>13020</v>
      </c>
      <c r="U834" t="s">
        <v>13021</v>
      </c>
      <c r="V834" t="s">
        <v>13022</v>
      </c>
      <c r="W834" t="s">
        <v>13023</v>
      </c>
      <c r="X834" t="s">
        <v>13024</v>
      </c>
      <c r="Y834" t="s">
        <v>13025</v>
      </c>
      <c r="Z834" t="s">
        <v>13026</v>
      </c>
      <c r="AA834" t="s">
        <v>13027</v>
      </c>
      <c r="AB834" t="s">
        <v>13028</v>
      </c>
      <c r="AC834" t="s">
        <v>72</v>
      </c>
      <c r="AD834" t="s">
        <v>72</v>
      </c>
      <c r="AE834" t="s">
        <v>72</v>
      </c>
      <c r="AF834" t="s">
        <v>72</v>
      </c>
      <c r="AG834">
        <v>67</v>
      </c>
      <c r="AH834">
        <v>2</v>
      </c>
      <c r="AI834">
        <v>2</v>
      </c>
      <c r="AJ834">
        <v>0</v>
      </c>
      <c r="AK834">
        <v>3</v>
      </c>
      <c r="AL834" t="s">
        <v>13029</v>
      </c>
      <c r="AM834" t="s">
        <v>13030</v>
      </c>
      <c r="AN834" t="s">
        <v>13031</v>
      </c>
      <c r="AO834" t="s">
        <v>13032</v>
      </c>
      <c r="AP834" t="s">
        <v>72</v>
      </c>
      <c r="AQ834" t="s">
        <v>72</v>
      </c>
      <c r="AR834" t="s">
        <v>13033</v>
      </c>
      <c r="AS834" t="s">
        <v>13034</v>
      </c>
      <c r="AT834" t="s">
        <v>72</v>
      </c>
      <c r="AU834">
        <v>2019</v>
      </c>
      <c r="AV834">
        <v>22</v>
      </c>
      <c r="AW834">
        <v>3</v>
      </c>
      <c r="AX834" t="s">
        <v>72</v>
      </c>
      <c r="AY834" t="s">
        <v>72</v>
      </c>
      <c r="AZ834" t="s">
        <v>72</v>
      </c>
      <c r="BA834" t="s">
        <v>72</v>
      </c>
      <c r="BB834">
        <v>472</v>
      </c>
      <c r="BC834">
        <v>485</v>
      </c>
      <c r="BD834" t="s">
        <v>72</v>
      </c>
      <c r="BE834" t="s">
        <v>13035</v>
      </c>
      <c r="BF834" t="str">
        <f>HYPERLINK("http://dx.doi.org/10.4081/ripppo.2019.429","http://dx.doi.org/10.4081/ripppo.2019.429")</f>
        <v>http://dx.doi.org/10.4081/ripppo.2019.429</v>
      </c>
      <c r="BG834" t="s">
        <v>72</v>
      </c>
      <c r="BH834" t="s">
        <v>72</v>
      </c>
      <c r="BI834">
        <v>14</v>
      </c>
      <c r="BJ834" t="s">
        <v>866</v>
      </c>
      <c r="BK834" t="s">
        <v>126</v>
      </c>
      <c r="BL834" t="s">
        <v>13036</v>
      </c>
      <c r="BM834">
        <v>32913819</v>
      </c>
      <c r="BN834" t="s">
        <v>13037</v>
      </c>
      <c r="BO834" t="s">
        <v>72</v>
      </c>
      <c r="BP834" t="s">
        <v>72</v>
      </c>
      <c r="BQ834" t="s">
        <v>100</v>
      </c>
      <c r="BR834" t="s">
        <v>13038</v>
      </c>
      <c r="BS834" t="str">
        <f>HYPERLINK("https%3A%2F%2Fwww.webofscience.com%2Fwos%2Fwoscc%2Ffull-record%2FWOS:000503769100014","View Full Record in Web of Science")</f>
        <v>View Full Record in Web of Science</v>
      </c>
    </row>
    <row r="835" spans="1:71" hidden="1" x14ac:dyDescent="0.2">
      <c r="A835" t="s">
        <v>70</v>
      </c>
      <c r="B835" t="s">
        <v>13414</v>
      </c>
      <c r="C835" t="s">
        <v>72</v>
      </c>
      <c r="D835" t="s">
        <v>72</v>
      </c>
      <c r="E835" t="s">
        <v>72</v>
      </c>
      <c r="F835" t="s">
        <v>13415</v>
      </c>
      <c r="G835" t="s">
        <v>72</v>
      </c>
      <c r="H835" t="s">
        <v>72</v>
      </c>
      <c r="I835" t="s">
        <v>13416</v>
      </c>
      <c r="J835" t="s">
        <v>9529</v>
      </c>
      <c r="K835" t="s">
        <v>72</v>
      </c>
      <c r="L835" t="s">
        <v>72</v>
      </c>
      <c r="M835" t="s">
        <v>76</v>
      </c>
      <c r="N835" t="s">
        <v>77</v>
      </c>
      <c r="O835" t="s">
        <v>72</v>
      </c>
      <c r="P835" t="s">
        <v>72</v>
      </c>
      <c r="Q835" t="s">
        <v>72</v>
      </c>
      <c r="R835" t="s">
        <v>72</v>
      </c>
      <c r="S835" t="s">
        <v>72</v>
      </c>
      <c r="T835" t="s">
        <v>13417</v>
      </c>
      <c r="U835" t="s">
        <v>13418</v>
      </c>
      <c r="V835" t="s">
        <v>13419</v>
      </c>
      <c r="W835" t="s">
        <v>13420</v>
      </c>
      <c r="X835" t="s">
        <v>13421</v>
      </c>
      <c r="Y835" t="s">
        <v>13422</v>
      </c>
      <c r="Z835" t="s">
        <v>13423</v>
      </c>
      <c r="AA835" t="s">
        <v>13424</v>
      </c>
      <c r="AB835" t="s">
        <v>13425</v>
      </c>
      <c r="AC835" t="s">
        <v>72</v>
      </c>
      <c r="AD835" t="s">
        <v>72</v>
      </c>
      <c r="AE835" t="s">
        <v>72</v>
      </c>
      <c r="AF835" t="s">
        <v>72</v>
      </c>
      <c r="AG835">
        <v>52</v>
      </c>
      <c r="AH835">
        <v>4</v>
      </c>
      <c r="AI835">
        <v>4</v>
      </c>
      <c r="AJ835">
        <v>4</v>
      </c>
      <c r="AK835">
        <v>13</v>
      </c>
      <c r="AL835" t="s">
        <v>7004</v>
      </c>
      <c r="AM835" t="s">
        <v>707</v>
      </c>
      <c r="AN835" t="s">
        <v>5184</v>
      </c>
      <c r="AO835" t="s">
        <v>9538</v>
      </c>
      <c r="AP835" t="s">
        <v>13426</v>
      </c>
      <c r="AQ835" t="s">
        <v>72</v>
      </c>
      <c r="AR835" t="s">
        <v>9539</v>
      </c>
      <c r="AS835" t="s">
        <v>9540</v>
      </c>
      <c r="AT835" t="s">
        <v>1602</v>
      </c>
      <c r="AU835">
        <v>2021</v>
      </c>
      <c r="AV835">
        <v>44</v>
      </c>
      <c r="AW835">
        <v>1</v>
      </c>
      <c r="AX835" t="s">
        <v>72</v>
      </c>
      <c r="AY835" t="s">
        <v>72</v>
      </c>
      <c r="AZ835" t="s">
        <v>72</v>
      </c>
      <c r="BA835" t="s">
        <v>72</v>
      </c>
      <c r="BB835">
        <v>38</v>
      </c>
      <c r="BC835">
        <v>52</v>
      </c>
      <c r="BD835" t="s">
        <v>72</v>
      </c>
      <c r="BE835" t="s">
        <v>13427</v>
      </c>
      <c r="BF835" t="str">
        <f>HYPERLINK("http://dx.doi.org/10.1007/s10865-020-00171-0","http://dx.doi.org/10.1007/s10865-020-00171-0")</f>
        <v>http://dx.doi.org/10.1007/s10865-020-00171-0</v>
      </c>
      <c r="BG835" t="s">
        <v>72</v>
      </c>
      <c r="BH835" t="s">
        <v>480</v>
      </c>
      <c r="BI835">
        <v>15</v>
      </c>
      <c r="BJ835" t="s">
        <v>866</v>
      </c>
      <c r="BK835" t="s">
        <v>126</v>
      </c>
      <c r="BL835" t="s">
        <v>13428</v>
      </c>
      <c r="BM835">
        <v>32725580</v>
      </c>
      <c r="BN835" t="s">
        <v>72</v>
      </c>
      <c r="BO835" t="s">
        <v>72</v>
      </c>
      <c r="BP835" t="s">
        <v>72</v>
      </c>
      <c r="BQ835" t="s">
        <v>100</v>
      </c>
      <c r="BR835" t="s">
        <v>13429</v>
      </c>
      <c r="BS835" t="str">
        <f>HYPERLINK("https%3A%2F%2Fwww.webofscience.com%2Fwos%2Fwoscc%2Ffull-record%2FWOS:000553263600001","View Full Record in Web of Science")</f>
        <v>View Full Record in Web of Science</v>
      </c>
    </row>
    <row r="836" spans="1:71" hidden="1" x14ac:dyDescent="0.2">
      <c r="A836" t="s">
        <v>70</v>
      </c>
      <c r="B836" t="s">
        <v>14445</v>
      </c>
      <c r="C836" t="s">
        <v>72</v>
      </c>
      <c r="D836" t="s">
        <v>72</v>
      </c>
      <c r="E836" t="s">
        <v>72</v>
      </c>
      <c r="F836" t="s">
        <v>14446</v>
      </c>
      <c r="G836" t="s">
        <v>72</v>
      </c>
      <c r="H836" t="s">
        <v>72</v>
      </c>
      <c r="I836" t="s">
        <v>14447</v>
      </c>
      <c r="J836" t="s">
        <v>14448</v>
      </c>
      <c r="K836" t="s">
        <v>72</v>
      </c>
      <c r="L836" t="s">
        <v>72</v>
      </c>
      <c r="M836" t="s">
        <v>76</v>
      </c>
      <c r="N836" t="s">
        <v>77</v>
      </c>
      <c r="O836" t="s">
        <v>72</v>
      </c>
      <c r="P836" t="s">
        <v>72</v>
      </c>
      <c r="Q836" t="s">
        <v>72</v>
      </c>
      <c r="R836" t="s">
        <v>72</v>
      </c>
      <c r="S836" t="s">
        <v>72</v>
      </c>
      <c r="T836" t="s">
        <v>14449</v>
      </c>
      <c r="U836" t="s">
        <v>14450</v>
      </c>
      <c r="V836" t="s">
        <v>14451</v>
      </c>
      <c r="W836" t="s">
        <v>14452</v>
      </c>
      <c r="X836" t="s">
        <v>14453</v>
      </c>
      <c r="Y836" t="s">
        <v>14454</v>
      </c>
      <c r="Z836" t="s">
        <v>14455</v>
      </c>
      <c r="AA836" t="s">
        <v>14456</v>
      </c>
      <c r="AB836" t="s">
        <v>14457</v>
      </c>
      <c r="AC836" t="s">
        <v>14458</v>
      </c>
      <c r="AD836" t="s">
        <v>14459</v>
      </c>
      <c r="AE836" t="s">
        <v>14460</v>
      </c>
      <c r="AF836" t="s">
        <v>72</v>
      </c>
      <c r="AG836">
        <v>106</v>
      </c>
      <c r="AH836">
        <v>26</v>
      </c>
      <c r="AI836">
        <v>26</v>
      </c>
      <c r="AJ836">
        <v>11</v>
      </c>
      <c r="AK836">
        <v>54</v>
      </c>
      <c r="AL836" t="s">
        <v>1279</v>
      </c>
      <c r="AM836" t="s">
        <v>1280</v>
      </c>
      <c r="AN836" t="s">
        <v>1281</v>
      </c>
      <c r="AO836" t="s">
        <v>14461</v>
      </c>
      <c r="AP836" t="s">
        <v>14462</v>
      </c>
      <c r="AQ836" t="s">
        <v>72</v>
      </c>
      <c r="AR836" t="s">
        <v>14463</v>
      </c>
      <c r="AS836" t="s">
        <v>14464</v>
      </c>
      <c r="AT836" t="s">
        <v>149</v>
      </c>
      <c r="AU836">
        <v>2020</v>
      </c>
      <c r="AV836">
        <v>118</v>
      </c>
      <c r="AW836">
        <v>4</v>
      </c>
      <c r="AX836" t="s">
        <v>72</v>
      </c>
      <c r="AY836" t="s">
        <v>72</v>
      </c>
      <c r="AZ836" t="s">
        <v>72</v>
      </c>
      <c r="BA836" t="s">
        <v>72</v>
      </c>
      <c r="BB836">
        <v>805</v>
      </c>
      <c r="BC836">
        <v>834</v>
      </c>
      <c r="BD836" t="s">
        <v>72</v>
      </c>
      <c r="BE836" t="s">
        <v>14465</v>
      </c>
      <c r="BF836" t="str">
        <f>HYPERLINK("http://dx.doi.org/10.1037/pspp0000275","http://dx.doi.org/10.1037/pspp0000275")</f>
        <v>http://dx.doi.org/10.1037/pspp0000275</v>
      </c>
      <c r="BG836" t="s">
        <v>72</v>
      </c>
      <c r="BH836" t="s">
        <v>72</v>
      </c>
      <c r="BI836">
        <v>30</v>
      </c>
      <c r="BJ836" t="s">
        <v>125</v>
      </c>
      <c r="BK836" t="s">
        <v>126</v>
      </c>
      <c r="BL836" t="s">
        <v>14466</v>
      </c>
      <c r="BM836">
        <v>31916812</v>
      </c>
      <c r="BN836" t="s">
        <v>1497</v>
      </c>
      <c r="BO836" t="s">
        <v>72</v>
      </c>
      <c r="BP836" t="s">
        <v>72</v>
      </c>
      <c r="BQ836" t="s">
        <v>100</v>
      </c>
      <c r="BR836" t="s">
        <v>14467</v>
      </c>
      <c r="BS836" t="str">
        <f>HYPERLINK("https%3A%2F%2Fwww.webofscience.com%2Fwos%2Fwoscc%2Ffull-record%2FWOS:000518808000011","View Full Record in Web of Science")</f>
        <v>View Full Record in Web of Science</v>
      </c>
    </row>
    <row r="837" spans="1:71" hidden="1" x14ac:dyDescent="0.2">
      <c r="A837" t="s">
        <v>70</v>
      </c>
      <c r="B837" t="s">
        <v>14603</v>
      </c>
      <c r="C837" t="s">
        <v>72</v>
      </c>
      <c r="D837" t="s">
        <v>72</v>
      </c>
      <c r="E837" t="s">
        <v>72</v>
      </c>
      <c r="F837" t="s">
        <v>14604</v>
      </c>
      <c r="G837" t="s">
        <v>72</v>
      </c>
      <c r="H837" t="s">
        <v>72</v>
      </c>
      <c r="I837" t="s">
        <v>14605</v>
      </c>
      <c r="J837" t="s">
        <v>2139</v>
      </c>
      <c r="K837" t="s">
        <v>72</v>
      </c>
      <c r="L837" t="s">
        <v>72</v>
      </c>
      <c r="M837" t="s">
        <v>76</v>
      </c>
      <c r="N837" t="s">
        <v>77</v>
      </c>
      <c r="O837" t="s">
        <v>72</v>
      </c>
      <c r="P837" t="s">
        <v>72</v>
      </c>
      <c r="Q837" t="s">
        <v>72</v>
      </c>
      <c r="R837" t="s">
        <v>72</v>
      </c>
      <c r="S837" t="s">
        <v>72</v>
      </c>
      <c r="T837" t="s">
        <v>14606</v>
      </c>
      <c r="U837" t="s">
        <v>14607</v>
      </c>
      <c r="V837" t="s">
        <v>14608</v>
      </c>
      <c r="W837" t="s">
        <v>14609</v>
      </c>
      <c r="X837" t="s">
        <v>14610</v>
      </c>
      <c r="Y837" t="s">
        <v>14611</v>
      </c>
      <c r="Z837" t="s">
        <v>14612</v>
      </c>
      <c r="AA837" t="s">
        <v>14613</v>
      </c>
      <c r="AB837" t="s">
        <v>72</v>
      </c>
      <c r="AC837" t="s">
        <v>72</v>
      </c>
      <c r="AD837" t="s">
        <v>72</v>
      </c>
      <c r="AE837" t="s">
        <v>72</v>
      </c>
      <c r="AF837" t="s">
        <v>72</v>
      </c>
      <c r="AG837">
        <v>93</v>
      </c>
      <c r="AH837">
        <v>37</v>
      </c>
      <c r="AI837">
        <v>37</v>
      </c>
      <c r="AJ837">
        <v>8</v>
      </c>
      <c r="AK837">
        <v>87</v>
      </c>
      <c r="AL837" t="s">
        <v>450</v>
      </c>
      <c r="AM837" t="s">
        <v>451</v>
      </c>
      <c r="AN837" t="s">
        <v>452</v>
      </c>
      <c r="AO837" t="s">
        <v>2146</v>
      </c>
      <c r="AP837" t="s">
        <v>2147</v>
      </c>
      <c r="AQ837" t="s">
        <v>72</v>
      </c>
      <c r="AR837" t="s">
        <v>2148</v>
      </c>
      <c r="AS837" t="s">
        <v>2149</v>
      </c>
      <c r="AT837" t="s">
        <v>1602</v>
      </c>
      <c r="AU837">
        <v>2021</v>
      </c>
      <c r="AV837">
        <v>115</v>
      </c>
      <c r="AW837" t="s">
        <v>72</v>
      </c>
      <c r="AX837" t="s">
        <v>72</v>
      </c>
      <c r="AY837" t="s">
        <v>72</v>
      </c>
      <c r="AZ837" t="s">
        <v>72</v>
      </c>
      <c r="BA837" t="s">
        <v>72</v>
      </c>
      <c r="BB837" t="s">
        <v>72</v>
      </c>
      <c r="BC837" t="s">
        <v>72</v>
      </c>
      <c r="BD837">
        <v>106582</v>
      </c>
      <c r="BE837" t="s">
        <v>14614</v>
      </c>
      <c r="BF837" t="str">
        <f>HYPERLINK("http://dx.doi.org/10.1016/j.chb.2020.106582","http://dx.doi.org/10.1016/j.chb.2020.106582")</f>
        <v>http://dx.doi.org/10.1016/j.chb.2020.106582</v>
      </c>
      <c r="BG837" t="s">
        <v>72</v>
      </c>
      <c r="BH837" t="s">
        <v>72</v>
      </c>
      <c r="BI837">
        <v>17</v>
      </c>
      <c r="BJ837" t="s">
        <v>2151</v>
      </c>
      <c r="BK837" t="s">
        <v>126</v>
      </c>
      <c r="BL837" t="s">
        <v>14615</v>
      </c>
      <c r="BM837" t="s">
        <v>72</v>
      </c>
      <c r="BN837" t="s">
        <v>72</v>
      </c>
      <c r="BO837" t="s">
        <v>72</v>
      </c>
      <c r="BP837" t="s">
        <v>72</v>
      </c>
      <c r="BQ837" t="s">
        <v>100</v>
      </c>
      <c r="BR837" t="s">
        <v>14616</v>
      </c>
      <c r="BS837" t="str">
        <f>HYPERLINK("https%3A%2F%2Fwww.webofscience.com%2Fwos%2Fwoscc%2Ffull-record%2FWOS:000602330200005","View Full Record in Web of Science")</f>
        <v>View Full Record in Web of Science</v>
      </c>
    </row>
    <row r="838" spans="1:71" hidden="1" x14ac:dyDescent="0.2">
      <c r="A838" t="s">
        <v>70</v>
      </c>
      <c r="B838" t="s">
        <v>16155</v>
      </c>
      <c r="C838" t="s">
        <v>72</v>
      </c>
      <c r="D838" t="s">
        <v>72</v>
      </c>
      <c r="E838" t="s">
        <v>72</v>
      </c>
      <c r="F838" t="s">
        <v>16156</v>
      </c>
      <c r="G838" t="s">
        <v>72</v>
      </c>
      <c r="H838" t="s">
        <v>72</v>
      </c>
      <c r="I838" t="s">
        <v>16157</v>
      </c>
      <c r="J838" t="s">
        <v>892</v>
      </c>
      <c r="K838" t="s">
        <v>72</v>
      </c>
      <c r="L838" t="s">
        <v>72</v>
      </c>
      <c r="M838" t="s">
        <v>76</v>
      </c>
      <c r="N838" t="s">
        <v>77</v>
      </c>
      <c r="O838" t="s">
        <v>72</v>
      </c>
      <c r="P838" t="s">
        <v>72</v>
      </c>
      <c r="Q838" t="s">
        <v>72</v>
      </c>
      <c r="R838" t="s">
        <v>72</v>
      </c>
      <c r="S838" t="s">
        <v>72</v>
      </c>
      <c r="T838" t="s">
        <v>16158</v>
      </c>
      <c r="U838" t="s">
        <v>16159</v>
      </c>
      <c r="V838" t="s">
        <v>16160</v>
      </c>
      <c r="W838" t="s">
        <v>16161</v>
      </c>
      <c r="X838" t="s">
        <v>16162</v>
      </c>
      <c r="Y838" t="s">
        <v>16163</v>
      </c>
      <c r="Z838" t="s">
        <v>9600</v>
      </c>
      <c r="AA838" t="s">
        <v>16164</v>
      </c>
      <c r="AB838" t="s">
        <v>16165</v>
      </c>
      <c r="AC838" t="s">
        <v>72</v>
      </c>
      <c r="AD838" t="s">
        <v>72</v>
      </c>
      <c r="AE838" t="s">
        <v>72</v>
      </c>
      <c r="AF838" t="s">
        <v>72</v>
      </c>
      <c r="AG838">
        <v>78</v>
      </c>
      <c r="AH838">
        <v>42</v>
      </c>
      <c r="AI838">
        <v>43</v>
      </c>
      <c r="AJ838">
        <v>7</v>
      </c>
      <c r="AK838">
        <v>48</v>
      </c>
      <c r="AL838" t="s">
        <v>901</v>
      </c>
      <c r="AM838" t="s">
        <v>902</v>
      </c>
      <c r="AN838" t="s">
        <v>903</v>
      </c>
      <c r="AO838" t="s">
        <v>904</v>
      </c>
      <c r="AP838" t="s">
        <v>72</v>
      </c>
      <c r="AQ838" t="s">
        <v>72</v>
      </c>
      <c r="AR838" t="s">
        <v>905</v>
      </c>
      <c r="AS838" t="s">
        <v>906</v>
      </c>
      <c r="AT838" t="s">
        <v>16166</v>
      </c>
      <c r="AU838">
        <v>2015</v>
      </c>
      <c r="AV838">
        <v>6</v>
      </c>
      <c r="AW838" t="s">
        <v>72</v>
      </c>
      <c r="AX838" t="s">
        <v>72</v>
      </c>
      <c r="AY838" t="s">
        <v>72</v>
      </c>
      <c r="AZ838" t="s">
        <v>72</v>
      </c>
      <c r="BA838" t="s">
        <v>72</v>
      </c>
      <c r="BB838" t="s">
        <v>72</v>
      </c>
      <c r="BC838" t="s">
        <v>72</v>
      </c>
      <c r="BD838">
        <v>1564</v>
      </c>
      <c r="BE838" t="s">
        <v>16167</v>
      </c>
      <c r="BF838" t="str">
        <f>HYPERLINK("http://dx.doi.org/10.3389/fpsyg.2015.01564","http://dx.doi.org/10.3389/fpsyg.2015.01564")</f>
        <v>http://dx.doi.org/10.3389/fpsyg.2015.01564</v>
      </c>
      <c r="BG838" t="s">
        <v>72</v>
      </c>
      <c r="BH838" t="s">
        <v>72</v>
      </c>
      <c r="BI838">
        <v>10</v>
      </c>
      <c r="BJ838" t="s">
        <v>415</v>
      </c>
      <c r="BK838" t="s">
        <v>126</v>
      </c>
      <c r="BL838" t="s">
        <v>16168</v>
      </c>
      <c r="BM838">
        <v>26500601</v>
      </c>
      <c r="BN838" t="s">
        <v>910</v>
      </c>
      <c r="BO838" t="s">
        <v>72</v>
      </c>
      <c r="BP838" t="s">
        <v>72</v>
      </c>
      <c r="BQ838" t="s">
        <v>100</v>
      </c>
      <c r="BR838" t="s">
        <v>16169</v>
      </c>
      <c r="BS838" t="str">
        <f>HYPERLINK("https%3A%2F%2Fwww.webofscience.com%2Fwos%2Fwoscc%2Ffull-record%2FWOS:000363477800001","View Full Record in Web of Science")</f>
        <v>View Full Record in Web of Science</v>
      </c>
    </row>
    <row r="839" spans="1:71" hidden="1" x14ac:dyDescent="0.2">
      <c r="A839" t="s">
        <v>70</v>
      </c>
      <c r="B839" t="s">
        <v>16656</v>
      </c>
      <c r="C839" t="s">
        <v>72</v>
      </c>
      <c r="D839" t="s">
        <v>72</v>
      </c>
      <c r="E839" t="s">
        <v>72</v>
      </c>
      <c r="F839" t="s">
        <v>16657</v>
      </c>
      <c r="G839" t="s">
        <v>72</v>
      </c>
      <c r="H839" t="s">
        <v>72</v>
      </c>
      <c r="I839" t="s">
        <v>16658</v>
      </c>
      <c r="J839" t="s">
        <v>8872</v>
      </c>
      <c r="K839" t="s">
        <v>72</v>
      </c>
      <c r="L839" t="s">
        <v>72</v>
      </c>
      <c r="M839" t="s">
        <v>76</v>
      </c>
      <c r="N839" t="s">
        <v>1503</v>
      </c>
      <c r="O839" t="s">
        <v>72</v>
      </c>
      <c r="P839" t="s">
        <v>72</v>
      </c>
      <c r="Q839" t="s">
        <v>72</v>
      </c>
      <c r="R839" t="s">
        <v>72</v>
      </c>
      <c r="S839" t="s">
        <v>72</v>
      </c>
      <c r="T839" t="s">
        <v>16659</v>
      </c>
      <c r="U839" t="s">
        <v>16660</v>
      </c>
      <c r="V839" t="s">
        <v>16661</v>
      </c>
      <c r="W839" t="s">
        <v>16662</v>
      </c>
      <c r="X839" t="s">
        <v>16663</v>
      </c>
      <c r="Y839" t="s">
        <v>16664</v>
      </c>
      <c r="Z839" t="s">
        <v>16665</v>
      </c>
      <c r="AA839" t="s">
        <v>72</v>
      </c>
      <c r="AB839" t="s">
        <v>16666</v>
      </c>
      <c r="AC839" t="s">
        <v>72</v>
      </c>
      <c r="AD839" t="s">
        <v>72</v>
      </c>
      <c r="AE839" t="s">
        <v>72</v>
      </c>
      <c r="AF839" t="s">
        <v>72</v>
      </c>
      <c r="AG839">
        <v>127</v>
      </c>
      <c r="AH839">
        <v>12</v>
      </c>
      <c r="AI839">
        <v>12</v>
      </c>
      <c r="AJ839">
        <v>3</v>
      </c>
      <c r="AK839">
        <v>3</v>
      </c>
      <c r="AL839" t="s">
        <v>1279</v>
      </c>
      <c r="AM839" t="s">
        <v>1280</v>
      </c>
      <c r="AN839" t="s">
        <v>1281</v>
      </c>
      <c r="AO839" t="s">
        <v>8885</v>
      </c>
      <c r="AP839" t="s">
        <v>8886</v>
      </c>
      <c r="AQ839" t="s">
        <v>72</v>
      </c>
      <c r="AR839" t="s">
        <v>8887</v>
      </c>
      <c r="AS839" t="s">
        <v>8888</v>
      </c>
      <c r="AT839" t="s">
        <v>639</v>
      </c>
      <c r="AU839">
        <v>2021</v>
      </c>
      <c r="AV839">
        <v>26</v>
      </c>
      <c r="AW839">
        <v>4</v>
      </c>
      <c r="AX839" t="s">
        <v>72</v>
      </c>
      <c r="AY839" t="s">
        <v>72</v>
      </c>
      <c r="AZ839" t="s">
        <v>72</v>
      </c>
      <c r="BA839" t="s">
        <v>72</v>
      </c>
      <c r="BB839">
        <v>398</v>
      </c>
      <c r="BC839">
        <v>427</v>
      </c>
      <c r="BD839" t="s">
        <v>72</v>
      </c>
      <c r="BE839" t="s">
        <v>16667</v>
      </c>
      <c r="BF839" t="str">
        <f>HYPERLINK("http://dx.doi.org/10.1037/met0000349","http://dx.doi.org/10.1037/met0000349")</f>
        <v>http://dx.doi.org/10.1037/met0000349</v>
      </c>
      <c r="BG839" t="s">
        <v>72</v>
      </c>
      <c r="BH839" t="s">
        <v>72</v>
      </c>
      <c r="BI839">
        <v>30</v>
      </c>
      <c r="BJ839" t="s">
        <v>415</v>
      </c>
      <c r="BK839" t="s">
        <v>126</v>
      </c>
      <c r="BL839" t="s">
        <v>16668</v>
      </c>
      <c r="BM839">
        <v>34726465</v>
      </c>
      <c r="BN839" t="s">
        <v>251</v>
      </c>
      <c r="BO839" t="s">
        <v>72</v>
      </c>
      <c r="BP839" t="s">
        <v>72</v>
      </c>
      <c r="BQ839" t="s">
        <v>100</v>
      </c>
      <c r="BR839" t="s">
        <v>16669</v>
      </c>
      <c r="BS839" t="str">
        <f>HYPERLINK("https%3A%2F%2Fwww.webofscience.com%2Fwos%2Fwoscc%2Ffull-record%2FWOS:000712166200002","View Full Record in Web of Science")</f>
        <v>View Full Record in Web of Science</v>
      </c>
    </row>
    <row r="840" spans="1:71" hidden="1" x14ac:dyDescent="0.2">
      <c r="A840" t="s">
        <v>70</v>
      </c>
      <c r="B840" t="s">
        <v>16692</v>
      </c>
      <c r="C840" t="s">
        <v>72</v>
      </c>
      <c r="D840" t="s">
        <v>72</v>
      </c>
      <c r="E840" t="s">
        <v>72</v>
      </c>
      <c r="F840" t="s">
        <v>16693</v>
      </c>
      <c r="G840" t="s">
        <v>72</v>
      </c>
      <c r="H840" t="s">
        <v>72</v>
      </c>
      <c r="I840" t="s">
        <v>16694</v>
      </c>
      <c r="J840" t="s">
        <v>16695</v>
      </c>
      <c r="K840" t="s">
        <v>72</v>
      </c>
      <c r="L840" t="s">
        <v>72</v>
      </c>
      <c r="M840" t="s">
        <v>76</v>
      </c>
      <c r="N840" t="s">
        <v>77</v>
      </c>
      <c r="O840" t="s">
        <v>72</v>
      </c>
      <c r="P840" t="s">
        <v>72</v>
      </c>
      <c r="Q840" t="s">
        <v>72</v>
      </c>
      <c r="R840" t="s">
        <v>72</v>
      </c>
      <c r="S840" t="s">
        <v>72</v>
      </c>
      <c r="T840" t="s">
        <v>16696</v>
      </c>
      <c r="U840" t="s">
        <v>16697</v>
      </c>
      <c r="V840" t="s">
        <v>16698</v>
      </c>
      <c r="W840" t="s">
        <v>16699</v>
      </c>
      <c r="X840" t="s">
        <v>16700</v>
      </c>
      <c r="Y840" t="s">
        <v>16701</v>
      </c>
      <c r="Z840" t="s">
        <v>8843</v>
      </c>
      <c r="AA840" t="s">
        <v>72</v>
      </c>
      <c r="AB840" t="s">
        <v>16702</v>
      </c>
      <c r="AC840" t="s">
        <v>16703</v>
      </c>
      <c r="AD840" t="s">
        <v>16704</v>
      </c>
      <c r="AE840" t="s">
        <v>16705</v>
      </c>
      <c r="AF840" t="s">
        <v>72</v>
      </c>
      <c r="AG840">
        <v>137</v>
      </c>
      <c r="AH840">
        <v>0</v>
      </c>
      <c r="AI840">
        <v>0</v>
      </c>
      <c r="AJ840">
        <v>6</v>
      </c>
      <c r="AK840">
        <v>6</v>
      </c>
      <c r="AL840" t="s">
        <v>364</v>
      </c>
      <c r="AM840" t="s">
        <v>365</v>
      </c>
      <c r="AN840" t="s">
        <v>366</v>
      </c>
      <c r="AO840" t="s">
        <v>16706</v>
      </c>
      <c r="AP840" t="s">
        <v>16707</v>
      </c>
      <c r="AQ840" t="s">
        <v>72</v>
      </c>
      <c r="AR840" t="s">
        <v>16695</v>
      </c>
      <c r="AS840" t="s">
        <v>16708</v>
      </c>
      <c r="AT840" t="s">
        <v>16709</v>
      </c>
      <c r="AU840">
        <v>2022</v>
      </c>
      <c r="AV840">
        <v>30</v>
      </c>
      <c r="AW840">
        <v>10</v>
      </c>
      <c r="AX840" t="s">
        <v>72</v>
      </c>
      <c r="AY840" t="s">
        <v>72</v>
      </c>
      <c r="AZ840" t="s">
        <v>72</v>
      </c>
      <c r="BA840" t="s">
        <v>72</v>
      </c>
      <c r="BB840">
        <v>1267</v>
      </c>
      <c r="BC840">
        <v>1287</v>
      </c>
      <c r="BD840" t="s">
        <v>72</v>
      </c>
      <c r="BE840" t="s">
        <v>16710</v>
      </c>
      <c r="BF840" t="str">
        <f>HYPERLINK("http://dx.doi.org/10.1080/09658211.2022.2104317","http://dx.doi.org/10.1080/09658211.2022.2104317")</f>
        <v>http://dx.doi.org/10.1080/09658211.2022.2104317</v>
      </c>
      <c r="BG840" t="s">
        <v>72</v>
      </c>
      <c r="BH840" t="s">
        <v>1072</v>
      </c>
      <c r="BI840">
        <v>21</v>
      </c>
      <c r="BJ840" t="s">
        <v>5759</v>
      </c>
      <c r="BK840" t="s">
        <v>126</v>
      </c>
      <c r="BL840" t="s">
        <v>16711</v>
      </c>
      <c r="BM840">
        <v>35946170</v>
      </c>
      <c r="BN840" t="s">
        <v>72</v>
      </c>
      <c r="BO840" t="s">
        <v>72</v>
      </c>
      <c r="BP840" t="s">
        <v>72</v>
      </c>
      <c r="BQ840" t="s">
        <v>100</v>
      </c>
      <c r="BR840" t="s">
        <v>16712</v>
      </c>
      <c r="BS840" t="str">
        <f>HYPERLINK("https%3A%2F%2Fwww.webofscience.com%2Fwos%2Fwoscc%2Ffull-record%2FWOS:000838580000001","View Full Record in Web of Science")</f>
        <v>View Full Record in Web of Science</v>
      </c>
    </row>
    <row r="841" spans="1:71" hidden="1" x14ac:dyDescent="0.2">
      <c r="A841" t="s">
        <v>70</v>
      </c>
      <c r="B841" t="s">
        <v>17112</v>
      </c>
      <c r="C841" t="s">
        <v>72</v>
      </c>
      <c r="D841" t="s">
        <v>72</v>
      </c>
      <c r="E841" t="s">
        <v>72</v>
      </c>
      <c r="F841" t="s">
        <v>17113</v>
      </c>
      <c r="G841" t="s">
        <v>72</v>
      </c>
      <c r="H841" t="s">
        <v>72</v>
      </c>
      <c r="I841" t="s">
        <v>17114</v>
      </c>
      <c r="J841" t="s">
        <v>892</v>
      </c>
      <c r="K841" t="s">
        <v>72</v>
      </c>
      <c r="L841" t="s">
        <v>72</v>
      </c>
      <c r="M841" t="s">
        <v>76</v>
      </c>
      <c r="N841" t="s">
        <v>77</v>
      </c>
      <c r="O841" t="s">
        <v>72</v>
      </c>
      <c r="P841" t="s">
        <v>72</v>
      </c>
      <c r="Q841" t="s">
        <v>72</v>
      </c>
      <c r="R841" t="s">
        <v>72</v>
      </c>
      <c r="S841" t="s">
        <v>72</v>
      </c>
      <c r="T841" t="s">
        <v>17115</v>
      </c>
      <c r="U841" t="s">
        <v>17116</v>
      </c>
      <c r="V841" t="s">
        <v>17117</v>
      </c>
      <c r="W841" t="s">
        <v>17118</v>
      </c>
      <c r="X841" t="s">
        <v>17119</v>
      </c>
      <c r="Y841" t="s">
        <v>17120</v>
      </c>
      <c r="Z841" t="s">
        <v>17121</v>
      </c>
      <c r="AA841" t="s">
        <v>72</v>
      </c>
      <c r="AB841" t="s">
        <v>72</v>
      </c>
      <c r="AC841" t="s">
        <v>17122</v>
      </c>
      <c r="AD841" t="s">
        <v>17122</v>
      </c>
      <c r="AE841" t="s">
        <v>17123</v>
      </c>
      <c r="AF841" t="s">
        <v>72</v>
      </c>
      <c r="AG841">
        <v>50</v>
      </c>
      <c r="AH841">
        <v>11</v>
      </c>
      <c r="AI841">
        <v>11</v>
      </c>
      <c r="AJ841">
        <v>3</v>
      </c>
      <c r="AK841">
        <v>18</v>
      </c>
      <c r="AL841" t="s">
        <v>901</v>
      </c>
      <c r="AM841" t="s">
        <v>902</v>
      </c>
      <c r="AN841" t="s">
        <v>903</v>
      </c>
      <c r="AO841" t="s">
        <v>904</v>
      </c>
      <c r="AP841" t="s">
        <v>72</v>
      </c>
      <c r="AQ841" t="s">
        <v>72</v>
      </c>
      <c r="AR841" t="s">
        <v>905</v>
      </c>
      <c r="AS841" t="s">
        <v>906</v>
      </c>
      <c r="AT841" t="s">
        <v>17124</v>
      </c>
      <c r="AU841">
        <v>2019</v>
      </c>
      <c r="AV841">
        <v>9</v>
      </c>
      <c r="AW841" t="s">
        <v>72</v>
      </c>
      <c r="AX841" t="s">
        <v>72</v>
      </c>
      <c r="AY841" t="s">
        <v>72</v>
      </c>
      <c r="AZ841" t="s">
        <v>72</v>
      </c>
      <c r="BA841" t="s">
        <v>72</v>
      </c>
      <c r="BB841" t="s">
        <v>72</v>
      </c>
      <c r="BC841" t="s">
        <v>72</v>
      </c>
      <c r="BD841">
        <v>2522</v>
      </c>
      <c r="BE841" t="s">
        <v>17125</v>
      </c>
      <c r="BF841" t="str">
        <f>HYPERLINK("http://dx.doi.org/10.3389/fpsyg.2018.02522","http://dx.doi.org/10.3389/fpsyg.2018.02522")</f>
        <v>http://dx.doi.org/10.3389/fpsyg.2018.02522</v>
      </c>
      <c r="BG841" t="s">
        <v>72</v>
      </c>
      <c r="BH841" t="s">
        <v>72</v>
      </c>
      <c r="BI841">
        <v>13</v>
      </c>
      <c r="BJ841" t="s">
        <v>415</v>
      </c>
      <c r="BK841" t="s">
        <v>126</v>
      </c>
      <c r="BL841" t="s">
        <v>17126</v>
      </c>
      <c r="BM841">
        <v>30670993</v>
      </c>
      <c r="BN841" t="s">
        <v>910</v>
      </c>
      <c r="BO841" t="s">
        <v>72</v>
      </c>
      <c r="BP841" t="s">
        <v>72</v>
      </c>
      <c r="BQ841" t="s">
        <v>100</v>
      </c>
      <c r="BR841" t="s">
        <v>17127</v>
      </c>
      <c r="BS841" t="str">
        <f>HYPERLINK("https%3A%2F%2Fwww.webofscience.com%2Fwos%2Fwoscc%2Ffull-record%2FWOS:000455148800001","View Full Record in Web of Science")</f>
        <v>View Full Record in Web of Science</v>
      </c>
    </row>
    <row r="842" spans="1:71" x14ac:dyDescent="0.2">
      <c r="A842" t="s">
        <v>70</v>
      </c>
      <c r="B842" t="s">
        <v>10165</v>
      </c>
      <c r="C842" t="s">
        <v>72</v>
      </c>
      <c r="D842" t="s">
        <v>72</v>
      </c>
      <c r="E842" t="s">
        <v>72</v>
      </c>
      <c r="F842" t="s">
        <v>10166</v>
      </c>
      <c r="G842" t="s">
        <v>72</v>
      </c>
      <c r="H842" t="s">
        <v>72</v>
      </c>
      <c r="I842" t="s">
        <v>10167</v>
      </c>
      <c r="J842" t="s">
        <v>10168</v>
      </c>
      <c r="K842" t="s">
        <v>72</v>
      </c>
      <c r="L842" t="s">
        <v>72</v>
      </c>
      <c r="M842" t="s">
        <v>76</v>
      </c>
      <c r="N842" t="s">
        <v>352</v>
      </c>
      <c r="O842" t="s">
        <v>72</v>
      </c>
      <c r="P842" t="s">
        <v>72</v>
      </c>
      <c r="Q842" t="s">
        <v>72</v>
      </c>
      <c r="R842" t="s">
        <v>72</v>
      </c>
      <c r="S842" t="s">
        <v>72</v>
      </c>
      <c r="T842" t="s">
        <v>10169</v>
      </c>
      <c r="U842" t="s">
        <v>10170</v>
      </c>
      <c r="V842" t="s">
        <v>10171</v>
      </c>
      <c r="W842" t="s">
        <v>10172</v>
      </c>
      <c r="X842" t="s">
        <v>10173</v>
      </c>
      <c r="Y842" t="s">
        <v>10174</v>
      </c>
      <c r="Z842" t="s">
        <v>10175</v>
      </c>
      <c r="AA842" t="s">
        <v>72</v>
      </c>
      <c r="AB842" t="s">
        <v>10176</v>
      </c>
      <c r="AC842" t="s">
        <v>72</v>
      </c>
      <c r="AD842" t="s">
        <v>72</v>
      </c>
      <c r="AE842" t="s">
        <v>72</v>
      </c>
      <c r="AF842" t="s">
        <v>72</v>
      </c>
      <c r="AG842">
        <v>64</v>
      </c>
      <c r="AH842">
        <v>1</v>
      </c>
      <c r="AI842">
        <v>1</v>
      </c>
      <c r="AJ842">
        <v>2</v>
      </c>
      <c r="AK842">
        <v>2</v>
      </c>
      <c r="AL842" t="s">
        <v>190</v>
      </c>
      <c r="AM842" t="s">
        <v>191</v>
      </c>
      <c r="AN842" t="s">
        <v>192</v>
      </c>
      <c r="AO842" t="s">
        <v>10177</v>
      </c>
      <c r="AP842" t="s">
        <v>10178</v>
      </c>
      <c r="AQ842" t="s">
        <v>72</v>
      </c>
      <c r="AR842" t="s">
        <v>10179</v>
      </c>
      <c r="AS842" t="s">
        <v>10180</v>
      </c>
      <c r="AT842" t="s">
        <v>72</v>
      </c>
      <c r="AU842" t="s">
        <v>72</v>
      </c>
      <c r="AV842" t="s">
        <v>72</v>
      </c>
      <c r="AW842" t="s">
        <v>72</v>
      </c>
      <c r="AX842" t="s">
        <v>72</v>
      </c>
      <c r="AY842" t="s">
        <v>72</v>
      </c>
      <c r="AZ842" t="s">
        <v>72</v>
      </c>
      <c r="BA842" t="s">
        <v>72</v>
      </c>
      <c r="BB842" t="s">
        <v>72</v>
      </c>
      <c r="BC842" t="s">
        <v>72</v>
      </c>
      <c r="BD842">
        <v>302228221098893</v>
      </c>
      <c r="BE842" t="s">
        <v>10181</v>
      </c>
      <c r="BF842" t="str">
        <f>HYPERLINK("http://dx.doi.org/10.1177/00302228221098893","http://dx.doi.org/10.1177/00302228221098893")</f>
        <v>http://dx.doi.org/10.1177/00302228221098893</v>
      </c>
      <c r="BG842" t="s">
        <v>72</v>
      </c>
      <c r="BH842" t="s">
        <v>1403</v>
      </c>
      <c r="BI842">
        <v>23</v>
      </c>
      <c r="BJ842" s="8" t="s">
        <v>17616</v>
      </c>
      <c r="BK842" t="s">
        <v>10182</v>
      </c>
      <c r="BL842" t="s">
        <v>10183</v>
      </c>
      <c r="BM842">
        <v>35549540</v>
      </c>
      <c r="BN842" t="s">
        <v>72</v>
      </c>
      <c r="BO842" t="s">
        <v>72</v>
      </c>
      <c r="BP842" t="s">
        <v>72</v>
      </c>
      <c r="BQ842" t="s">
        <v>100</v>
      </c>
      <c r="BR842" t="s">
        <v>10184</v>
      </c>
      <c r="BS842" t="str">
        <f>HYPERLINK("https%3A%2F%2Fwww.webofscience.com%2Fwos%2Fwoscc%2Ffull-record%2FWOS:000798669900001","View Full Record in Web of Science")</f>
        <v>View Full Record in Web of Science</v>
      </c>
    </row>
    <row r="843" spans="1:71" hidden="1" x14ac:dyDescent="0.2">
      <c r="A843" t="s">
        <v>70</v>
      </c>
      <c r="B843" t="s">
        <v>17128</v>
      </c>
      <c r="C843" t="s">
        <v>72</v>
      </c>
      <c r="D843" t="s">
        <v>72</v>
      </c>
      <c r="E843" t="s">
        <v>72</v>
      </c>
      <c r="F843" t="s">
        <v>17129</v>
      </c>
      <c r="G843" t="s">
        <v>72</v>
      </c>
      <c r="H843" t="s">
        <v>72</v>
      </c>
      <c r="I843" t="s">
        <v>17130</v>
      </c>
      <c r="J843" t="s">
        <v>17131</v>
      </c>
      <c r="K843" t="s">
        <v>72</v>
      </c>
      <c r="L843" t="s">
        <v>72</v>
      </c>
      <c r="M843" t="s">
        <v>76</v>
      </c>
      <c r="N843" t="s">
        <v>77</v>
      </c>
      <c r="O843" t="s">
        <v>72</v>
      </c>
      <c r="P843" t="s">
        <v>72</v>
      </c>
      <c r="Q843" t="s">
        <v>72</v>
      </c>
      <c r="R843" t="s">
        <v>72</v>
      </c>
      <c r="S843" t="s">
        <v>72</v>
      </c>
      <c r="T843" t="s">
        <v>17132</v>
      </c>
      <c r="U843" t="s">
        <v>17133</v>
      </c>
      <c r="V843" t="s">
        <v>17134</v>
      </c>
      <c r="W843" t="s">
        <v>17135</v>
      </c>
      <c r="X843" t="s">
        <v>17136</v>
      </c>
      <c r="Y843" t="s">
        <v>17137</v>
      </c>
      <c r="Z843" t="s">
        <v>17138</v>
      </c>
      <c r="AA843" t="s">
        <v>72</v>
      </c>
      <c r="AB843" t="s">
        <v>17139</v>
      </c>
      <c r="AC843" t="s">
        <v>17140</v>
      </c>
      <c r="AD843" t="s">
        <v>17141</v>
      </c>
      <c r="AE843" t="s">
        <v>17142</v>
      </c>
      <c r="AF843" t="s">
        <v>72</v>
      </c>
      <c r="AG843">
        <v>92</v>
      </c>
      <c r="AH843">
        <v>0</v>
      </c>
      <c r="AI843">
        <v>0</v>
      </c>
      <c r="AJ843">
        <v>4</v>
      </c>
      <c r="AK843">
        <v>4</v>
      </c>
      <c r="AL843" t="s">
        <v>2483</v>
      </c>
      <c r="AM843" t="s">
        <v>1280</v>
      </c>
      <c r="AN843" t="s">
        <v>2484</v>
      </c>
      <c r="AO843" t="s">
        <v>17143</v>
      </c>
      <c r="AP843" t="s">
        <v>17144</v>
      </c>
      <c r="AQ843" t="s">
        <v>72</v>
      </c>
      <c r="AR843" t="s">
        <v>17145</v>
      </c>
      <c r="AS843" t="s">
        <v>17146</v>
      </c>
      <c r="AT843" t="s">
        <v>951</v>
      </c>
      <c r="AU843">
        <v>2021</v>
      </c>
      <c r="AV843">
        <v>66</v>
      </c>
      <c r="AW843">
        <v>4</v>
      </c>
      <c r="AX843" t="s">
        <v>72</v>
      </c>
      <c r="AY843" t="s">
        <v>72</v>
      </c>
      <c r="AZ843" t="s">
        <v>72</v>
      </c>
      <c r="BA843" t="s">
        <v>72</v>
      </c>
      <c r="BB843">
        <v>520</v>
      </c>
      <c r="BC843">
        <v>531</v>
      </c>
      <c r="BD843" t="s">
        <v>72</v>
      </c>
      <c r="BE843" t="s">
        <v>17147</v>
      </c>
      <c r="BF843" t="str">
        <f>HYPERLINK("http://dx.doi.org/10.1037/rep0000399","http://dx.doi.org/10.1037/rep0000399")</f>
        <v>http://dx.doi.org/10.1037/rep0000399</v>
      </c>
      <c r="BG843" t="s">
        <v>72</v>
      </c>
      <c r="BH843" t="s">
        <v>72</v>
      </c>
      <c r="BI843">
        <v>12</v>
      </c>
      <c r="BJ843" t="s">
        <v>17148</v>
      </c>
      <c r="BK843" t="s">
        <v>17149</v>
      </c>
      <c r="BL843" t="s">
        <v>17150</v>
      </c>
      <c r="BM843">
        <v>34516167</v>
      </c>
      <c r="BN843" t="s">
        <v>72</v>
      </c>
      <c r="BO843" t="s">
        <v>72</v>
      </c>
      <c r="BP843" t="s">
        <v>72</v>
      </c>
      <c r="BQ843" t="s">
        <v>100</v>
      </c>
      <c r="BR843" t="s">
        <v>17151</v>
      </c>
      <c r="BS843" t="str">
        <f>HYPERLINK("https%3A%2F%2Fwww.webofscience.com%2Fwos%2Fwoscc%2Ffull-record%2FWOS:000725826700024","View Full Record in Web of Science")</f>
        <v>View Full Record in Web of Science</v>
      </c>
    </row>
    <row r="844" spans="1:71" hidden="1" x14ac:dyDescent="0.2">
      <c r="A844" t="s">
        <v>70</v>
      </c>
      <c r="B844" t="s">
        <v>8598</v>
      </c>
      <c r="C844" t="s">
        <v>72</v>
      </c>
      <c r="D844" t="s">
        <v>72</v>
      </c>
      <c r="E844" t="s">
        <v>72</v>
      </c>
      <c r="F844" t="s">
        <v>8599</v>
      </c>
      <c r="G844" t="s">
        <v>72</v>
      </c>
      <c r="H844" t="s">
        <v>72</v>
      </c>
      <c r="I844" t="s">
        <v>8600</v>
      </c>
      <c r="J844" t="s">
        <v>8601</v>
      </c>
      <c r="K844" t="s">
        <v>72</v>
      </c>
      <c r="L844" t="s">
        <v>72</v>
      </c>
      <c r="M844" t="s">
        <v>76</v>
      </c>
      <c r="N844" t="s">
        <v>77</v>
      </c>
      <c r="O844" t="s">
        <v>72</v>
      </c>
      <c r="P844" t="s">
        <v>72</v>
      </c>
      <c r="Q844" t="s">
        <v>72</v>
      </c>
      <c r="R844" t="s">
        <v>72</v>
      </c>
      <c r="S844" t="s">
        <v>72</v>
      </c>
      <c r="T844" t="s">
        <v>72</v>
      </c>
      <c r="U844" t="s">
        <v>8602</v>
      </c>
      <c r="V844" t="s">
        <v>8603</v>
      </c>
      <c r="W844" t="s">
        <v>8604</v>
      </c>
      <c r="X844" t="s">
        <v>8605</v>
      </c>
      <c r="Y844" t="s">
        <v>8606</v>
      </c>
      <c r="Z844" t="s">
        <v>8607</v>
      </c>
      <c r="AA844" t="s">
        <v>72</v>
      </c>
      <c r="AB844" t="s">
        <v>72</v>
      </c>
      <c r="AC844" t="s">
        <v>72</v>
      </c>
      <c r="AD844" t="s">
        <v>72</v>
      </c>
      <c r="AE844" t="s">
        <v>72</v>
      </c>
      <c r="AF844" t="s">
        <v>72</v>
      </c>
      <c r="AG844">
        <v>63</v>
      </c>
      <c r="AH844">
        <v>13</v>
      </c>
      <c r="AI844">
        <v>14</v>
      </c>
      <c r="AJ844">
        <v>0</v>
      </c>
      <c r="AK844">
        <v>6</v>
      </c>
      <c r="AL844" t="s">
        <v>364</v>
      </c>
      <c r="AM844" t="s">
        <v>365</v>
      </c>
      <c r="AN844" t="s">
        <v>366</v>
      </c>
      <c r="AO844" t="s">
        <v>8608</v>
      </c>
      <c r="AP844" t="s">
        <v>8609</v>
      </c>
      <c r="AQ844" t="s">
        <v>72</v>
      </c>
      <c r="AR844" t="s">
        <v>8610</v>
      </c>
      <c r="AS844" t="s">
        <v>8611</v>
      </c>
      <c r="AT844" t="s">
        <v>72</v>
      </c>
      <c r="AU844">
        <v>2008</v>
      </c>
      <c r="AV844">
        <v>18</v>
      </c>
      <c r="AW844">
        <v>3</v>
      </c>
      <c r="AX844" t="s">
        <v>72</v>
      </c>
      <c r="AY844" t="s">
        <v>72</v>
      </c>
      <c r="AZ844" t="s">
        <v>72</v>
      </c>
      <c r="BA844" t="s">
        <v>72</v>
      </c>
      <c r="BB844">
        <v>216</v>
      </c>
      <c r="BC844">
        <v>237</v>
      </c>
      <c r="BD844" t="s">
        <v>72</v>
      </c>
      <c r="BE844" t="s">
        <v>8612</v>
      </c>
      <c r="BF844" t="str">
        <f>HYPERLINK("http://dx.doi.org/10.1080/10508610802115800","http://dx.doi.org/10.1080/10508610802115800")</f>
        <v>http://dx.doi.org/10.1080/10508610802115800</v>
      </c>
      <c r="BG844" t="s">
        <v>72</v>
      </c>
      <c r="BH844" t="s">
        <v>72</v>
      </c>
      <c r="BI844">
        <v>22</v>
      </c>
      <c r="BJ844" t="s">
        <v>8613</v>
      </c>
      <c r="BK844" t="s">
        <v>8614</v>
      </c>
      <c r="BL844" t="s">
        <v>8615</v>
      </c>
      <c r="BM844" t="s">
        <v>72</v>
      </c>
      <c r="BN844" t="s">
        <v>72</v>
      </c>
      <c r="BO844" t="s">
        <v>72</v>
      </c>
      <c r="BP844" t="s">
        <v>72</v>
      </c>
      <c r="BQ844" t="s">
        <v>100</v>
      </c>
      <c r="BR844" t="s">
        <v>8616</v>
      </c>
      <c r="BS844" t="str">
        <f>HYPERLINK("https%3A%2F%2Fwww.webofscience.com%2Fwos%2Fwoscc%2Ffull-record%2FWOS:000270113600003","View Full Record in Web of Science")</f>
        <v>View Full Record in Web of Science</v>
      </c>
    </row>
    <row r="845" spans="1:71" x14ac:dyDescent="0.2">
      <c r="A845" t="s">
        <v>70</v>
      </c>
      <c r="B845" t="s">
        <v>5727</v>
      </c>
      <c r="C845" t="s">
        <v>72</v>
      </c>
      <c r="D845" t="s">
        <v>72</v>
      </c>
      <c r="E845" t="s">
        <v>72</v>
      </c>
      <c r="F845" t="s">
        <v>5728</v>
      </c>
      <c r="G845" t="s">
        <v>72</v>
      </c>
      <c r="H845" t="s">
        <v>72</v>
      </c>
      <c r="I845" t="s">
        <v>5729</v>
      </c>
      <c r="J845" t="s">
        <v>5730</v>
      </c>
      <c r="K845" t="s">
        <v>72</v>
      </c>
      <c r="L845" t="s">
        <v>72</v>
      </c>
      <c r="M845" t="s">
        <v>76</v>
      </c>
      <c r="N845" t="s">
        <v>77</v>
      </c>
      <c r="O845" t="s">
        <v>72</v>
      </c>
      <c r="P845" t="s">
        <v>72</v>
      </c>
      <c r="Q845" t="s">
        <v>72</v>
      </c>
      <c r="R845" t="s">
        <v>72</v>
      </c>
      <c r="S845" t="s">
        <v>72</v>
      </c>
      <c r="T845" t="s">
        <v>5731</v>
      </c>
      <c r="U845" t="s">
        <v>5732</v>
      </c>
      <c r="V845" t="s">
        <v>5733</v>
      </c>
      <c r="W845" t="s">
        <v>5734</v>
      </c>
      <c r="X845" t="s">
        <v>5735</v>
      </c>
      <c r="Y845" t="s">
        <v>5736</v>
      </c>
      <c r="Z845" t="s">
        <v>5737</v>
      </c>
      <c r="AA845" t="s">
        <v>72</v>
      </c>
      <c r="AB845" t="s">
        <v>72</v>
      </c>
      <c r="AC845" t="s">
        <v>72</v>
      </c>
      <c r="AD845" t="s">
        <v>72</v>
      </c>
      <c r="AE845" t="s">
        <v>72</v>
      </c>
      <c r="AF845" t="s">
        <v>72</v>
      </c>
      <c r="AG845">
        <v>94</v>
      </c>
      <c r="AH845">
        <v>2</v>
      </c>
      <c r="AI845">
        <v>2</v>
      </c>
      <c r="AJ845">
        <v>0</v>
      </c>
      <c r="AK845">
        <v>11</v>
      </c>
      <c r="AL845" t="s">
        <v>190</v>
      </c>
      <c r="AM845" t="s">
        <v>191</v>
      </c>
      <c r="AN845" t="s">
        <v>192</v>
      </c>
      <c r="AO845" t="s">
        <v>5738</v>
      </c>
      <c r="AP845" t="s">
        <v>5739</v>
      </c>
      <c r="AQ845" t="s">
        <v>72</v>
      </c>
      <c r="AR845" t="s">
        <v>5740</v>
      </c>
      <c r="AS845" t="s">
        <v>5741</v>
      </c>
      <c r="AT845" t="s">
        <v>149</v>
      </c>
      <c r="AU845">
        <v>2014</v>
      </c>
      <c r="AV845">
        <v>58</v>
      </c>
      <c r="AW845">
        <v>4</v>
      </c>
      <c r="AX845" t="s">
        <v>72</v>
      </c>
      <c r="AY845" t="s">
        <v>72</v>
      </c>
      <c r="AZ845" t="s">
        <v>478</v>
      </c>
      <c r="BA845" t="s">
        <v>72</v>
      </c>
      <c r="BB845">
        <v>591</v>
      </c>
      <c r="BC845">
        <v>616</v>
      </c>
      <c r="BD845" t="s">
        <v>72</v>
      </c>
      <c r="BE845" t="s">
        <v>5742</v>
      </c>
      <c r="BF845" t="str">
        <f>HYPERLINK("http://dx.doi.org/10.1177/0002764213506220","http://dx.doi.org/10.1177/0002764213506220")</f>
        <v>http://dx.doi.org/10.1177/0002764213506220</v>
      </c>
      <c r="BG845" t="s">
        <v>72</v>
      </c>
      <c r="BH845" t="s">
        <v>72</v>
      </c>
      <c r="BI845">
        <v>26</v>
      </c>
      <c r="BJ845" t="s">
        <v>5743</v>
      </c>
      <c r="BK845" t="s">
        <v>5744</v>
      </c>
      <c r="BL845" t="s">
        <v>5745</v>
      </c>
      <c r="BM845" t="s">
        <v>72</v>
      </c>
      <c r="BN845" t="s">
        <v>72</v>
      </c>
      <c r="BO845" t="s">
        <v>72</v>
      </c>
      <c r="BP845" t="s">
        <v>72</v>
      </c>
      <c r="BQ845" t="s">
        <v>100</v>
      </c>
      <c r="BR845" t="s">
        <v>5746</v>
      </c>
      <c r="BS845" t="str">
        <f>HYPERLINK("https%3A%2F%2Fwww.webofscience.com%2Fwos%2Fwoscc%2Ffull-record%2FWOS:000332205100008","View Full Record in Web of Science")</f>
        <v>View Full Record in Web of Science</v>
      </c>
    </row>
    <row r="846" spans="1:71" x14ac:dyDescent="0.2">
      <c r="A846" t="s">
        <v>70</v>
      </c>
      <c r="B846" t="s">
        <v>9089</v>
      </c>
      <c r="C846" t="s">
        <v>72</v>
      </c>
      <c r="D846" t="s">
        <v>72</v>
      </c>
      <c r="E846" t="s">
        <v>72</v>
      </c>
      <c r="F846" t="s">
        <v>9090</v>
      </c>
      <c r="G846" t="s">
        <v>72</v>
      </c>
      <c r="H846" t="s">
        <v>72</v>
      </c>
      <c r="I846" t="s">
        <v>9091</v>
      </c>
      <c r="J846" t="s">
        <v>5730</v>
      </c>
      <c r="K846" t="s">
        <v>72</v>
      </c>
      <c r="L846" t="s">
        <v>72</v>
      </c>
      <c r="M846" t="s">
        <v>76</v>
      </c>
      <c r="N846" t="s">
        <v>77</v>
      </c>
      <c r="O846" t="s">
        <v>72</v>
      </c>
      <c r="P846" t="s">
        <v>72</v>
      </c>
      <c r="Q846" t="s">
        <v>72</v>
      </c>
      <c r="R846" t="s">
        <v>72</v>
      </c>
      <c r="S846" t="s">
        <v>72</v>
      </c>
      <c r="T846" t="s">
        <v>9092</v>
      </c>
      <c r="U846" t="s">
        <v>72</v>
      </c>
      <c r="V846" t="s">
        <v>9093</v>
      </c>
      <c r="W846" t="s">
        <v>9094</v>
      </c>
      <c r="X846" t="s">
        <v>9095</v>
      </c>
      <c r="Y846" t="s">
        <v>9096</v>
      </c>
      <c r="Z846" t="s">
        <v>9097</v>
      </c>
      <c r="AA846" t="s">
        <v>72</v>
      </c>
      <c r="AB846" t="s">
        <v>72</v>
      </c>
      <c r="AC846" t="s">
        <v>9098</v>
      </c>
      <c r="AD846" t="s">
        <v>9098</v>
      </c>
      <c r="AE846" t="s">
        <v>9099</v>
      </c>
      <c r="AF846" t="s">
        <v>72</v>
      </c>
      <c r="AG846">
        <v>74</v>
      </c>
      <c r="AH846">
        <v>0</v>
      </c>
      <c r="AI846">
        <v>0</v>
      </c>
      <c r="AJ846">
        <v>3</v>
      </c>
      <c r="AK846">
        <v>8</v>
      </c>
      <c r="AL846" t="s">
        <v>190</v>
      </c>
      <c r="AM846" t="s">
        <v>191</v>
      </c>
      <c r="AN846" t="s">
        <v>192</v>
      </c>
      <c r="AO846" t="s">
        <v>5738</v>
      </c>
      <c r="AP846" t="s">
        <v>5739</v>
      </c>
      <c r="AQ846" t="s">
        <v>72</v>
      </c>
      <c r="AR846" t="s">
        <v>5740</v>
      </c>
      <c r="AS846" t="s">
        <v>5741</v>
      </c>
      <c r="AT846" t="s">
        <v>197</v>
      </c>
      <c r="AU846">
        <v>2021</v>
      </c>
      <c r="AV846">
        <v>65</v>
      </c>
      <c r="AW846">
        <v>5</v>
      </c>
      <c r="AX846" t="s">
        <v>72</v>
      </c>
      <c r="AY846" t="s">
        <v>72</v>
      </c>
      <c r="AZ846" t="s">
        <v>478</v>
      </c>
      <c r="BA846" t="s">
        <v>72</v>
      </c>
      <c r="BB846">
        <v>689</v>
      </c>
      <c r="BC846">
        <v>711</v>
      </c>
      <c r="BD846">
        <v>2764221989777</v>
      </c>
      <c r="BE846" t="s">
        <v>9100</v>
      </c>
      <c r="BF846" t="str">
        <f>HYPERLINK("http://dx.doi.org/10.1177/0002764221989777","http://dx.doi.org/10.1177/0002764221989777")</f>
        <v>http://dx.doi.org/10.1177/0002764221989777</v>
      </c>
      <c r="BG846" t="s">
        <v>72</v>
      </c>
      <c r="BH846" t="s">
        <v>3201</v>
      </c>
      <c r="BI846">
        <v>23</v>
      </c>
      <c r="BJ846" t="s">
        <v>5743</v>
      </c>
      <c r="BK846" t="s">
        <v>5744</v>
      </c>
      <c r="BL846" t="s">
        <v>9101</v>
      </c>
      <c r="BM846">
        <v>33896942</v>
      </c>
      <c r="BN846" t="s">
        <v>2403</v>
      </c>
      <c r="BO846" t="s">
        <v>72</v>
      </c>
      <c r="BP846" t="s">
        <v>72</v>
      </c>
      <c r="BQ846" t="s">
        <v>100</v>
      </c>
      <c r="BR846" t="s">
        <v>9102</v>
      </c>
      <c r="BS846" t="str">
        <f>HYPERLINK("https%3A%2F%2Fwww.webofscience.com%2Fwos%2Fwoscc%2Ffull-record%2FWOS:000631223200001","View Full Record in Web of Science")</f>
        <v>View Full Record in Web of Science</v>
      </c>
    </row>
    <row r="847" spans="1:71" x14ac:dyDescent="0.2">
      <c r="A847" t="s">
        <v>70</v>
      </c>
      <c r="B847" t="s">
        <v>10346</v>
      </c>
      <c r="C847" t="s">
        <v>72</v>
      </c>
      <c r="D847" t="s">
        <v>72</v>
      </c>
      <c r="E847" t="s">
        <v>72</v>
      </c>
      <c r="F847" t="s">
        <v>10347</v>
      </c>
      <c r="G847" t="s">
        <v>72</v>
      </c>
      <c r="H847" t="s">
        <v>72</v>
      </c>
      <c r="I847" t="s">
        <v>10348</v>
      </c>
      <c r="J847" t="s">
        <v>10349</v>
      </c>
      <c r="K847" t="s">
        <v>72</v>
      </c>
      <c r="L847" t="s">
        <v>72</v>
      </c>
      <c r="M847" t="s">
        <v>76</v>
      </c>
      <c r="N847" t="s">
        <v>77</v>
      </c>
      <c r="O847" t="s">
        <v>72</v>
      </c>
      <c r="P847" t="s">
        <v>72</v>
      </c>
      <c r="Q847" t="s">
        <v>72</v>
      </c>
      <c r="R847" t="s">
        <v>72</v>
      </c>
      <c r="S847" t="s">
        <v>72</v>
      </c>
      <c r="T847" t="s">
        <v>72</v>
      </c>
      <c r="U847" t="s">
        <v>10350</v>
      </c>
      <c r="V847" t="s">
        <v>10351</v>
      </c>
      <c r="W847" t="s">
        <v>10352</v>
      </c>
      <c r="X847" t="s">
        <v>5735</v>
      </c>
      <c r="Y847" t="s">
        <v>10353</v>
      </c>
      <c r="Z847" t="s">
        <v>10354</v>
      </c>
      <c r="AA847" t="s">
        <v>72</v>
      </c>
      <c r="AB847" t="s">
        <v>10355</v>
      </c>
      <c r="AC847" t="s">
        <v>72</v>
      </c>
      <c r="AD847" t="s">
        <v>72</v>
      </c>
      <c r="AE847" t="s">
        <v>72</v>
      </c>
      <c r="AF847" t="s">
        <v>72</v>
      </c>
      <c r="AG847">
        <v>43</v>
      </c>
      <c r="AH847">
        <v>4</v>
      </c>
      <c r="AI847">
        <v>4</v>
      </c>
      <c r="AJ847">
        <v>0</v>
      </c>
      <c r="AK847">
        <v>0</v>
      </c>
      <c r="AL847" t="s">
        <v>364</v>
      </c>
      <c r="AM847" t="s">
        <v>365</v>
      </c>
      <c r="AN847" t="s">
        <v>366</v>
      </c>
      <c r="AO847" t="s">
        <v>10356</v>
      </c>
      <c r="AP847" t="s">
        <v>10357</v>
      </c>
      <c r="AQ847" t="s">
        <v>72</v>
      </c>
      <c r="AR847" t="s">
        <v>10358</v>
      </c>
      <c r="AS847" t="s">
        <v>10359</v>
      </c>
      <c r="AT847" t="s">
        <v>6583</v>
      </c>
      <c r="AU847">
        <v>2019</v>
      </c>
      <c r="AV847">
        <v>56</v>
      </c>
      <c r="AW847">
        <v>3</v>
      </c>
      <c r="AX847" t="s">
        <v>72</v>
      </c>
      <c r="AY847" t="s">
        <v>72</v>
      </c>
      <c r="AZ847" t="s">
        <v>72</v>
      </c>
      <c r="BA847" t="s">
        <v>72</v>
      </c>
      <c r="BB847">
        <v>345</v>
      </c>
      <c r="BC847">
        <v>355</v>
      </c>
      <c r="BD847" t="s">
        <v>72</v>
      </c>
      <c r="BE847" t="s">
        <v>10360</v>
      </c>
      <c r="BF847" t="str">
        <f>HYPERLINK("http://dx.doi.org/10.1080/00224499.2018.1468867","http://dx.doi.org/10.1080/00224499.2018.1468867")</f>
        <v>http://dx.doi.org/10.1080/00224499.2018.1468867</v>
      </c>
      <c r="BG847" t="s">
        <v>72</v>
      </c>
      <c r="BH847" t="s">
        <v>72</v>
      </c>
      <c r="BI847">
        <v>11</v>
      </c>
      <c r="BJ847" t="s">
        <v>5743</v>
      </c>
      <c r="BK847" t="s">
        <v>5744</v>
      </c>
      <c r="BL847" t="s">
        <v>10361</v>
      </c>
      <c r="BM847">
        <v>29746186</v>
      </c>
      <c r="BN847" t="s">
        <v>72</v>
      </c>
      <c r="BO847" t="s">
        <v>72</v>
      </c>
      <c r="BP847" t="s">
        <v>72</v>
      </c>
      <c r="BQ847" t="s">
        <v>100</v>
      </c>
      <c r="BR847" t="s">
        <v>10362</v>
      </c>
      <c r="BS847" t="str">
        <f>HYPERLINK("https%3A%2F%2Fwww.webofscience.com%2Fwos%2Fwoscc%2Ffull-record%2FWOS:000720101400007","View Full Record in Web of Science")</f>
        <v>View Full Record in Web of Science</v>
      </c>
    </row>
    <row r="848" spans="1:71" hidden="1" x14ac:dyDescent="0.2">
      <c r="A848" t="s">
        <v>70</v>
      </c>
      <c r="B848" t="s">
        <v>13390</v>
      </c>
      <c r="C848" t="s">
        <v>72</v>
      </c>
      <c r="D848" t="s">
        <v>72</v>
      </c>
      <c r="E848" t="s">
        <v>72</v>
      </c>
      <c r="F848" t="s">
        <v>13391</v>
      </c>
      <c r="G848" t="s">
        <v>72</v>
      </c>
      <c r="H848" t="s">
        <v>72</v>
      </c>
      <c r="I848" t="s">
        <v>13392</v>
      </c>
      <c r="J848" t="s">
        <v>13393</v>
      </c>
      <c r="K848" t="s">
        <v>72</v>
      </c>
      <c r="L848" t="s">
        <v>72</v>
      </c>
      <c r="M848" t="s">
        <v>76</v>
      </c>
      <c r="N848" t="s">
        <v>77</v>
      </c>
      <c r="O848" t="s">
        <v>72</v>
      </c>
      <c r="P848" t="s">
        <v>72</v>
      </c>
      <c r="Q848" t="s">
        <v>72</v>
      </c>
      <c r="R848" t="s">
        <v>72</v>
      </c>
      <c r="S848" t="s">
        <v>72</v>
      </c>
      <c r="T848" t="s">
        <v>13394</v>
      </c>
      <c r="U848" t="s">
        <v>13395</v>
      </c>
      <c r="V848" t="s">
        <v>13396</v>
      </c>
      <c r="W848" t="s">
        <v>13397</v>
      </c>
      <c r="X848" t="s">
        <v>13398</v>
      </c>
      <c r="Y848" t="s">
        <v>13399</v>
      </c>
      <c r="Z848" t="s">
        <v>13400</v>
      </c>
      <c r="AA848" t="s">
        <v>72</v>
      </c>
      <c r="AB848" t="s">
        <v>13401</v>
      </c>
      <c r="AC848" t="s">
        <v>13402</v>
      </c>
      <c r="AD848" t="s">
        <v>13403</v>
      </c>
      <c r="AE848" t="s">
        <v>13404</v>
      </c>
      <c r="AF848" t="s">
        <v>72</v>
      </c>
      <c r="AG848">
        <v>94</v>
      </c>
      <c r="AH848">
        <v>0</v>
      </c>
      <c r="AI848">
        <v>0</v>
      </c>
      <c r="AJ848">
        <v>4</v>
      </c>
      <c r="AK848">
        <v>4</v>
      </c>
      <c r="AL848" t="s">
        <v>269</v>
      </c>
      <c r="AM848" t="s">
        <v>270</v>
      </c>
      <c r="AN848" t="s">
        <v>271</v>
      </c>
      <c r="AO848" t="s">
        <v>13405</v>
      </c>
      <c r="AP848" t="s">
        <v>13406</v>
      </c>
      <c r="AQ848" t="s">
        <v>72</v>
      </c>
      <c r="AR848" t="s">
        <v>13407</v>
      </c>
      <c r="AS848" t="s">
        <v>13408</v>
      </c>
      <c r="AT848" t="s">
        <v>9999</v>
      </c>
      <c r="AU848">
        <v>2022</v>
      </c>
      <c r="AV848">
        <v>48</v>
      </c>
      <c r="AW848">
        <v>5</v>
      </c>
      <c r="AX848" t="s">
        <v>72</v>
      </c>
      <c r="AY848" t="s">
        <v>72</v>
      </c>
      <c r="AZ848" t="s">
        <v>72</v>
      </c>
      <c r="BA848" t="s">
        <v>72</v>
      </c>
      <c r="BB848">
        <v>573</v>
      </c>
      <c r="BC848">
        <v>585</v>
      </c>
      <c r="BD848" t="s">
        <v>72</v>
      </c>
      <c r="BE848" t="s">
        <v>13409</v>
      </c>
      <c r="BF848" t="str">
        <f>HYPERLINK("http://dx.doi.org/10.1080/00952990.2022.2091450","http://dx.doi.org/10.1080/00952990.2022.2091450")</f>
        <v>http://dx.doi.org/10.1080/00952990.2022.2091450</v>
      </c>
      <c r="BG848" t="s">
        <v>72</v>
      </c>
      <c r="BH848" t="s">
        <v>372</v>
      </c>
      <c r="BI848">
        <v>13</v>
      </c>
      <c r="BJ848" t="s">
        <v>13410</v>
      </c>
      <c r="BK848" t="s">
        <v>13411</v>
      </c>
      <c r="BL848" t="s">
        <v>13412</v>
      </c>
      <c r="BM848">
        <v>35853250</v>
      </c>
      <c r="BN848" t="s">
        <v>72</v>
      </c>
      <c r="BO848" t="s">
        <v>72</v>
      </c>
      <c r="BP848" t="s">
        <v>72</v>
      </c>
      <c r="BQ848" t="s">
        <v>100</v>
      </c>
      <c r="BR848" t="s">
        <v>13413</v>
      </c>
      <c r="BS848" t="str">
        <f>HYPERLINK("https%3A%2F%2Fwww.webofscience.com%2Fwos%2Fwoscc%2Ffull-record%2FWOS:000827509300001","View Full Record in Web of Science")</f>
        <v>View Full Record in Web of Science</v>
      </c>
    </row>
    <row r="849" spans="1:71" hidden="1" x14ac:dyDescent="0.2">
      <c r="A849" t="s">
        <v>70</v>
      </c>
      <c r="B849" t="s">
        <v>2682</v>
      </c>
      <c r="C849" t="s">
        <v>72</v>
      </c>
      <c r="D849" t="s">
        <v>72</v>
      </c>
      <c r="E849" t="s">
        <v>72</v>
      </c>
      <c r="F849" t="s">
        <v>2683</v>
      </c>
      <c r="G849" t="s">
        <v>72</v>
      </c>
      <c r="H849" t="s">
        <v>72</v>
      </c>
      <c r="I849" t="s">
        <v>2684</v>
      </c>
      <c r="J849" t="s">
        <v>2685</v>
      </c>
      <c r="K849" t="s">
        <v>72</v>
      </c>
      <c r="L849" t="s">
        <v>72</v>
      </c>
      <c r="M849" t="s">
        <v>76</v>
      </c>
      <c r="N849" t="s">
        <v>77</v>
      </c>
      <c r="O849" t="s">
        <v>72</v>
      </c>
      <c r="P849" t="s">
        <v>72</v>
      </c>
      <c r="Q849" t="s">
        <v>72</v>
      </c>
      <c r="R849" t="s">
        <v>72</v>
      </c>
      <c r="S849" t="s">
        <v>72</v>
      </c>
      <c r="T849" t="s">
        <v>2686</v>
      </c>
      <c r="U849" t="s">
        <v>2687</v>
      </c>
      <c r="V849" t="s">
        <v>2688</v>
      </c>
      <c r="W849" t="s">
        <v>2689</v>
      </c>
      <c r="X849" t="s">
        <v>2690</v>
      </c>
      <c r="Y849" t="s">
        <v>2691</v>
      </c>
      <c r="Z849" t="s">
        <v>2692</v>
      </c>
      <c r="AA849" t="s">
        <v>2693</v>
      </c>
      <c r="AB849" t="s">
        <v>2694</v>
      </c>
      <c r="AC849" t="s">
        <v>2695</v>
      </c>
      <c r="AD849" t="s">
        <v>2696</v>
      </c>
      <c r="AE849" t="s">
        <v>2697</v>
      </c>
      <c r="AF849" t="s">
        <v>72</v>
      </c>
      <c r="AG849">
        <v>38</v>
      </c>
      <c r="AH849">
        <v>4</v>
      </c>
      <c r="AI849">
        <v>4</v>
      </c>
      <c r="AJ849">
        <v>1</v>
      </c>
      <c r="AK849">
        <v>5</v>
      </c>
      <c r="AL849" t="s">
        <v>364</v>
      </c>
      <c r="AM849" t="s">
        <v>365</v>
      </c>
      <c r="AN849" t="s">
        <v>366</v>
      </c>
      <c r="AO849" t="s">
        <v>2698</v>
      </c>
      <c r="AP849" t="s">
        <v>2699</v>
      </c>
      <c r="AQ849" t="s">
        <v>72</v>
      </c>
      <c r="AR849" t="s">
        <v>2700</v>
      </c>
      <c r="AS849" t="s">
        <v>2701</v>
      </c>
      <c r="AT849" t="s">
        <v>1830</v>
      </c>
      <c r="AU849">
        <v>2022</v>
      </c>
      <c r="AV849">
        <v>24</v>
      </c>
      <c r="AW849">
        <v>3</v>
      </c>
      <c r="AX849" t="s">
        <v>72</v>
      </c>
      <c r="AY849" t="s">
        <v>72</v>
      </c>
      <c r="AZ849" t="s">
        <v>478</v>
      </c>
      <c r="BA849" t="s">
        <v>72</v>
      </c>
      <c r="BB849">
        <v>210</v>
      </c>
      <c r="BC849">
        <v>229</v>
      </c>
      <c r="BD849" t="s">
        <v>72</v>
      </c>
      <c r="BE849" t="s">
        <v>2702</v>
      </c>
      <c r="BF849" t="str">
        <f>HYPERLINK("http://dx.doi.org/10.1080/13876988.2020.1813031","http://dx.doi.org/10.1080/13876988.2020.1813031")</f>
        <v>http://dx.doi.org/10.1080/13876988.2020.1813031</v>
      </c>
      <c r="BG849" t="s">
        <v>72</v>
      </c>
      <c r="BH849" t="s">
        <v>2703</v>
      </c>
      <c r="BI849">
        <v>20</v>
      </c>
      <c r="BJ849" t="s">
        <v>2704</v>
      </c>
      <c r="BK849" t="s">
        <v>2704</v>
      </c>
      <c r="BL849" t="s">
        <v>2705</v>
      </c>
      <c r="BM849" t="s">
        <v>72</v>
      </c>
      <c r="BN849" t="s">
        <v>72</v>
      </c>
      <c r="BO849" t="s">
        <v>72</v>
      </c>
      <c r="BP849" t="s">
        <v>72</v>
      </c>
      <c r="BQ849" t="s">
        <v>100</v>
      </c>
      <c r="BR849" t="s">
        <v>2706</v>
      </c>
      <c r="BS849" t="str">
        <f>HYPERLINK("https%3A%2F%2Fwww.webofscience.com%2Fwos%2Fwoscc%2Ffull-record%2FWOS:000567584400001","View Full Record in Web of Science")</f>
        <v>View Full Record in Web of Science</v>
      </c>
    </row>
    <row r="850" spans="1:71" hidden="1" x14ac:dyDescent="0.2">
      <c r="A850" t="s">
        <v>70</v>
      </c>
      <c r="B850" t="s">
        <v>3952</v>
      </c>
      <c r="C850" t="s">
        <v>72</v>
      </c>
      <c r="D850" t="s">
        <v>72</v>
      </c>
      <c r="E850" t="s">
        <v>72</v>
      </c>
      <c r="F850" t="s">
        <v>3953</v>
      </c>
      <c r="G850" t="s">
        <v>72</v>
      </c>
      <c r="H850" t="s">
        <v>72</v>
      </c>
      <c r="I850" t="s">
        <v>3954</v>
      </c>
      <c r="J850" t="s">
        <v>3955</v>
      </c>
      <c r="K850" t="s">
        <v>72</v>
      </c>
      <c r="L850" t="s">
        <v>72</v>
      </c>
      <c r="M850" t="s">
        <v>76</v>
      </c>
      <c r="N850" t="s">
        <v>3914</v>
      </c>
      <c r="O850" t="s">
        <v>72</v>
      </c>
      <c r="P850" t="s">
        <v>72</v>
      </c>
      <c r="Q850" t="s">
        <v>72</v>
      </c>
      <c r="R850" t="s">
        <v>72</v>
      </c>
      <c r="S850" t="s">
        <v>72</v>
      </c>
      <c r="T850" t="s">
        <v>3956</v>
      </c>
      <c r="U850" t="s">
        <v>72</v>
      </c>
      <c r="V850" t="s">
        <v>3957</v>
      </c>
      <c r="W850" t="s">
        <v>3958</v>
      </c>
      <c r="X850" t="s">
        <v>3959</v>
      </c>
      <c r="Y850" t="s">
        <v>3960</v>
      </c>
      <c r="Z850" t="s">
        <v>72</v>
      </c>
      <c r="AA850" t="s">
        <v>72</v>
      </c>
      <c r="AB850" t="s">
        <v>3961</v>
      </c>
      <c r="AC850" t="s">
        <v>72</v>
      </c>
      <c r="AD850" t="s">
        <v>72</v>
      </c>
      <c r="AE850" t="s">
        <v>72</v>
      </c>
      <c r="AF850" t="s">
        <v>72</v>
      </c>
      <c r="AG850">
        <v>9</v>
      </c>
      <c r="AH850">
        <v>5</v>
      </c>
      <c r="AI850">
        <v>5</v>
      </c>
      <c r="AJ850">
        <v>4</v>
      </c>
      <c r="AK850">
        <v>6</v>
      </c>
      <c r="AL850" t="s">
        <v>1260</v>
      </c>
      <c r="AM850" t="s">
        <v>964</v>
      </c>
      <c r="AN850" t="s">
        <v>965</v>
      </c>
      <c r="AO850" t="s">
        <v>3962</v>
      </c>
      <c r="AP850" t="s">
        <v>72</v>
      </c>
      <c r="AQ850" t="s">
        <v>72</v>
      </c>
      <c r="AR850" t="s">
        <v>3963</v>
      </c>
      <c r="AS850" t="s">
        <v>3964</v>
      </c>
      <c r="AT850" t="s">
        <v>72</v>
      </c>
      <c r="AU850" t="s">
        <v>72</v>
      </c>
      <c r="AV850" t="s">
        <v>72</v>
      </c>
      <c r="AW850" t="s">
        <v>72</v>
      </c>
      <c r="AX850" t="s">
        <v>72</v>
      </c>
      <c r="AY850" t="s">
        <v>72</v>
      </c>
      <c r="AZ850" t="s">
        <v>72</v>
      </c>
      <c r="BA850" t="s">
        <v>72</v>
      </c>
      <c r="BB850" t="s">
        <v>72</v>
      </c>
      <c r="BC850" t="s">
        <v>72</v>
      </c>
      <c r="BD850" t="s">
        <v>72</v>
      </c>
      <c r="BE850" t="s">
        <v>3965</v>
      </c>
      <c r="BF850" t="str">
        <f>HYPERLINK("http://dx.doi.org/10.1002/rhc3.12181","http://dx.doi.org/10.1002/rhc3.12181")</f>
        <v>http://dx.doi.org/10.1002/rhc3.12181</v>
      </c>
      <c r="BG850" t="s">
        <v>72</v>
      </c>
      <c r="BH850" t="s">
        <v>3966</v>
      </c>
      <c r="BI850">
        <v>15</v>
      </c>
      <c r="BJ850" t="s">
        <v>2704</v>
      </c>
      <c r="BK850" t="s">
        <v>2704</v>
      </c>
      <c r="BL850" t="s">
        <v>3967</v>
      </c>
      <c r="BM850" t="s">
        <v>72</v>
      </c>
      <c r="BN850" t="s">
        <v>1128</v>
      </c>
      <c r="BO850" t="s">
        <v>72</v>
      </c>
      <c r="BP850" t="s">
        <v>72</v>
      </c>
      <c r="BQ850" t="s">
        <v>100</v>
      </c>
      <c r="BR850" t="s">
        <v>3968</v>
      </c>
      <c r="BS850" t="str">
        <f>HYPERLINK("https%3A%2F%2Fwww.webofscience.com%2Fwos%2Fwoscc%2Ffull-record%2FWOS:000494991900001","View Full Record in Web of Science")</f>
        <v>View Full Record in Web of Science</v>
      </c>
    </row>
    <row r="851" spans="1:71" hidden="1" x14ac:dyDescent="0.2">
      <c r="A851" t="s">
        <v>70</v>
      </c>
      <c r="B851" t="s">
        <v>5444</v>
      </c>
      <c r="C851" t="s">
        <v>72</v>
      </c>
      <c r="D851" t="s">
        <v>72</v>
      </c>
      <c r="E851" t="s">
        <v>72</v>
      </c>
      <c r="F851" t="s">
        <v>5445</v>
      </c>
      <c r="G851" t="s">
        <v>72</v>
      </c>
      <c r="H851" t="s">
        <v>72</v>
      </c>
      <c r="I851" t="s">
        <v>5446</v>
      </c>
      <c r="J851" t="s">
        <v>5447</v>
      </c>
      <c r="K851" t="s">
        <v>72</v>
      </c>
      <c r="L851" t="s">
        <v>72</v>
      </c>
      <c r="M851" t="s">
        <v>76</v>
      </c>
      <c r="N851" t="s">
        <v>77</v>
      </c>
      <c r="O851" t="s">
        <v>72</v>
      </c>
      <c r="P851" t="s">
        <v>72</v>
      </c>
      <c r="Q851" t="s">
        <v>72</v>
      </c>
      <c r="R851" t="s">
        <v>72</v>
      </c>
      <c r="S851" t="s">
        <v>72</v>
      </c>
      <c r="T851" t="s">
        <v>5448</v>
      </c>
      <c r="U851" t="s">
        <v>5449</v>
      </c>
      <c r="V851" t="s">
        <v>5450</v>
      </c>
      <c r="W851" t="s">
        <v>5451</v>
      </c>
      <c r="X851" t="s">
        <v>5452</v>
      </c>
      <c r="Y851" t="s">
        <v>5453</v>
      </c>
      <c r="Z851" t="s">
        <v>5454</v>
      </c>
      <c r="AA851" t="s">
        <v>72</v>
      </c>
      <c r="AB851" t="s">
        <v>72</v>
      </c>
      <c r="AC851" t="s">
        <v>5455</v>
      </c>
      <c r="AD851" t="s">
        <v>5455</v>
      </c>
      <c r="AE851" t="s">
        <v>5456</v>
      </c>
      <c r="AF851" t="s">
        <v>72</v>
      </c>
      <c r="AG851">
        <v>35</v>
      </c>
      <c r="AH851">
        <v>2</v>
      </c>
      <c r="AI851">
        <v>2</v>
      </c>
      <c r="AJ851">
        <v>1</v>
      </c>
      <c r="AK851">
        <v>9</v>
      </c>
      <c r="AL851" t="s">
        <v>336</v>
      </c>
      <c r="AM851" t="s">
        <v>337</v>
      </c>
      <c r="AN851" t="s">
        <v>338</v>
      </c>
      <c r="AO851" t="s">
        <v>5457</v>
      </c>
      <c r="AP851" t="s">
        <v>5458</v>
      </c>
      <c r="AQ851" t="s">
        <v>72</v>
      </c>
      <c r="AR851" t="s">
        <v>5459</v>
      </c>
      <c r="AS851" t="s">
        <v>5460</v>
      </c>
      <c r="AT851" t="s">
        <v>299</v>
      </c>
      <c r="AU851">
        <v>2021</v>
      </c>
      <c r="AV851">
        <v>87</v>
      </c>
      <c r="AW851">
        <v>2</v>
      </c>
      <c r="AX851" t="s">
        <v>72</v>
      </c>
      <c r="AY851" t="s">
        <v>72</v>
      </c>
      <c r="AZ851" t="s">
        <v>478</v>
      </c>
      <c r="BA851" t="s">
        <v>72</v>
      </c>
      <c r="BB851">
        <v>347</v>
      </c>
      <c r="BC851">
        <v>363</v>
      </c>
      <c r="BD851">
        <v>20852319870241</v>
      </c>
      <c r="BE851" t="s">
        <v>5461</v>
      </c>
      <c r="BF851" t="str">
        <f>HYPERLINK("http://dx.doi.org/10.1177/0020852319870241","http://dx.doi.org/10.1177/0020852319870241")</f>
        <v>http://dx.doi.org/10.1177/0020852319870241</v>
      </c>
      <c r="BG851" t="s">
        <v>72</v>
      </c>
      <c r="BH851" t="s">
        <v>3966</v>
      </c>
      <c r="BI851">
        <v>17</v>
      </c>
      <c r="BJ851" t="s">
        <v>2704</v>
      </c>
      <c r="BK851" t="s">
        <v>2704</v>
      </c>
      <c r="BL851" t="s">
        <v>5462</v>
      </c>
      <c r="BM851" t="s">
        <v>72</v>
      </c>
      <c r="BN851" t="s">
        <v>72</v>
      </c>
      <c r="BO851" t="s">
        <v>72</v>
      </c>
      <c r="BP851" t="s">
        <v>72</v>
      </c>
      <c r="BQ851" t="s">
        <v>100</v>
      </c>
      <c r="BR851" t="s">
        <v>5463</v>
      </c>
      <c r="BS851" t="str">
        <f>HYPERLINK("https%3A%2F%2Fwww.webofscience.com%2Fwos%2Fwoscc%2Ffull-record%2FWOS:000497096900001","View Full Record in Web of Science")</f>
        <v>View Full Record in Web of Science</v>
      </c>
    </row>
    <row r="852" spans="1:71" hidden="1" x14ac:dyDescent="0.2">
      <c r="A852" t="s">
        <v>70</v>
      </c>
      <c r="B852" t="s">
        <v>16995</v>
      </c>
      <c r="C852" t="s">
        <v>72</v>
      </c>
      <c r="D852" t="s">
        <v>72</v>
      </c>
      <c r="E852" t="s">
        <v>72</v>
      </c>
      <c r="F852" t="s">
        <v>16996</v>
      </c>
      <c r="G852" t="s">
        <v>72</v>
      </c>
      <c r="H852" t="s">
        <v>72</v>
      </c>
      <c r="I852" t="s">
        <v>16997</v>
      </c>
      <c r="J852" t="s">
        <v>5447</v>
      </c>
      <c r="K852" t="s">
        <v>72</v>
      </c>
      <c r="L852" t="s">
        <v>72</v>
      </c>
      <c r="M852" t="s">
        <v>76</v>
      </c>
      <c r="N852" t="s">
        <v>77</v>
      </c>
      <c r="O852" t="s">
        <v>72</v>
      </c>
      <c r="P852" t="s">
        <v>72</v>
      </c>
      <c r="Q852" t="s">
        <v>72</v>
      </c>
      <c r="R852" t="s">
        <v>72</v>
      </c>
      <c r="S852" t="s">
        <v>72</v>
      </c>
      <c r="T852" t="s">
        <v>16998</v>
      </c>
      <c r="U852" t="s">
        <v>16999</v>
      </c>
      <c r="V852" t="s">
        <v>17000</v>
      </c>
      <c r="W852" t="s">
        <v>17001</v>
      </c>
      <c r="X852" t="s">
        <v>17002</v>
      </c>
      <c r="Y852" t="s">
        <v>17003</v>
      </c>
      <c r="Z852" t="s">
        <v>17004</v>
      </c>
      <c r="AA852" t="s">
        <v>17005</v>
      </c>
      <c r="AB852" t="s">
        <v>17006</v>
      </c>
      <c r="AC852" t="s">
        <v>17007</v>
      </c>
      <c r="AD852" t="s">
        <v>9572</v>
      </c>
      <c r="AE852" t="s">
        <v>17008</v>
      </c>
      <c r="AF852" t="s">
        <v>72</v>
      </c>
      <c r="AG852">
        <v>60</v>
      </c>
      <c r="AH852">
        <v>4</v>
      </c>
      <c r="AI852">
        <v>4</v>
      </c>
      <c r="AJ852">
        <v>2</v>
      </c>
      <c r="AK852">
        <v>3</v>
      </c>
      <c r="AL852" t="s">
        <v>336</v>
      </c>
      <c r="AM852" t="s">
        <v>337</v>
      </c>
      <c r="AN852" t="s">
        <v>338</v>
      </c>
      <c r="AO852" t="s">
        <v>5457</v>
      </c>
      <c r="AP852" t="s">
        <v>5458</v>
      </c>
      <c r="AQ852" t="s">
        <v>72</v>
      </c>
      <c r="AR852" t="s">
        <v>5459</v>
      </c>
      <c r="AS852" t="s">
        <v>5460</v>
      </c>
      <c r="AT852" t="s">
        <v>929</v>
      </c>
      <c r="AU852">
        <v>2021</v>
      </c>
      <c r="AV852">
        <v>87</v>
      </c>
      <c r="AW852">
        <v>4</v>
      </c>
      <c r="AX852" t="s">
        <v>72</v>
      </c>
      <c r="AY852" t="s">
        <v>72</v>
      </c>
      <c r="AZ852" t="s">
        <v>478</v>
      </c>
      <c r="BA852" t="s">
        <v>72</v>
      </c>
      <c r="BB852">
        <v>794</v>
      </c>
      <c r="BC852">
        <v>812</v>
      </c>
      <c r="BD852">
        <v>208523211029804</v>
      </c>
      <c r="BE852" t="s">
        <v>17009</v>
      </c>
      <c r="BF852" t="str">
        <f>HYPERLINK("http://dx.doi.org/10.1177/00208523211029804","http://dx.doi.org/10.1177/00208523211029804")</f>
        <v>http://dx.doi.org/10.1177/00208523211029804</v>
      </c>
      <c r="BG852" t="s">
        <v>72</v>
      </c>
      <c r="BH852" t="s">
        <v>3011</v>
      </c>
      <c r="BI852">
        <v>19</v>
      </c>
      <c r="BJ852" t="s">
        <v>2704</v>
      </c>
      <c r="BK852" t="s">
        <v>2704</v>
      </c>
      <c r="BL852" t="s">
        <v>17010</v>
      </c>
      <c r="BM852" t="s">
        <v>72</v>
      </c>
      <c r="BN852" t="s">
        <v>280</v>
      </c>
      <c r="BO852" t="s">
        <v>72</v>
      </c>
      <c r="BP852" t="s">
        <v>72</v>
      </c>
      <c r="BQ852" t="s">
        <v>100</v>
      </c>
      <c r="BR852" t="s">
        <v>17011</v>
      </c>
      <c r="BS852" t="str">
        <f>HYPERLINK("https%3A%2F%2Fwww.webofscience.com%2Fwos%2Fwoscc%2Ffull-record%2FWOS:000676856500001","View Full Record in Web of Science")</f>
        <v>View Full Record in Web of Science</v>
      </c>
    </row>
    <row r="853" spans="1:71" x14ac:dyDescent="0.2">
      <c r="A853" t="s">
        <v>70</v>
      </c>
      <c r="B853" t="s">
        <v>13748</v>
      </c>
      <c r="C853" t="s">
        <v>72</v>
      </c>
      <c r="D853" t="s">
        <v>72</v>
      </c>
      <c r="E853" t="s">
        <v>72</v>
      </c>
      <c r="F853" t="s">
        <v>13749</v>
      </c>
      <c r="G853" t="s">
        <v>72</v>
      </c>
      <c r="H853" t="s">
        <v>72</v>
      </c>
      <c r="I853" t="s">
        <v>13750</v>
      </c>
      <c r="J853" t="s">
        <v>13751</v>
      </c>
      <c r="K853" t="s">
        <v>72</v>
      </c>
      <c r="L853" t="s">
        <v>72</v>
      </c>
      <c r="M853" t="s">
        <v>76</v>
      </c>
      <c r="N853" t="s">
        <v>77</v>
      </c>
      <c r="O853" t="s">
        <v>72</v>
      </c>
      <c r="P853" t="s">
        <v>72</v>
      </c>
      <c r="Q853" t="s">
        <v>72</v>
      </c>
      <c r="R853" t="s">
        <v>72</v>
      </c>
      <c r="S853" t="s">
        <v>72</v>
      </c>
      <c r="T853" t="s">
        <v>13752</v>
      </c>
      <c r="U853" t="s">
        <v>13753</v>
      </c>
      <c r="V853" t="s">
        <v>13754</v>
      </c>
      <c r="W853" t="s">
        <v>13755</v>
      </c>
      <c r="X853" t="s">
        <v>13756</v>
      </c>
      <c r="Y853" t="s">
        <v>13757</v>
      </c>
      <c r="Z853" t="s">
        <v>13758</v>
      </c>
      <c r="AA853" t="s">
        <v>13759</v>
      </c>
      <c r="AB853" t="s">
        <v>13760</v>
      </c>
      <c r="AC853" t="s">
        <v>13761</v>
      </c>
      <c r="AD853" t="s">
        <v>13761</v>
      </c>
      <c r="AE853" t="s">
        <v>13762</v>
      </c>
      <c r="AF853" t="s">
        <v>72</v>
      </c>
      <c r="AG853">
        <v>95</v>
      </c>
      <c r="AH853">
        <v>0</v>
      </c>
      <c r="AI853">
        <v>0</v>
      </c>
      <c r="AJ853">
        <v>2</v>
      </c>
      <c r="AK853">
        <v>4</v>
      </c>
      <c r="AL853" t="s">
        <v>88</v>
      </c>
      <c r="AM853" t="s">
        <v>89</v>
      </c>
      <c r="AN853" t="s">
        <v>90</v>
      </c>
      <c r="AO853" t="s">
        <v>13763</v>
      </c>
      <c r="AP853" t="s">
        <v>13764</v>
      </c>
      <c r="AQ853" t="s">
        <v>72</v>
      </c>
      <c r="AR853" t="s">
        <v>13765</v>
      </c>
      <c r="AS853" t="s">
        <v>13766</v>
      </c>
      <c r="AT853" t="s">
        <v>299</v>
      </c>
      <c r="AU853">
        <v>2022</v>
      </c>
      <c r="AV853">
        <v>55</v>
      </c>
      <c r="AW853">
        <v>2</v>
      </c>
      <c r="AX853" t="s">
        <v>72</v>
      </c>
      <c r="AY853" t="s">
        <v>72</v>
      </c>
      <c r="AZ853" t="s">
        <v>72</v>
      </c>
      <c r="BA853" t="s">
        <v>72</v>
      </c>
      <c r="BB853">
        <v>311</v>
      </c>
      <c r="BC853">
        <v>335</v>
      </c>
      <c r="BD853" t="s">
        <v>72</v>
      </c>
      <c r="BE853" t="s">
        <v>13767</v>
      </c>
      <c r="BF853" t="str">
        <f>HYPERLINK("http://dx.doi.org/10.1007/s11077-022-09456-4","http://dx.doi.org/10.1007/s11077-022-09456-4")</f>
        <v>http://dx.doi.org/10.1007/s11077-022-09456-4</v>
      </c>
      <c r="BG853" t="s">
        <v>72</v>
      </c>
      <c r="BH853" t="s">
        <v>1770</v>
      </c>
      <c r="BI853">
        <v>25</v>
      </c>
      <c r="BJ853" t="s">
        <v>13768</v>
      </c>
      <c r="BK853" t="s">
        <v>13769</v>
      </c>
      <c r="BL853" t="s">
        <v>13770</v>
      </c>
      <c r="BM853" t="s">
        <v>72</v>
      </c>
      <c r="BN853" t="s">
        <v>2403</v>
      </c>
      <c r="BO853" t="s">
        <v>72</v>
      </c>
      <c r="BP853" t="s">
        <v>72</v>
      </c>
      <c r="BQ853" t="s">
        <v>100</v>
      </c>
      <c r="BR853" t="s">
        <v>13771</v>
      </c>
      <c r="BS853" t="str">
        <f>HYPERLINK("https%3A%2F%2Fwww.webofscience.com%2Fwos%2Fwoscc%2Ffull-record%2FWOS:000778055100001","View Full Record in Web of Science")</f>
        <v>View Full Record in Web of Science</v>
      </c>
    </row>
    <row r="854" spans="1:71" hidden="1" x14ac:dyDescent="0.2">
      <c r="A854" t="s">
        <v>70</v>
      </c>
      <c r="B854" t="s">
        <v>2114</v>
      </c>
      <c r="C854" t="s">
        <v>72</v>
      </c>
      <c r="D854" t="s">
        <v>72</v>
      </c>
      <c r="E854" t="s">
        <v>72</v>
      </c>
      <c r="F854" t="s">
        <v>2115</v>
      </c>
      <c r="G854" t="s">
        <v>72</v>
      </c>
      <c r="H854" t="s">
        <v>72</v>
      </c>
      <c r="I854" t="s">
        <v>2116</v>
      </c>
      <c r="J854" t="s">
        <v>2117</v>
      </c>
      <c r="K854" t="s">
        <v>72</v>
      </c>
      <c r="L854" t="s">
        <v>72</v>
      </c>
      <c r="M854" t="s">
        <v>76</v>
      </c>
      <c r="N854" t="s">
        <v>77</v>
      </c>
      <c r="O854" t="s">
        <v>72</v>
      </c>
      <c r="P854" t="s">
        <v>72</v>
      </c>
      <c r="Q854" t="s">
        <v>72</v>
      </c>
      <c r="R854" t="s">
        <v>72</v>
      </c>
      <c r="S854" t="s">
        <v>72</v>
      </c>
      <c r="T854" t="s">
        <v>72</v>
      </c>
      <c r="U854" t="s">
        <v>2118</v>
      </c>
      <c r="V854" t="s">
        <v>2119</v>
      </c>
      <c r="W854" t="s">
        <v>2120</v>
      </c>
      <c r="X854" t="s">
        <v>2121</v>
      </c>
      <c r="Y854" t="s">
        <v>2122</v>
      </c>
      <c r="Z854" t="s">
        <v>2123</v>
      </c>
      <c r="AA854" t="s">
        <v>72</v>
      </c>
      <c r="AB854" t="s">
        <v>2124</v>
      </c>
      <c r="AC854" t="s">
        <v>2125</v>
      </c>
      <c r="AD854" t="s">
        <v>2126</v>
      </c>
      <c r="AE854" t="s">
        <v>2127</v>
      </c>
      <c r="AF854" t="s">
        <v>72</v>
      </c>
      <c r="AG854">
        <v>47</v>
      </c>
      <c r="AH854">
        <v>31</v>
      </c>
      <c r="AI854">
        <v>31</v>
      </c>
      <c r="AJ854">
        <v>0</v>
      </c>
      <c r="AK854">
        <v>24</v>
      </c>
      <c r="AL854" t="s">
        <v>2128</v>
      </c>
      <c r="AM854" t="s">
        <v>1280</v>
      </c>
      <c r="AN854" t="s">
        <v>2129</v>
      </c>
      <c r="AO854" t="s">
        <v>2130</v>
      </c>
      <c r="AP854" t="s">
        <v>2131</v>
      </c>
      <c r="AQ854" t="s">
        <v>72</v>
      </c>
      <c r="AR854" t="s">
        <v>2132</v>
      </c>
      <c r="AS854" t="s">
        <v>2133</v>
      </c>
      <c r="AT854" t="s">
        <v>299</v>
      </c>
      <c r="AU854">
        <v>2015</v>
      </c>
      <c r="AV854">
        <v>105</v>
      </c>
      <c r="AW854">
        <v>6</v>
      </c>
      <c r="AX854" t="s">
        <v>72</v>
      </c>
      <c r="AY854" t="s">
        <v>72</v>
      </c>
      <c r="AZ854" t="s">
        <v>72</v>
      </c>
      <c r="BA854" t="s">
        <v>72</v>
      </c>
      <c r="BB854">
        <v>1206</v>
      </c>
      <c r="BC854">
        <v>1212</v>
      </c>
      <c r="BD854" t="s">
        <v>72</v>
      </c>
      <c r="BE854" t="s">
        <v>2134</v>
      </c>
      <c r="BF854" t="str">
        <f>HYPERLINK("http://dx.doi.org/10.2105/AJPH.2014.302464","http://dx.doi.org/10.2105/AJPH.2014.302464")</f>
        <v>http://dx.doi.org/10.2105/AJPH.2014.302464</v>
      </c>
      <c r="BG854" t="s">
        <v>72</v>
      </c>
      <c r="BH854" t="s">
        <v>72</v>
      </c>
      <c r="BI854">
        <v>7</v>
      </c>
      <c r="BJ854" t="s">
        <v>2135</v>
      </c>
      <c r="BK854" t="s">
        <v>2135</v>
      </c>
      <c r="BL854" t="s">
        <v>2136</v>
      </c>
      <c r="BM854">
        <v>25880942</v>
      </c>
      <c r="BN854" t="s">
        <v>1128</v>
      </c>
      <c r="BO854" t="s">
        <v>72</v>
      </c>
      <c r="BP854" t="s">
        <v>72</v>
      </c>
      <c r="BQ854" t="s">
        <v>100</v>
      </c>
      <c r="BR854" t="s">
        <v>2137</v>
      </c>
      <c r="BS854" t="str">
        <f>HYPERLINK("https%3A%2F%2Fwww.webofscience.com%2Fwos%2Fwoscc%2Ffull-record%2FWOS:000360466800038","View Full Record in Web of Science")</f>
        <v>View Full Record in Web of Science</v>
      </c>
    </row>
    <row r="855" spans="1:71" hidden="1" x14ac:dyDescent="0.2">
      <c r="A855" t="s">
        <v>70</v>
      </c>
      <c r="B855" t="s">
        <v>11898</v>
      </c>
      <c r="C855" t="s">
        <v>72</v>
      </c>
      <c r="D855" t="s">
        <v>72</v>
      </c>
      <c r="E855" t="s">
        <v>72</v>
      </c>
      <c r="F855" t="s">
        <v>11899</v>
      </c>
      <c r="G855" t="s">
        <v>72</v>
      </c>
      <c r="H855" t="s">
        <v>72</v>
      </c>
      <c r="I855" t="s">
        <v>11900</v>
      </c>
      <c r="J855" t="s">
        <v>11901</v>
      </c>
      <c r="K855" t="s">
        <v>72</v>
      </c>
      <c r="L855" t="s">
        <v>72</v>
      </c>
      <c r="M855" t="s">
        <v>76</v>
      </c>
      <c r="N855" t="s">
        <v>77</v>
      </c>
      <c r="O855" t="s">
        <v>72</v>
      </c>
      <c r="P855" t="s">
        <v>72</v>
      </c>
      <c r="Q855" t="s">
        <v>72</v>
      </c>
      <c r="R855" t="s">
        <v>72</v>
      </c>
      <c r="S855" t="s">
        <v>72</v>
      </c>
      <c r="T855" t="s">
        <v>11902</v>
      </c>
      <c r="U855" t="s">
        <v>11903</v>
      </c>
      <c r="V855" t="s">
        <v>11904</v>
      </c>
      <c r="W855" t="s">
        <v>11905</v>
      </c>
      <c r="X855" t="s">
        <v>11906</v>
      </c>
      <c r="Y855" t="s">
        <v>11907</v>
      </c>
      <c r="Z855" t="s">
        <v>11908</v>
      </c>
      <c r="AA855" t="s">
        <v>72</v>
      </c>
      <c r="AB855" t="s">
        <v>72</v>
      </c>
      <c r="AC855" t="s">
        <v>72</v>
      </c>
      <c r="AD855" t="s">
        <v>72</v>
      </c>
      <c r="AE855" t="s">
        <v>72</v>
      </c>
      <c r="AF855" t="s">
        <v>72</v>
      </c>
      <c r="AG855">
        <v>30</v>
      </c>
      <c r="AH855">
        <v>1</v>
      </c>
      <c r="AI855">
        <v>1</v>
      </c>
      <c r="AJ855">
        <v>43</v>
      </c>
      <c r="AK855">
        <v>89</v>
      </c>
      <c r="AL855" t="s">
        <v>901</v>
      </c>
      <c r="AM855" t="s">
        <v>902</v>
      </c>
      <c r="AN855" t="s">
        <v>903</v>
      </c>
      <c r="AO855" t="s">
        <v>72</v>
      </c>
      <c r="AP855" t="s">
        <v>11909</v>
      </c>
      <c r="AQ855" t="s">
        <v>72</v>
      </c>
      <c r="AR855" t="s">
        <v>11910</v>
      </c>
      <c r="AS855" t="s">
        <v>11911</v>
      </c>
      <c r="AT855" t="s">
        <v>2578</v>
      </c>
      <c r="AU855">
        <v>2021</v>
      </c>
      <c r="AV855">
        <v>9</v>
      </c>
      <c r="AW855" t="s">
        <v>72</v>
      </c>
      <c r="AX855" t="s">
        <v>72</v>
      </c>
      <c r="AY855" t="s">
        <v>72</v>
      </c>
      <c r="AZ855" t="s">
        <v>72</v>
      </c>
      <c r="BA855" t="s">
        <v>72</v>
      </c>
      <c r="BB855" t="s">
        <v>72</v>
      </c>
      <c r="BC855" t="s">
        <v>72</v>
      </c>
      <c r="BD855">
        <v>647670</v>
      </c>
      <c r="BE855" t="s">
        <v>11912</v>
      </c>
      <c r="BF855" t="str">
        <f>HYPERLINK("http://dx.doi.org/10.3389/fpubh.2021.647670","http://dx.doi.org/10.3389/fpubh.2021.647670")</f>
        <v>http://dx.doi.org/10.3389/fpubh.2021.647670</v>
      </c>
      <c r="BG855" t="s">
        <v>72</v>
      </c>
      <c r="BH855" t="s">
        <v>72</v>
      </c>
      <c r="BI855">
        <v>12</v>
      </c>
      <c r="BJ855" t="s">
        <v>2135</v>
      </c>
      <c r="BK855" t="s">
        <v>2135</v>
      </c>
      <c r="BL855" t="s">
        <v>11913</v>
      </c>
      <c r="BM855">
        <v>34368041</v>
      </c>
      <c r="BN855" t="s">
        <v>910</v>
      </c>
      <c r="BO855" t="s">
        <v>72</v>
      </c>
      <c r="BP855" t="s">
        <v>72</v>
      </c>
      <c r="BQ855" t="s">
        <v>100</v>
      </c>
      <c r="BR855" t="s">
        <v>11914</v>
      </c>
      <c r="BS855" t="str">
        <f>HYPERLINK("https%3A%2F%2Fwww.webofscience.com%2Fwos%2Fwoscc%2Ffull-record%2FWOS:000708371800001","View Full Record in Web of Science")</f>
        <v>View Full Record in Web of Science</v>
      </c>
    </row>
    <row r="856" spans="1:71" hidden="1" x14ac:dyDescent="0.2">
      <c r="A856" t="s">
        <v>70</v>
      </c>
      <c r="B856" t="s">
        <v>17012</v>
      </c>
      <c r="C856" t="s">
        <v>72</v>
      </c>
      <c r="D856" t="s">
        <v>72</v>
      </c>
      <c r="E856" t="s">
        <v>72</v>
      </c>
      <c r="F856" t="s">
        <v>17013</v>
      </c>
      <c r="G856" t="s">
        <v>72</v>
      </c>
      <c r="H856" t="s">
        <v>72</v>
      </c>
      <c r="I856" t="s">
        <v>17014</v>
      </c>
      <c r="J856" t="s">
        <v>17015</v>
      </c>
      <c r="K856" t="s">
        <v>72</v>
      </c>
      <c r="L856" t="s">
        <v>72</v>
      </c>
      <c r="M856" t="s">
        <v>76</v>
      </c>
      <c r="N856" t="s">
        <v>77</v>
      </c>
      <c r="O856" t="s">
        <v>72</v>
      </c>
      <c r="P856" t="s">
        <v>72</v>
      </c>
      <c r="Q856" t="s">
        <v>72</v>
      </c>
      <c r="R856" t="s">
        <v>72</v>
      </c>
      <c r="S856" t="s">
        <v>72</v>
      </c>
      <c r="T856" t="s">
        <v>17016</v>
      </c>
      <c r="U856" t="s">
        <v>17017</v>
      </c>
      <c r="V856" t="s">
        <v>17018</v>
      </c>
      <c r="W856" t="s">
        <v>17019</v>
      </c>
      <c r="X856" t="s">
        <v>17020</v>
      </c>
      <c r="Y856" t="s">
        <v>17021</v>
      </c>
      <c r="Z856" t="s">
        <v>17022</v>
      </c>
      <c r="AA856" t="s">
        <v>17023</v>
      </c>
      <c r="AB856" t="s">
        <v>17024</v>
      </c>
      <c r="AC856" t="s">
        <v>17025</v>
      </c>
      <c r="AD856" t="s">
        <v>17026</v>
      </c>
      <c r="AE856" t="s">
        <v>17027</v>
      </c>
      <c r="AF856" t="s">
        <v>72</v>
      </c>
      <c r="AG856">
        <v>37</v>
      </c>
      <c r="AH856">
        <v>5</v>
      </c>
      <c r="AI856">
        <v>5</v>
      </c>
      <c r="AJ856">
        <v>6</v>
      </c>
      <c r="AK856">
        <v>11</v>
      </c>
      <c r="AL856" t="s">
        <v>8480</v>
      </c>
      <c r="AM856" t="s">
        <v>2317</v>
      </c>
      <c r="AN856" t="s">
        <v>8481</v>
      </c>
      <c r="AO856" t="s">
        <v>17028</v>
      </c>
      <c r="AP856" t="s">
        <v>72</v>
      </c>
      <c r="AQ856" t="s">
        <v>72</v>
      </c>
      <c r="AR856" t="s">
        <v>17029</v>
      </c>
      <c r="AS856" t="s">
        <v>17030</v>
      </c>
      <c r="AT856" t="s">
        <v>951</v>
      </c>
      <c r="AU856">
        <v>2021</v>
      </c>
      <c r="AV856">
        <v>7</v>
      </c>
      <c r="AW856">
        <v>11</v>
      </c>
      <c r="AX856" t="s">
        <v>72</v>
      </c>
      <c r="AY856" t="s">
        <v>72</v>
      </c>
      <c r="AZ856" t="s">
        <v>72</v>
      </c>
      <c r="BA856" t="s">
        <v>72</v>
      </c>
      <c r="BB856" t="s">
        <v>72</v>
      </c>
      <c r="BC856" t="s">
        <v>72</v>
      </c>
      <c r="BD856" t="s">
        <v>17031</v>
      </c>
      <c r="BE856" t="s">
        <v>17032</v>
      </c>
      <c r="BF856" t="str">
        <f>HYPERLINK("http://dx.doi.org/10.2196/26660","http://dx.doi.org/10.2196/26660")</f>
        <v>http://dx.doi.org/10.2196/26660</v>
      </c>
      <c r="BG856" t="s">
        <v>72</v>
      </c>
      <c r="BH856" t="s">
        <v>72</v>
      </c>
      <c r="BI856">
        <v>11</v>
      </c>
      <c r="BJ856" t="s">
        <v>2135</v>
      </c>
      <c r="BK856" t="s">
        <v>2135</v>
      </c>
      <c r="BL856" t="s">
        <v>17033</v>
      </c>
      <c r="BM856">
        <v>34817383</v>
      </c>
      <c r="BN856" t="s">
        <v>910</v>
      </c>
      <c r="BO856" t="s">
        <v>72</v>
      </c>
      <c r="BP856" t="s">
        <v>72</v>
      </c>
      <c r="BQ856" t="s">
        <v>100</v>
      </c>
      <c r="BR856" t="s">
        <v>17034</v>
      </c>
      <c r="BS856" t="str">
        <f>HYPERLINK("https%3A%2F%2Fwww.webofscience.com%2Fwos%2Fwoscc%2Ffull-record%2FWOS:000738935100006","View Full Record in Web of Science")</f>
        <v>View Full Record in Web of Science</v>
      </c>
    </row>
    <row r="857" spans="1:71" hidden="1" x14ac:dyDescent="0.2">
      <c r="A857" t="s">
        <v>70</v>
      </c>
      <c r="B857" t="s">
        <v>11696</v>
      </c>
      <c r="C857" t="s">
        <v>72</v>
      </c>
      <c r="D857" t="s">
        <v>72</v>
      </c>
      <c r="E857" t="s">
        <v>72</v>
      </c>
      <c r="F857" t="s">
        <v>11697</v>
      </c>
      <c r="G857" t="s">
        <v>72</v>
      </c>
      <c r="H857" t="s">
        <v>72</v>
      </c>
      <c r="I857" t="s">
        <v>11698</v>
      </c>
      <c r="J857" t="s">
        <v>11699</v>
      </c>
      <c r="K857" t="s">
        <v>72</v>
      </c>
      <c r="L857" t="s">
        <v>72</v>
      </c>
      <c r="M857" t="s">
        <v>76</v>
      </c>
      <c r="N857" t="s">
        <v>77</v>
      </c>
      <c r="O857" t="s">
        <v>72</v>
      </c>
      <c r="P857" t="s">
        <v>72</v>
      </c>
      <c r="Q857" t="s">
        <v>72</v>
      </c>
      <c r="R857" t="s">
        <v>72</v>
      </c>
      <c r="S857" t="s">
        <v>72</v>
      </c>
      <c r="T857" t="s">
        <v>11700</v>
      </c>
      <c r="U857" t="s">
        <v>72</v>
      </c>
      <c r="V857" t="s">
        <v>11701</v>
      </c>
      <c r="W857" t="s">
        <v>11702</v>
      </c>
      <c r="X857" t="s">
        <v>6109</v>
      </c>
      <c r="Y857" t="s">
        <v>11703</v>
      </c>
      <c r="Z857" t="s">
        <v>11704</v>
      </c>
      <c r="AA857" t="s">
        <v>72</v>
      </c>
      <c r="AB857" t="s">
        <v>72</v>
      </c>
      <c r="AC857" t="s">
        <v>72</v>
      </c>
      <c r="AD857" t="s">
        <v>72</v>
      </c>
      <c r="AE857" t="s">
        <v>72</v>
      </c>
      <c r="AF857" t="s">
        <v>72</v>
      </c>
      <c r="AG857">
        <v>15</v>
      </c>
      <c r="AH857">
        <v>0</v>
      </c>
      <c r="AI857">
        <v>0</v>
      </c>
      <c r="AJ857">
        <v>0</v>
      </c>
      <c r="AK857">
        <v>0</v>
      </c>
      <c r="AL857" t="s">
        <v>1260</v>
      </c>
      <c r="AM857" t="s">
        <v>964</v>
      </c>
      <c r="AN857" t="s">
        <v>965</v>
      </c>
      <c r="AO857" t="s">
        <v>11705</v>
      </c>
      <c r="AP857" t="s">
        <v>11706</v>
      </c>
      <c r="AQ857" t="s">
        <v>72</v>
      </c>
      <c r="AR857" t="s">
        <v>11707</v>
      </c>
      <c r="AS857" t="s">
        <v>11708</v>
      </c>
      <c r="AT857" t="s">
        <v>95</v>
      </c>
      <c r="AU857">
        <v>2022</v>
      </c>
      <c r="AV857">
        <v>31</v>
      </c>
      <c r="AW857">
        <v>9</v>
      </c>
      <c r="AX857" t="s">
        <v>72</v>
      </c>
      <c r="AY857" t="s">
        <v>72</v>
      </c>
      <c r="AZ857" t="s">
        <v>72</v>
      </c>
      <c r="BA857" t="s">
        <v>72</v>
      </c>
      <c r="BB857">
        <v>1003</v>
      </c>
      <c r="BC857">
        <v>1006</v>
      </c>
      <c r="BD857" t="s">
        <v>72</v>
      </c>
      <c r="BE857" t="s">
        <v>11709</v>
      </c>
      <c r="BF857" t="str">
        <f>HYPERLINK("http://dx.doi.org/10.1002/pds.5502","http://dx.doi.org/10.1002/pds.5502")</f>
        <v>http://dx.doi.org/10.1002/pds.5502</v>
      </c>
      <c r="BG857" t="s">
        <v>72</v>
      </c>
      <c r="BH857" t="s">
        <v>372</v>
      </c>
      <c r="BI857">
        <v>4</v>
      </c>
      <c r="BJ857" t="s">
        <v>11710</v>
      </c>
      <c r="BK857" t="s">
        <v>11710</v>
      </c>
      <c r="BL857" t="s">
        <v>11711</v>
      </c>
      <c r="BM857">
        <v>35751621</v>
      </c>
      <c r="BN857" t="s">
        <v>72</v>
      </c>
      <c r="BO857" t="s">
        <v>72</v>
      </c>
      <c r="BP857" t="s">
        <v>72</v>
      </c>
      <c r="BQ857" t="s">
        <v>100</v>
      </c>
      <c r="BR857" t="s">
        <v>11712</v>
      </c>
      <c r="BS857" t="str">
        <f>HYPERLINK("https%3A%2F%2Fwww.webofscience.com%2Fwos%2Fwoscc%2Ffull-record%2FWOS:000825203300001","View Full Record in Web of Science")</f>
        <v>View Full Record in Web of Science</v>
      </c>
    </row>
    <row r="858" spans="1:71" hidden="1" x14ac:dyDescent="0.2">
      <c r="A858" t="s">
        <v>70</v>
      </c>
      <c r="B858" t="s">
        <v>13675</v>
      </c>
      <c r="C858" t="s">
        <v>72</v>
      </c>
      <c r="D858" t="s">
        <v>72</v>
      </c>
      <c r="E858" t="s">
        <v>72</v>
      </c>
      <c r="F858" t="s">
        <v>13676</v>
      </c>
      <c r="G858" t="s">
        <v>72</v>
      </c>
      <c r="H858" t="s">
        <v>72</v>
      </c>
      <c r="I858" t="s">
        <v>13677</v>
      </c>
      <c r="J858" t="s">
        <v>13678</v>
      </c>
      <c r="K858" t="s">
        <v>72</v>
      </c>
      <c r="L858" t="s">
        <v>72</v>
      </c>
      <c r="M858" t="s">
        <v>76</v>
      </c>
      <c r="N858" t="s">
        <v>1503</v>
      </c>
      <c r="O858" t="s">
        <v>72</v>
      </c>
      <c r="P858" t="s">
        <v>72</v>
      </c>
      <c r="Q858" t="s">
        <v>72</v>
      </c>
      <c r="R858" t="s">
        <v>72</v>
      </c>
      <c r="S858" t="s">
        <v>72</v>
      </c>
      <c r="T858" t="s">
        <v>72</v>
      </c>
      <c r="U858" t="s">
        <v>72</v>
      </c>
      <c r="V858" t="s">
        <v>13679</v>
      </c>
      <c r="W858" t="s">
        <v>13680</v>
      </c>
      <c r="X858" t="s">
        <v>13681</v>
      </c>
      <c r="Y858" t="s">
        <v>13682</v>
      </c>
      <c r="Z858" t="s">
        <v>13683</v>
      </c>
      <c r="AA858" t="s">
        <v>13684</v>
      </c>
      <c r="AB858" t="s">
        <v>72</v>
      </c>
      <c r="AC858" t="s">
        <v>13685</v>
      </c>
      <c r="AD858" t="s">
        <v>13686</v>
      </c>
      <c r="AE858" t="s">
        <v>13687</v>
      </c>
      <c r="AF858" t="s">
        <v>72</v>
      </c>
      <c r="AG858">
        <v>29</v>
      </c>
      <c r="AH858">
        <v>0</v>
      </c>
      <c r="AI858">
        <v>0</v>
      </c>
      <c r="AJ858">
        <v>0</v>
      </c>
      <c r="AK858">
        <v>1</v>
      </c>
      <c r="AL858" t="s">
        <v>13688</v>
      </c>
      <c r="AM858" t="s">
        <v>13689</v>
      </c>
      <c r="AN858" t="s">
        <v>13690</v>
      </c>
      <c r="AO858" t="s">
        <v>13691</v>
      </c>
      <c r="AP858" t="s">
        <v>13692</v>
      </c>
      <c r="AQ858" t="s">
        <v>72</v>
      </c>
      <c r="AR858" t="s">
        <v>13693</v>
      </c>
      <c r="AS858" t="s">
        <v>13694</v>
      </c>
      <c r="AT858" t="s">
        <v>555</v>
      </c>
      <c r="AU858">
        <v>2022</v>
      </c>
      <c r="AV858">
        <v>106</v>
      </c>
      <c r="AW858">
        <v>3</v>
      </c>
      <c r="AX858" t="s">
        <v>72</v>
      </c>
      <c r="AY858" t="s">
        <v>72</v>
      </c>
      <c r="AZ858" t="s">
        <v>72</v>
      </c>
      <c r="BA858" t="s">
        <v>72</v>
      </c>
      <c r="BB858">
        <v>768</v>
      </c>
      <c r="BC858">
        <v>774</v>
      </c>
      <c r="BD858" t="s">
        <v>72</v>
      </c>
      <c r="BE858" t="s">
        <v>13695</v>
      </c>
      <c r="BF858" t="str">
        <f>HYPERLINK("http://dx.doi.org/10.4269/ajtmh.21-0619","http://dx.doi.org/10.4269/ajtmh.21-0619")</f>
        <v>http://dx.doi.org/10.4269/ajtmh.21-0619</v>
      </c>
      <c r="BG858" t="s">
        <v>72</v>
      </c>
      <c r="BH858" t="s">
        <v>72</v>
      </c>
      <c r="BI858">
        <v>7</v>
      </c>
      <c r="BJ858" t="s">
        <v>13696</v>
      </c>
      <c r="BK858" t="s">
        <v>13696</v>
      </c>
      <c r="BL858" t="s">
        <v>13697</v>
      </c>
      <c r="BM858">
        <v>35073506</v>
      </c>
      <c r="BN858" t="s">
        <v>1075</v>
      </c>
      <c r="BO858" t="s">
        <v>72</v>
      </c>
      <c r="BP858" t="s">
        <v>72</v>
      </c>
      <c r="BQ858" t="s">
        <v>100</v>
      </c>
      <c r="BR858" t="s">
        <v>13698</v>
      </c>
      <c r="BS858" t="str">
        <f>HYPERLINK("https%3A%2F%2Fwww.webofscience.com%2Fwos%2Fwoscc%2Ffull-record%2FWOS:000800266500008","View Full Record in Web of Science")</f>
        <v>View Full Record in Web of Science</v>
      </c>
    </row>
    <row r="859" spans="1:71" hidden="1" x14ac:dyDescent="0.2">
      <c r="A859" t="s">
        <v>70</v>
      </c>
      <c r="B859" t="s">
        <v>10122</v>
      </c>
      <c r="C859" t="s">
        <v>72</v>
      </c>
      <c r="D859" t="s">
        <v>72</v>
      </c>
      <c r="E859" t="s">
        <v>72</v>
      </c>
      <c r="F859" t="s">
        <v>10123</v>
      </c>
      <c r="G859" t="s">
        <v>72</v>
      </c>
      <c r="H859" t="s">
        <v>72</v>
      </c>
      <c r="I859" t="s">
        <v>10124</v>
      </c>
      <c r="J859" t="s">
        <v>10125</v>
      </c>
      <c r="K859" t="s">
        <v>72</v>
      </c>
      <c r="L859" t="s">
        <v>72</v>
      </c>
      <c r="M859" t="s">
        <v>76</v>
      </c>
      <c r="N859" t="s">
        <v>77</v>
      </c>
      <c r="O859" t="s">
        <v>72</v>
      </c>
      <c r="P859" t="s">
        <v>72</v>
      </c>
      <c r="Q859" t="s">
        <v>72</v>
      </c>
      <c r="R859" t="s">
        <v>72</v>
      </c>
      <c r="S859" t="s">
        <v>72</v>
      </c>
      <c r="T859" t="s">
        <v>10126</v>
      </c>
      <c r="U859" t="s">
        <v>72</v>
      </c>
      <c r="V859" t="s">
        <v>10127</v>
      </c>
      <c r="W859" t="s">
        <v>10128</v>
      </c>
      <c r="X859" t="s">
        <v>10129</v>
      </c>
      <c r="Y859" t="s">
        <v>10130</v>
      </c>
      <c r="Z859" t="s">
        <v>10131</v>
      </c>
      <c r="AA859" t="s">
        <v>10132</v>
      </c>
      <c r="AB859" t="s">
        <v>10133</v>
      </c>
      <c r="AC859" t="s">
        <v>10134</v>
      </c>
      <c r="AD859" t="s">
        <v>10135</v>
      </c>
      <c r="AE859" t="s">
        <v>10136</v>
      </c>
      <c r="AF859" t="s">
        <v>72</v>
      </c>
      <c r="AG859">
        <v>38</v>
      </c>
      <c r="AH859">
        <v>0</v>
      </c>
      <c r="AI859">
        <v>0</v>
      </c>
      <c r="AJ859">
        <v>0</v>
      </c>
      <c r="AK859">
        <v>2</v>
      </c>
      <c r="AL859" t="s">
        <v>9844</v>
      </c>
      <c r="AM859" t="s">
        <v>1657</v>
      </c>
      <c r="AN859" t="s">
        <v>9845</v>
      </c>
      <c r="AO859" t="s">
        <v>10137</v>
      </c>
      <c r="AP859" t="s">
        <v>72</v>
      </c>
      <c r="AQ859" t="s">
        <v>72</v>
      </c>
      <c r="AR859" t="s">
        <v>10138</v>
      </c>
      <c r="AS859" t="s">
        <v>10139</v>
      </c>
      <c r="AT859" t="s">
        <v>247</v>
      </c>
      <c r="AU859">
        <v>2020</v>
      </c>
      <c r="AV859">
        <v>6</v>
      </c>
      <c r="AW859">
        <v>1</v>
      </c>
      <c r="AX859" t="s">
        <v>72</v>
      </c>
      <c r="AY859" t="s">
        <v>72</v>
      </c>
      <c r="AZ859" t="s">
        <v>72</v>
      </c>
      <c r="BA859" t="s">
        <v>72</v>
      </c>
      <c r="BB859">
        <v>423</v>
      </c>
      <c r="BC859">
        <v>439</v>
      </c>
      <c r="BD859" t="s">
        <v>72</v>
      </c>
      <c r="BE859" t="s">
        <v>10140</v>
      </c>
      <c r="BF859" t="str">
        <f>HYPERLINK("http://dx.doi.org/10.1515/opth-2020-0111","http://dx.doi.org/10.1515/opth-2020-0111")</f>
        <v>http://dx.doi.org/10.1515/opth-2020-0111</v>
      </c>
      <c r="BG859" t="s">
        <v>72</v>
      </c>
      <c r="BH859" t="s">
        <v>72</v>
      </c>
      <c r="BI859">
        <v>17</v>
      </c>
      <c r="BJ859" t="s">
        <v>10141</v>
      </c>
      <c r="BK859" t="s">
        <v>10141</v>
      </c>
      <c r="BL859" t="s">
        <v>10142</v>
      </c>
      <c r="BM859" t="s">
        <v>72</v>
      </c>
      <c r="BN859" t="s">
        <v>910</v>
      </c>
      <c r="BO859" t="s">
        <v>72</v>
      </c>
      <c r="BP859" t="s">
        <v>72</v>
      </c>
      <c r="BQ859" t="s">
        <v>100</v>
      </c>
      <c r="BR859" t="s">
        <v>10143</v>
      </c>
      <c r="BS859" t="str">
        <f>HYPERLINK("https%3A%2F%2Fwww.webofscience.com%2Fwos%2Fwoscc%2Ffull-record%2FWOS:000559273000001","View Full Record in Web of Science")</f>
        <v>View Full Record in Web of Science</v>
      </c>
    </row>
    <row r="860" spans="1:71" hidden="1" x14ac:dyDescent="0.2">
      <c r="A860" t="s">
        <v>70</v>
      </c>
      <c r="B860" t="s">
        <v>5628</v>
      </c>
      <c r="C860" t="s">
        <v>72</v>
      </c>
      <c r="D860" t="s">
        <v>72</v>
      </c>
      <c r="E860" t="s">
        <v>72</v>
      </c>
      <c r="F860" t="s">
        <v>5629</v>
      </c>
      <c r="G860" t="s">
        <v>72</v>
      </c>
      <c r="H860" t="s">
        <v>72</v>
      </c>
      <c r="I860" t="s">
        <v>5630</v>
      </c>
      <c r="J860" t="s">
        <v>5631</v>
      </c>
      <c r="K860" t="s">
        <v>72</v>
      </c>
      <c r="L860" t="s">
        <v>72</v>
      </c>
      <c r="M860" t="s">
        <v>76</v>
      </c>
      <c r="N860" t="s">
        <v>77</v>
      </c>
      <c r="O860" t="s">
        <v>72</v>
      </c>
      <c r="P860" t="s">
        <v>72</v>
      </c>
      <c r="Q860" t="s">
        <v>72</v>
      </c>
      <c r="R860" t="s">
        <v>72</v>
      </c>
      <c r="S860" t="s">
        <v>72</v>
      </c>
      <c r="T860" t="s">
        <v>5632</v>
      </c>
      <c r="U860" t="s">
        <v>5633</v>
      </c>
      <c r="V860" t="s">
        <v>5634</v>
      </c>
      <c r="W860" t="s">
        <v>5635</v>
      </c>
      <c r="X860" t="s">
        <v>5636</v>
      </c>
      <c r="Y860" t="s">
        <v>5637</v>
      </c>
      <c r="Z860" t="s">
        <v>3198</v>
      </c>
      <c r="AA860" t="s">
        <v>5638</v>
      </c>
      <c r="AB860" t="s">
        <v>5639</v>
      </c>
      <c r="AC860" t="s">
        <v>72</v>
      </c>
      <c r="AD860" t="s">
        <v>72</v>
      </c>
      <c r="AE860" t="s">
        <v>72</v>
      </c>
      <c r="AF860" t="s">
        <v>72</v>
      </c>
      <c r="AG860">
        <v>42</v>
      </c>
      <c r="AH860">
        <v>6</v>
      </c>
      <c r="AI860">
        <v>6</v>
      </c>
      <c r="AJ860">
        <v>2</v>
      </c>
      <c r="AK860">
        <v>4</v>
      </c>
      <c r="AL860" t="s">
        <v>5640</v>
      </c>
      <c r="AM860" t="s">
        <v>1280</v>
      </c>
      <c r="AN860" t="s">
        <v>5641</v>
      </c>
      <c r="AO860" t="s">
        <v>5642</v>
      </c>
      <c r="AP860" t="s">
        <v>5643</v>
      </c>
      <c r="AQ860" t="s">
        <v>72</v>
      </c>
      <c r="AR860" t="s">
        <v>5644</v>
      </c>
      <c r="AS860" t="s">
        <v>5645</v>
      </c>
      <c r="AT860" t="s">
        <v>1830</v>
      </c>
      <c r="AU860">
        <v>2021</v>
      </c>
      <c r="AV860">
        <v>118</v>
      </c>
      <c r="AW860">
        <v>18</v>
      </c>
      <c r="AX860" t="s">
        <v>72</v>
      </c>
      <c r="AY860" t="s">
        <v>72</v>
      </c>
      <c r="AZ860" t="s">
        <v>72</v>
      </c>
      <c r="BA860" t="s">
        <v>72</v>
      </c>
      <c r="BB860" t="s">
        <v>72</v>
      </c>
      <c r="BC860" t="s">
        <v>72</v>
      </c>
      <c r="BD860" t="s">
        <v>5646</v>
      </c>
      <c r="BE860" t="s">
        <v>5647</v>
      </c>
      <c r="BF860" t="str">
        <f>HYPERLINK("http://dx.doi.org/10.1073/pnas.2026045118","http://dx.doi.org/10.1073/pnas.2026045118")</f>
        <v>http://dx.doi.org/10.1073/pnas.2026045118</v>
      </c>
      <c r="BG860" t="s">
        <v>72</v>
      </c>
      <c r="BH860" t="s">
        <v>72</v>
      </c>
      <c r="BI860">
        <v>7</v>
      </c>
      <c r="BJ860" t="s">
        <v>5648</v>
      </c>
      <c r="BK860" t="s">
        <v>5649</v>
      </c>
      <c r="BL860" t="s">
        <v>5650</v>
      </c>
      <c r="BM860">
        <v>33903249</v>
      </c>
      <c r="BN860" t="s">
        <v>4581</v>
      </c>
      <c r="BO860" t="s">
        <v>72</v>
      </c>
      <c r="BP860" t="s">
        <v>72</v>
      </c>
      <c r="BQ860" t="s">
        <v>100</v>
      </c>
      <c r="BR860" t="s">
        <v>5651</v>
      </c>
      <c r="BS860" t="str">
        <f>HYPERLINK("https%3A%2F%2Fwww.webofscience.com%2Fwos%2Fwoscc%2Ffull-record%2FWOS:000651325500007","View Full Record in Web of Science")</f>
        <v>View Full Record in Web of Science</v>
      </c>
    </row>
    <row r="861" spans="1:71" hidden="1" x14ac:dyDescent="0.2">
      <c r="A861" t="s">
        <v>70</v>
      </c>
      <c r="B861" t="s">
        <v>8290</v>
      </c>
      <c r="C861" t="s">
        <v>72</v>
      </c>
      <c r="D861" t="s">
        <v>72</v>
      </c>
      <c r="E861" t="s">
        <v>72</v>
      </c>
      <c r="F861" t="s">
        <v>8291</v>
      </c>
      <c r="G861" t="s">
        <v>72</v>
      </c>
      <c r="H861" t="s">
        <v>72</v>
      </c>
      <c r="I861" t="s">
        <v>8292</v>
      </c>
      <c r="J861" t="s">
        <v>8293</v>
      </c>
      <c r="K861" t="s">
        <v>72</v>
      </c>
      <c r="L861" t="s">
        <v>72</v>
      </c>
      <c r="M861" t="s">
        <v>76</v>
      </c>
      <c r="N861" t="s">
        <v>77</v>
      </c>
      <c r="O861" t="s">
        <v>72</v>
      </c>
      <c r="P861" t="s">
        <v>72</v>
      </c>
      <c r="Q861" t="s">
        <v>72</v>
      </c>
      <c r="R861" t="s">
        <v>72</v>
      </c>
      <c r="S861" t="s">
        <v>72</v>
      </c>
      <c r="T861" t="s">
        <v>72</v>
      </c>
      <c r="U861" t="s">
        <v>8294</v>
      </c>
      <c r="V861" t="s">
        <v>8295</v>
      </c>
      <c r="W861" t="s">
        <v>8296</v>
      </c>
      <c r="X861" t="s">
        <v>8297</v>
      </c>
      <c r="Y861" t="s">
        <v>8298</v>
      </c>
      <c r="Z861" t="s">
        <v>6060</v>
      </c>
      <c r="AA861" t="s">
        <v>6061</v>
      </c>
      <c r="AB861" t="s">
        <v>6062</v>
      </c>
      <c r="AC861" t="s">
        <v>8299</v>
      </c>
      <c r="AD861" t="s">
        <v>8300</v>
      </c>
      <c r="AE861" t="s">
        <v>8301</v>
      </c>
      <c r="AF861" t="s">
        <v>72</v>
      </c>
      <c r="AG861">
        <v>55</v>
      </c>
      <c r="AH861">
        <v>11</v>
      </c>
      <c r="AI861">
        <v>11</v>
      </c>
      <c r="AJ861">
        <v>2</v>
      </c>
      <c r="AK861">
        <v>6</v>
      </c>
      <c r="AL861" t="s">
        <v>8302</v>
      </c>
      <c r="AM861" t="s">
        <v>3815</v>
      </c>
      <c r="AN861" t="s">
        <v>8303</v>
      </c>
      <c r="AO861" t="s">
        <v>8304</v>
      </c>
      <c r="AP861" t="s">
        <v>72</v>
      </c>
      <c r="AQ861" t="s">
        <v>72</v>
      </c>
      <c r="AR861" t="s">
        <v>8293</v>
      </c>
      <c r="AS861" t="s">
        <v>8305</v>
      </c>
      <c r="AT861" t="s">
        <v>8306</v>
      </c>
      <c r="AU861">
        <v>2019</v>
      </c>
      <c r="AV861">
        <v>14</v>
      </c>
      <c r="AW861">
        <v>11</v>
      </c>
      <c r="AX861" t="s">
        <v>72</v>
      </c>
      <c r="AY861" t="s">
        <v>72</v>
      </c>
      <c r="AZ861" t="s">
        <v>72</v>
      </c>
      <c r="BA861" t="s">
        <v>72</v>
      </c>
      <c r="BB861" t="s">
        <v>72</v>
      </c>
      <c r="BC861" t="s">
        <v>72</v>
      </c>
      <c r="BD861" t="s">
        <v>8307</v>
      </c>
      <c r="BE861" t="s">
        <v>8308</v>
      </c>
      <c r="BF861" t="str">
        <f>HYPERLINK("http://dx.doi.org/10.1371/journal.pone.0224425","http://dx.doi.org/10.1371/journal.pone.0224425")</f>
        <v>http://dx.doi.org/10.1371/journal.pone.0224425</v>
      </c>
      <c r="BG861" t="s">
        <v>72</v>
      </c>
      <c r="BH861" t="s">
        <v>72</v>
      </c>
      <c r="BI861">
        <v>14</v>
      </c>
      <c r="BJ861" t="s">
        <v>5648</v>
      </c>
      <c r="BK861" t="s">
        <v>5649</v>
      </c>
      <c r="BL861" t="s">
        <v>8309</v>
      </c>
      <c r="BM861">
        <v>31747404</v>
      </c>
      <c r="BN861" t="s">
        <v>910</v>
      </c>
      <c r="BO861" t="s">
        <v>72</v>
      </c>
      <c r="BP861" t="s">
        <v>72</v>
      </c>
      <c r="BQ861" t="s">
        <v>100</v>
      </c>
      <c r="BR861" t="s">
        <v>8310</v>
      </c>
      <c r="BS861" t="str">
        <f>HYPERLINK("https%3A%2F%2Fwww.webofscience.com%2Fwos%2Fwoscc%2Ffull-record%2FWOS:000533881900010","View Full Record in Web of Science")</f>
        <v>View Full Record in Web of Science</v>
      </c>
    </row>
    <row r="862" spans="1:71" hidden="1" x14ac:dyDescent="0.2">
      <c r="A862" t="s">
        <v>70</v>
      </c>
      <c r="B862" t="s">
        <v>10305</v>
      </c>
      <c r="C862" t="s">
        <v>72</v>
      </c>
      <c r="D862" t="s">
        <v>72</v>
      </c>
      <c r="E862" t="s">
        <v>72</v>
      </c>
      <c r="F862" t="s">
        <v>10306</v>
      </c>
      <c r="G862" t="s">
        <v>72</v>
      </c>
      <c r="H862" t="s">
        <v>72</v>
      </c>
      <c r="I862" t="s">
        <v>10307</v>
      </c>
      <c r="J862" t="s">
        <v>8293</v>
      </c>
      <c r="K862" t="s">
        <v>72</v>
      </c>
      <c r="L862" t="s">
        <v>72</v>
      </c>
      <c r="M862" t="s">
        <v>76</v>
      </c>
      <c r="N862" t="s">
        <v>77</v>
      </c>
      <c r="O862" t="s">
        <v>72</v>
      </c>
      <c r="P862" t="s">
        <v>72</v>
      </c>
      <c r="Q862" t="s">
        <v>72</v>
      </c>
      <c r="R862" t="s">
        <v>72</v>
      </c>
      <c r="S862" t="s">
        <v>72</v>
      </c>
      <c r="T862" t="s">
        <v>72</v>
      </c>
      <c r="U862" t="s">
        <v>10308</v>
      </c>
      <c r="V862" t="s">
        <v>10309</v>
      </c>
      <c r="W862" t="s">
        <v>10310</v>
      </c>
      <c r="X862" t="s">
        <v>10311</v>
      </c>
      <c r="Y862" t="s">
        <v>10312</v>
      </c>
      <c r="Z862" t="s">
        <v>10313</v>
      </c>
      <c r="AA862" t="s">
        <v>10314</v>
      </c>
      <c r="AB862" t="s">
        <v>10315</v>
      </c>
      <c r="AC862" t="s">
        <v>10316</v>
      </c>
      <c r="AD862" t="s">
        <v>10316</v>
      </c>
      <c r="AE862" t="s">
        <v>10317</v>
      </c>
      <c r="AF862" t="s">
        <v>72</v>
      </c>
      <c r="AG862">
        <v>98</v>
      </c>
      <c r="AH862">
        <v>36</v>
      </c>
      <c r="AI862">
        <v>38</v>
      </c>
      <c r="AJ862">
        <v>3</v>
      </c>
      <c r="AK862">
        <v>46</v>
      </c>
      <c r="AL862" t="s">
        <v>8302</v>
      </c>
      <c r="AM862" t="s">
        <v>3815</v>
      </c>
      <c r="AN862" t="s">
        <v>8303</v>
      </c>
      <c r="AO862" t="s">
        <v>8304</v>
      </c>
      <c r="AP862" t="s">
        <v>72</v>
      </c>
      <c r="AQ862" t="s">
        <v>72</v>
      </c>
      <c r="AR862" t="s">
        <v>8293</v>
      </c>
      <c r="AS862" t="s">
        <v>8305</v>
      </c>
      <c r="AT862" t="s">
        <v>10318</v>
      </c>
      <c r="AU862">
        <v>2015</v>
      </c>
      <c r="AV862">
        <v>10</v>
      </c>
      <c r="AW862">
        <v>1</v>
      </c>
      <c r="AX862" t="s">
        <v>72</v>
      </c>
      <c r="AY862" t="s">
        <v>72</v>
      </c>
      <c r="AZ862" t="s">
        <v>72</v>
      </c>
      <c r="BA862" t="s">
        <v>72</v>
      </c>
      <c r="BB862" t="s">
        <v>72</v>
      </c>
      <c r="BC862" t="s">
        <v>72</v>
      </c>
      <c r="BD862" t="s">
        <v>10319</v>
      </c>
      <c r="BE862" t="s">
        <v>10320</v>
      </c>
      <c r="BF862" t="str">
        <f>HYPERLINK("http://dx.doi.org/10.1371/journal.pone.0117426","http://dx.doi.org/10.1371/journal.pone.0117426")</f>
        <v>http://dx.doi.org/10.1371/journal.pone.0117426</v>
      </c>
      <c r="BG862" t="s">
        <v>72</v>
      </c>
      <c r="BH862" t="s">
        <v>72</v>
      </c>
      <c r="BI862">
        <v>12</v>
      </c>
      <c r="BJ862" t="s">
        <v>5648</v>
      </c>
      <c r="BK862" t="s">
        <v>5649</v>
      </c>
      <c r="BL862" t="s">
        <v>10321</v>
      </c>
      <c r="BM862">
        <v>25625722</v>
      </c>
      <c r="BN862" t="s">
        <v>910</v>
      </c>
      <c r="BO862" t="s">
        <v>72</v>
      </c>
      <c r="BP862" t="s">
        <v>72</v>
      </c>
      <c r="BQ862" t="s">
        <v>100</v>
      </c>
      <c r="BR862" t="s">
        <v>10322</v>
      </c>
      <c r="BS862" t="str">
        <f>HYPERLINK("https%3A%2F%2Fwww.webofscience.com%2Fwos%2Fwoscc%2Ffull-record%2FWOS:000348821400034","View Full Record in Web of Science")</f>
        <v>View Full Record in Web of Science</v>
      </c>
    </row>
    <row r="863" spans="1:71" hidden="1" x14ac:dyDescent="0.2">
      <c r="A863" t="s">
        <v>70</v>
      </c>
      <c r="B863" t="s">
        <v>10408</v>
      </c>
      <c r="C863" t="s">
        <v>72</v>
      </c>
      <c r="D863" t="s">
        <v>72</v>
      </c>
      <c r="E863" t="s">
        <v>72</v>
      </c>
      <c r="F863" t="s">
        <v>10409</v>
      </c>
      <c r="G863" t="s">
        <v>72</v>
      </c>
      <c r="H863" t="s">
        <v>72</v>
      </c>
      <c r="I863" t="s">
        <v>10410</v>
      </c>
      <c r="J863" t="s">
        <v>8293</v>
      </c>
      <c r="K863" t="s">
        <v>72</v>
      </c>
      <c r="L863" t="s">
        <v>72</v>
      </c>
      <c r="M863" t="s">
        <v>76</v>
      </c>
      <c r="N863" t="s">
        <v>77</v>
      </c>
      <c r="O863" t="s">
        <v>72</v>
      </c>
      <c r="P863" t="s">
        <v>72</v>
      </c>
      <c r="Q863" t="s">
        <v>72</v>
      </c>
      <c r="R863" t="s">
        <v>72</v>
      </c>
      <c r="S863" t="s">
        <v>72</v>
      </c>
      <c r="T863" t="s">
        <v>72</v>
      </c>
      <c r="U863" t="s">
        <v>10411</v>
      </c>
      <c r="V863" t="s">
        <v>10412</v>
      </c>
      <c r="W863" t="s">
        <v>10413</v>
      </c>
      <c r="X863" t="s">
        <v>72</v>
      </c>
      <c r="Y863" t="s">
        <v>10414</v>
      </c>
      <c r="Z863" t="s">
        <v>10415</v>
      </c>
      <c r="AA863" t="s">
        <v>72</v>
      </c>
      <c r="AB863" t="s">
        <v>10416</v>
      </c>
      <c r="AC863" t="s">
        <v>72</v>
      </c>
      <c r="AD863" t="s">
        <v>72</v>
      </c>
      <c r="AE863" t="s">
        <v>72</v>
      </c>
      <c r="AF863" t="s">
        <v>72</v>
      </c>
      <c r="AG863">
        <v>21</v>
      </c>
      <c r="AH863">
        <v>2</v>
      </c>
      <c r="AI863">
        <v>2</v>
      </c>
      <c r="AJ863">
        <v>0</v>
      </c>
      <c r="AK863">
        <v>1</v>
      </c>
      <c r="AL863" t="s">
        <v>8302</v>
      </c>
      <c r="AM863" t="s">
        <v>3815</v>
      </c>
      <c r="AN863" t="s">
        <v>8303</v>
      </c>
      <c r="AO863" t="s">
        <v>8304</v>
      </c>
      <c r="AP863" t="s">
        <v>72</v>
      </c>
      <c r="AQ863" t="s">
        <v>72</v>
      </c>
      <c r="AR863" t="s">
        <v>8293</v>
      </c>
      <c r="AS863" t="s">
        <v>8305</v>
      </c>
      <c r="AT863" t="s">
        <v>907</v>
      </c>
      <c r="AU863">
        <v>2020</v>
      </c>
      <c r="AV863">
        <v>15</v>
      </c>
      <c r="AW863">
        <v>5</v>
      </c>
      <c r="AX863" t="s">
        <v>72</v>
      </c>
      <c r="AY863" t="s">
        <v>72</v>
      </c>
      <c r="AZ863" t="s">
        <v>72</v>
      </c>
      <c r="BA863" t="s">
        <v>72</v>
      </c>
      <c r="BB863" t="s">
        <v>72</v>
      </c>
      <c r="BC863" t="s">
        <v>72</v>
      </c>
      <c r="BD863" t="s">
        <v>10417</v>
      </c>
      <c r="BE863" t="s">
        <v>10418</v>
      </c>
      <c r="BF863" t="str">
        <f>HYPERLINK("http://dx.doi.org/10.1371/journal.pone.0233438","http://dx.doi.org/10.1371/journal.pone.0233438")</f>
        <v>http://dx.doi.org/10.1371/journal.pone.0233438</v>
      </c>
      <c r="BG863" t="s">
        <v>72</v>
      </c>
      <c r="BH863" t="s">
        <v>72</v>
      </c>
      <c r="BI863">
        <v>20</v>
      </c>
      <c r="BJ863" t="s">
        <v>5648</v>
      </c>
      <c r="BK863" t="s">
        <v>5649</v>
      </c>
      <c r="BL863" t="s">
        <v>10419</v>
      </c>
      <c r="BM863">
        <v>32459809</v>
      </c>
      <c r="BN863" t="s">
        <v>1975</v>
      </c>
      <c r="BO863" t="s">
        <v>72</v>
      </c>
      <c r="BP863" t="s">
        <v>72</v>
      </c>
      <c r="BQ863" t="s">
        <v>100</v>
      </c>
      <c r="BR863" t="s">
        <v>10420</v>
      </c>
      <c r="BS863" t="str">
        <f>HYPERLINK("https%3A%2F%2Fwww.webofscience.com%2Fwos%2Fwoscc%2Ffull-record%2FWOS:000537531500019","View Full Record in Web of Science")</f>
        <v>View Full Record in Web of Science</v>
      </c>
    </row>
    <row r="864" spans="1:71" hidden="1" x14ac:dyDescent="0.2">
      <c r="A864" t="s">
        <v>70</v>
      </c>
      <c r="B864" t="s">
        <v>10563</v>
      </c>
      <c r="C864" t="s">
        <v>72</v>
      </c>
      <c r="D864" t="s">
        <v>72</v>
      </c>
      <c r="E864" t="s">
        <v>72</v>
      </c>
      <c r="F864" t="s">
        <v>10564</v>
      </c>
      <c r="G864" t="s">
        <v>72</v>
      </c>
      <c r="H864" t="s">
        <v>72</v>
      </c>
      <c r="I864" t="s">
        <v>10565</v>
      </c>
      <c r="J864" t="s">
        <v>10566</v>
      </c>
      <c r="K864" t="s">
        <v>72</v>
      </c>
      <c r="L864" t="s">
        <v>72</v>
      </c>
      <c r="M864" t="s">
        <v>76</v>
      </c>
      <c r="N864" t="s">
        <v>77</v>
      </c>
      <c r="O864" t="s">
        <v>72</v>
      </c>
      <c r="P864" t="s">
        <v>72</v>
      </c>
      <c r="Q864" t="s">
        <v>72</v>
      </c>
      <c r="R864" t="s">
        <v>72</v>
      </c>
      <c r="S864" t="s">
        <v>72</v>
      </c>
      <c r="T864" t="s">
        <v>72</v>
      </c>
      <c r="U864" t="s">
        <v>8692</v>
      </c>
      <c r="V864" t="s">
        <v>10567</v>
      </c>
      <c r="W864" t="s">
        <v>10568</v>
      </c>
      <c r="X864" t="s">
        <v>10569</v>
      </c>
      <c r="Y864" t="s">
        <v>10570</v>
      </c>
      <c r="Z864" t="s">
        <v>10571</v>
      </c>
      <c r="AA864" t="s">
        <v>72</v>
      </c>
      <c r="AB864" t="s">
        <v>72</v>
      </c>
      <c r="AC864" t="s">
        <v>10572</v>
      </c>
      <c r="AD864" t="s">
        <v>10573</v>
      </c>
      <c r="AE864" t="s">
        <v>10574</v>
      </c>
      <c r="AF864" t="s">
        <v>72</v>
      </c>
      <c r="AG864">
        <v>57</v>
      </c>
      <c r="AH864">
        <v>0</v>
      </c>
      <c r="AI864">
        <v>0</v>
      </c>
      <c r="AJ864">
        <v>3</v>
      </c>
      <c r="AK864">
        <v>3</v>
      </c>
      <c r="AL864" t="s">
        <v>10575</v>
      </c>
      <c r="AM864" t="s">
        <v>1280</v>
      </c>
      <c r="AN864" t="s">
        <v>10576</v>
      </c>
      <c r="AO864" t="s">
        <v>10577</v>
      </c>
      <c r="AP864" t="s">
        <v>72</v>
      </c>
      <c r="AQ864" t="s">
        <v>72</v>
      </c>
      <c r="AR864" t="s">
        <v>10578</v>
      </c>
      <c r="AS864" t="s">
        <v>10579</v>
      </c>
      <c r="AT864" t="s">
        <v>10580</v>
      </c>
      <c r="AU864">
        <v>2022</v>
      </c>
      <c r="AV864">
        <v>8</v>
      </c>
      <c r="AW864">
        <v>42</v>
      </c>
      <c r="AX864" t="s">
        <v>72</v>
      </c>
      <c r="AY864" t="s">
        <v>72</v>
      </c>
      <c r="AZ864" t="s">
        <v>72</v>
      </c>
      <c r="BA864" t="s">
        <v>72</v>
      </c>
      <c r="BB864" t="s">
        <v>72</v>
      </c>
      <c r="BC864" t="s">
        <v>72</v>
      </c>
      <c r="BD864" t="s">
        <v>10581</v>
      </c>
      <c r="BE864" t="s">
        <v>10582</v>
      </c>
      <c r="BF864" t="str">
        <f>HYPERLINK("http://dx.doi.org/10.1126/sciadv.abg2652","http://dx.doi.org/10.1126/sciadv.abg2652")</f>
        <v>http://dx.doi.org/10.1126/sciadv.abg2652</v>
      </c>
      <c r="BG864" t="s">
        <v>72</v>
      </c>
      <c r="BH864" t="s">
        <v>72</v>
      </c>
      <c r="BI864">
        <v>13</v>
      </c>
      <c r="BJ864" t="s">
        <v>5648</v>
      </c>
      <c r="BK864" t="s">
        <v>5649</v>
      </c>
      <c r="BL864" t="s">
        <v>10583</v>
      </c>
      <c r="BM864">
        <v>36260669</v>
      </c>
      <c r="BN864" t="s">
        <v>2991</v>
      </c>
      <c r="BO864" t="s">
        <v>72</v>
      </c>
      <c r="BP864" t="s">
        <v>72</v>
      </c>
      <c r="BQ864" t="s">
        <v>100</v>
      </c>
      <c r="BR864" t="s">
        <v>10584</v>
      </c>
      <c r="BS864" t="str">
        <f>HYPERLINK("https%3A%2F%2Fwww.webofscience.com%2Fwos%2Fwoscc%2Ffull-record%2FWOS:000880308800003","View Full Record in Web of Science")</f>
        <v>View Full Record in Web of Science</v>
      </c>
    </row>
    <row r="865" spans="1:71" hidden="1" x14ac:dyDescent="0.2">
      <c r="A865" t="s">
        <v>70</v>
      </c>
      <c r="B865" t="s">
        <v>11561</v>
      </c>
      <c r="C865" t="s">
        <v>72</v>
      </c>
      <c r="D865" t="s">
        <v>72</v>
      </c>
      <c r="E865" t="s">
        <v>72</v>
      </c>
      <c r="F865" t="s">
        <v>11562</v>
      </c>
      <c r="G865" t="s">
        <v>72</v>
      </c>
      <c r="H865" t="s">
        <v>72</v>
      </c>
      <c r="I865" t="s">
        <v>11563</v>
      </c>
      <c r="J865" t="s">
        <v>5631</v>
      </c>
      <c r="K865" t="s">
        <v>72</v>
      </c>
      <c r="L865" t="s">
        <v>72</v>
      </c>
      <c r="M865" t="s">
        <v>76</v>
      </c>
      <c r="N865" t="s">
        <v>77</v>
      </c>
      <c r="O865" t="s">
        <v>72</v>
      </c>
      <c r="P865" t="s">
        <v>72</v>
      </c>
      <c r="Q865" t="s">
        <v>72</v>
      </c>
      <c r="R865" t="s">
        <v>72</v>
      </c>
      <c r="S865" t="s">
        <v>72</v>
      </c>
      <c r="T865" t="s">
        <v>11564</v>
      </c>
      <c r="U865" t="s">
        <v>11565</v>
      </c>
      <c r="V865" t="s">
        <v>11566</v>
      </c>
      <c r="W865" t="s">
        <v>11567</v>
      </c>
      <c r="X865" t="s">
        <v>11568</v>
      </c>
      <c r="Y865" t="s">
        <v>11569</v>
      </c>
      <c r="Z865" t="s">
        <v>11570</v>
      </c>
      <c r="AA865" t="s">
        <v>293</v>
      </c>
      <c r="AB865" t="s">
        <v>11571</v>
      </c>
      <c r="AC865" t="s">
        <v>11572</v>
      </c>
      <c r="AD865" t="s">
        <v>11573</v>
      </c>
      <c r="AE865" t="s">
        <v>11574</v>
      </c>
      <c r="AF865" t="s">
        <v>72</v>
      </c>
      <c r="AG865">
        <v>60</v>
      </c>
      <c r="AH865">
        <v>34</v>
      </c>
      <c r="AI865">
        <v>34</v>
      </c>
      <c r="AJ865">
        <v>3</v>
      </c>
      <c r="AK865">
        <v>18</v>
      </c>
      <c r="AL865" t="s">
        <v>5640</v>
      </c>
      <c r="AM865" t="s">
        <v>1280</v>
      </c>
      <c r="AN865" t="s">
        <v>5641</v>
      </c>
      <c r="AO865" t="s">
        <v>5642</v>
      </c>
      <c r="AP865" t="s">
        <v>72</v>
      </c>
      <c r="AQ865" t="s">
        <v>72</v>
      </c>
      <c r="AR865" t="s">
        <v>5644</v>
      </c>
      <c r="AS865" t="s">
        <v>5645</v>
      </c>
      <c r="AT865" t="s">
        <v>11575</v>
      </c>
      <c r="AU865">
        <v>2016</v>
      </c>
      <c r="AV865">
        <v>113</v>
      </c>
      <c r="AW865">
        <v>49</v>
      </c>
      <c r="AX865" t="s">
        <v>72</v>
      </c>
      <c r="AY865" t="s">
        <v>72</v>
      </c>
      <c r="AZ865" t="s">
        <v>72</v>
      </c>
      <c r="BA865" t="s">
        <v>72</v>
      </c>
      <c r="BB865" t="s">
        <v>11576</v>
      </c>
      <c r="BC865" t="s">
        <v>11577</v>
      </c>
      <c r="BD865" t="s">
        <v>72</v>
      </c>
      <c r="BE865" t="s">
        <v>11578</v>
      </c>
      <c r="BF865" t="str">
        <f>HYPERLINK("http://dx.doi.org/10.1073/pnas.1612058113","http://dx.doi.org/10.1073/pnas.1612058113")</f>
        <v>http://dx.doi.org/10.1073/pnas.1612058113</v>
      </c>
      <c r="BG865" t="s">
        <v>72</v>
      </c>
      <c r="BH865" t="s">
        <v>72</v>
      </c>
      <c r="BI865">
        <v>9</v>
      </c>
      <c r="BJ865" t="s">
        <v>5648</v>
      </c>
      <c r="BK865" t="s">
        <v>5649</v>
      </c>
      <c r="BL865" t="s">
        <v>11579</v>
      </c>
      <c r="BM865">
        <v>27872286</v>
      </c>
      <c r="BN865" t="s">
        <v>795</v>
      </c>
      <c r="BO865" t="s">
        <v>72</v>
      </c>
      <c r="BP865" t="s">
        <v>72</v>
      </c>
      <c r="BQ865" t="s">
        <v>100</v>
      </c>
      <c r="BR865" t="s">
        <v>11580</v>
      </c>
      <c r="BS865" t="str">
        <f>HYPERLINK("https%3A%2F%2Fwww.webofscience.com%2Fwos%2Fwoscc%2Ffull-record%2FWOS:000389536700001","View Full Record in Web of Science")</f>
        <v>View Full Record in Web of Science</v>
      </c>
    </row>
    <row r="866" spans="1:71" hidden="1" x14ac:dyDescent="0.2">
      <c r="A866" t="s">
        <v>70</v>
      </c>
      <c r="B866" t="s">
        <v>12728</v>
      </c>
      <c r="C866" t="s">
        <v>72</v>
      </c>
      <c r="D866" t="s">
        <v>72</v>
      </c>
      <c r="E866" t="s">
        <v>72</v>
      </c>
      <c r="F866" t="s">
        <v>12729</v>
      </c>
      <c r="G866" t="s">
        <v>72</v>
      </c>
      <c r="H866" t="s">
        <v>72</v>
      </c>
      <c r="I866" t="s">
        <v>12730</v>
      </c>
      <c r="J866" t="s">
        <v>8293</v>
      </c>
      <c r="K866" t="s">
        <v>72</v>
      </c>
      <c r="L866" t="s">
        <v>72</v>
      </c>
      <c r="M866" t="s">
        <v>76</v>
      </c>
      <c r="N866" t="s">
        <v>77</v>
      </c>
      <c r="O866" t="s">
        <v>72</v>
      </c>
      <c r="P866" t="s">
        <v>72</v>
      </c>
      <c r="Q866" t="s">
        <v>72</v>
      </c>
      <c r="R866" t="s">
        <v>72</v>
      </c>
      <c r="S866" t="s">
        <v>72</v>
      </c>
      <c r="T866" t="s">
        <v>72</v>
      </c>
      <c r="U866" t="s">
        <v>12731</v>
      </c>
      <c r="V866" t="s">
        <v>12732</v>
      </c>
      <c r="W866" t="s">
        <v>12733</v>
      </c>
      <c r="X866" t="s">
        <v>1373</v>
      </c>
      <c r="Y866" t="s">
        <v>12734</v>
      </c>
      <c r="Z866" t="s">
        <v>12735</v>
      </c>
      <c r="AA866" t="s">
        <v>1376</v>
      </c>
      <c r="AB866" t="s">
        <v>1377</v>
      </c>
      <c r="AC866" t="s">
        <v>12736</v>
      </c>
      <c r="AD866" t="s">
        <v>12736</v>
      </c>
      <c r="AE866" t="s">
        <v>12737</v>
      </c>
      <c r="AF866" t="s">
        <v>72</v>
      </c>
      <c r="AG866">
        <v>62</v>
      </c>
      <c r="AH866">
        <v>0</v>
      </c>
      <c r="AI866">
        <v>0</v>
      </c>
      <c r="AJ866">
        <v>2</v>
      </c>
      <c r="AK866">
        <v>7</v>
      </c>
      <c r="AL866" t="s">
        <v>8302</v>
      </c>
      <c r="AM866" t="s">
        <v>3815</v>
      </c>
      <c r="AN866" t="s">
        <v>8303</v>
      </c>
      <c r="AO866" t="s">
        <v>8304</v>
      </c>
      <c r="AP866" t="s">
        <v>72</v>
      </c>
      <c r="AQ866" t="s">
        <v>72</v>
      </c>
      <c r="AR866" t="s">
        <v>8293</v>
      </c>
      <c r="AS866" t="s">
        <v>8305</v>
      </c>
      <c r="AT866" t="s">
        <v>12738</v>
      </c>
      <c r="AU866">
        <v>2021</v>
      </c>
      <c r="AV866">
        <v>16</v>
      </c>
      <c r="AW866">
        <v>2</v>
      </c>
      <c r="AX866" t="s">
        <v>72</v>
      </c>
      <c r="AY866" t="s">
        <v>72</v>
      </c>
      <c r="AZ866" t="s">
        <v>72</v>
      </c>
      <c r="BA866" t="s">
        <v>72</v>
      </c>
      <c r="BB866" t="s">
        <v>72</v>
      </c>
      <c r="BC866" t="s">
        <v>72</v>
      </c>
      <c r="BD866" t="s">
        <v>12739</v>
      </c>
      <c r="BE866" t="s">
        <v>12740</v>
      </c>
      <c r="BF866" t="str">
        <f>HYPERLINK("http://dx.doi.org/10.1371/journal.pone.0245515","http://dx.doi.org/10.1371/journal.pone.0245515")</f>
        <v>http://dx.doi.org/10.1371/journal.pone.0245515</v>
      </c>
      <c r="BG866" t="s">
        <v>72</v>
      </c>
      <c r="BH866" t="s">
        <v>72</v>
      </c>
      <c r="BI866">
        <v>28</v>
      </c>
      <c r="BJ866" t="s">
        <v>5648</v>
      </c>
      <c r="BK866" t="s">
        <v>5649</v>
      </c>
      <c r="BL866" t="s">
        <v>12741</v>
      </c>
      <c r="BM866">
        <v>33539389</v>
      </c>
      <c r="BN866" t="s">
        <v>6101</v>
      </c>
      <c r="BO866" t="s">
        <v>72</v>
      </c>
      <c r="BP866" t="s">
        <v>72</v>
      </c>
      <c r="BQ866" t="s">
        <v>100</v>
      </c>
      <c r="BR866" t="s">
        <v>12742</v>
      </c>
      <c r="BS866" t="str">
        <f>HYPERLINK("https%3A%2F%2Fwww.webofscience.com%2Fwos%2Fwoscc%2Ffull-record%2FWOS:000616960200111","View Full Record in Web of Science")</f>
        <v>View Full Record in Web of Science</v>
      </c>
    </row>
    <row r="867" spans="1:71" hidden="1" x14ac:dyDescent="0.2">
      <c r="A867" t="s">
        <v>70</v>
      </c>
      <c r="B867" t="s">
        <v>12823</v>
      </c>
      <c r="C867" t="s">
        <v>72</v>
      </c>
      <c r="D867" t="s">
        <v>72</v>
      </c>
      <c r="E867" t="s">
        <v>72</v>
      </c>
      <c r="F867" t="s">
        <v>12824</v>
      </c>
      <c r="G867" t="s">
        <v>72</v>
      </c>
      <c r="H867" t="s">
        <v>72</v>
      </c>
      <c r="I867" t="s">
        <v>12825</v>
      </c>
      <c r="J867" t="s">
        <v>12826</v>
      </c>
      <c r="K867" t="s">
        <v>72</v>
      </c>
      <c r="L867" t="s">
        <v>72</v>
      </c>
      <c r="M867" t="s">
        <v>76</v>
      </c>
      <c r="N867" t="s">
        <v>77</v>
      </c>
      <c r="O867" t="s">
        <v>72</v>
      </c>
      <c r="P867" t="s">
        <v>72</v>
      </c>
      <c r="Q867" t="s">
        <v>72</v>
      </c>
      <c r="R867" t="s">
        <v>72</v>
      </c>
      <c r="S867" t="s">
        <v>72</v>
      </c>
      <c r="T867" t="s">
        <v>72</v>
      </c>
      <c r="U867" t="s">
        <v>12827</v>
      </c>
      <c r="V867" t="s">
        <v>12828</v>
      </c>
      <c r="W867" t="s">
        <v>12829</v>
      </c>
      <c r="X867" t="s">
        <v>12830</v>
      </c>
      <c r="Y867" t="s">
        <v>12831</v>
      </c>
      <c r="Z867" t="s">
        <v>12832</v>
      </c>
      <c r="AA867" t="s">
        <v>12833</v>
      </c>
      <c r="AB867" t="s">
        <v>12834</v>
      </c>
      <c r="AC867" t="s">
        <v>12835</v>
      </c>
      <c r="AD867" t="s">
        <v>9572</v>
      </c>
      <c r="AE867" t="s">
        <v>12836</v>
      </c>
      <c r="AF867" t="s">
        <v>72</v>
      </c>
      <c r="AG867">
        <v>37</v>
      </c>
      <c r="AH867">
        <v>3</v>
      </c>
      <c r="AI867">
        <v>3</v>
      </c>
      <c r="AJ867">
        <v>0</v>
      </c>
      <c r="AK867">
        <v>9</v>
      </c>
      <c r="AL867" t="s">
        <v>8066</v>
      </c>
      <c r="AM867" t="s">
        <v>337</v>
      </c>
      <c r="AN867" t="s">
        <v>8067</v>
      </c>
      <c r="AO867" t="s">
        <v>12837</v>
      </c>
      <c r="AP867" t="s">
        <v>72</v>
      </c>
      <c r="AQ867" t="s">
        <v>72</v>
      </c>
      <c r="AR867" t="s">
        <v>12838</v>
      </c>
      <c r="AS867" t="s">
        <v>12839</v>
      </c>
      <c r="AT867" t="s">
        <v>12840</v>
      </c>
      <c r="AU867">
        <v>2017</v>
      </c>
      <c r="AV867">
        <v>7</v>
      </c>
      <c r="AW867" t="s">
        <v>72</v>
      </c>
      <c r="AX867" t="s">
        <v>72</v>
      </c>
      <c r="AY867" t="s">
        <v>72</v>
      </c>
      <c r="AZ867" t="s">
        <v>72</v>
      </c>
      <c r="BA867" t="s">
        <v>72</v>
      </c>
      <c r="BB867" t="s">
        <v>72</v>
      </c>
      <c r="BC867" t="s">
        <v>72</v>
      </c>
      <c r="BD867">
        <v>14989</v>
      </c>
      <c r="BE867" t="s">
        <v>12841</v>
      </c>
      <c r="BF867" t="str">
        <f>HYPERLINK("http://dx.doi.org/10.1038/s41598-017-14433-6","http://dx.doi.org/10.1038/s41598-017-14433-6")</f>
        <v>http://dx.doi.org/10.1038/s41598-017-14433-6</v>
      </c>
      <c r="BG867" t="s">
        <v>72</v>
      </c>
      <c r="BH867" t="s">
        <v>72</v>
      </c>
      <c r="BI867">
        <v>13</v>
      </c>
      <c r="BJ867" t="s">
        <v>5648</v>
      </c>
      <c r="BK867" t="s">
        <v>5649</v>
      </c>
      <c r="BL867" t="s">
        <v>12842</v>
      </c>
      <c r="BM867">
        <v>29118403</v>
      </c>
      <c r="BN867" t="s">
        <v>910</v>
      </c>
      <c r="BO867" t="s">
        <v>72</v>
      </c>
      <c r="BP867" t="s">
        <v>72</v>
      </c>
      <c r="BQ867" t="s">
        <v>100</v>
      </c>
      <c r="BR867" t="s">
        <v>12843</v>
      </c>
      <c r="BS867" t="str">
        <f>HYPERLINK("https%3A%2F%2Fwww.webofscience.com%2Fwos%2Fwoscc%2Ffull-record%2FWOS:000414641900004","View Full Record in Web of Science")</f>
        <v>View Full Record in Web of Science</v>
      </c>
    </row>
    <row r="868" spans="1:71" hidden="1" x14ac:dyDescent="0.2">
      <c r="A868" t="s">
        <v>70</v>
      </c>
      <c r="B868" t="s">
        <v>12868</v>
      </c>
      <c r="C868" t="s">
        <v>72</v>
      </c>
      <c r="D868" t="s">
        <v>72</v>
      </c>
      <c r="E868" t="s">
        <v>72</v>
      </c>
      <c r="F868" t="s">
        <v>12869</v>
      </c>
      <c r="G868" t="s">
        <v>72</v>
      </c>
      <c r="H868" t="s">
        <v>72</v>
      </c>
      <c r="I868" t="s">
        <v>12870</v>
      </c>
      <c r="J868" t="s">
        <v>8293</v>
      </c>
      <c r="K868" t="s">
        <v>72</v>
      </c>
      <c r="L868" t="s">
        <v>72</v>
      </c>
      <c r="M868" t="s">
        <v>76</v>
      </c>
      <c r="N868" t="s">
        <v>77</v>
      </c>
      <c r="O868" t="s">
        <v>72</v>
      </c>
      <c r="P868" t="s">
        <v>72</v>
      </c>
      <c r="Q868" t="s">
        <v>72</v>
      </c>
      <c r="R868" t="s">
        <v>72</v>
      </c>
      <c r="S868" t="s">
        <v>72</v>
      </c>
      <c r="T868" t="s">
        <v>72</v>
      </c>
      <c r="U868" t="s">
        <v>12871</v>
      </c>
      <c r="V868" t="s">
        <v>12872</v>
      </c>
      <c r="W868" t="s">
        <v>12873</v>
      </c>
      <c r="X868" t="s">
        <v>9056</v>
      </c>
      <c r="Y868" t="s">
        <v>12874</v>
      </c>
      <c r="Z868" t="s">
        <v>12875</v>
      </c>
      <c r="AA868" t="s">
        <v>72</v>
      </c>
      <c r="AB868" t="s">
        <v>72</v>
      </c>
      <c r="AC868" t="s">
        <v>12876</v>
      </c>
      <c r="AD868" t="s">
        <v>12877</v>
      </c>
      <c r="AE868" t="s">
        <v>12878</v>
      </c>
      <c r="AF868" t="s">
        <v>72</v>
      </c>
      <c r="AG868">
        <v>56</v>
      </c>
      <c r="AH868">
        <v>0</v>
      </c>
      <c r="AI868">
        <v>0</v>
      </c>
      <c r="AJ868">
        <v>6</v>
      </c>
      <c r="AK868">
        <v>11</v>
      </c>
      <c r="AL868" t="s">
        <v>8302</v>
      </c>
      <c r="AM868" t="s">
        <v>3815</v>
      </c>
      <c r="AN868" t="s">
        <v>8303</v>
      </c>
      <c r="AO868" t="s">
        <v>8304</v>
      </c>
      <c r="AP868" t="s">
        <v>72</v>
      </c>
      <c r="AQ868" t="s">
        <v>72</v>
      </c>
      <c r="AR868" t="s">
        <v>8293</v>
      </c>
      <c r="AS868" t="s">
        <v>8305</v>
      </c>
      <c r="AT868" t="s">
        <v>12879</v>
      </c>
      <c r="AU868">
        <v>2021</v>
      </c>
      <c r="AV868">
        <v>16</v>
      </c>
      <c r="AW868">
        <v>10</v>
      </c>
      <c r="AX868" t="s">
        <v>72</v>
      </c>
      <c r="AY868" t="s">
        <v>72</v>
      </c>
      <c r="AZ868" t="s">
        <v>72</v>
      </c>
      <c r="BA868" t="s">
        <v>72</v>
      </c>
      <c r="BB868" t="s">
        <v>72</v>
      </c>
      <c r="BC868" t="s">
        <v>72</v>
      </c>
      <c r="BD868" t="s">
        <v>12880</v>
      </c>
      <c r="BE868" t="s">
        <v>12881</v>
      </c>
      <c r="BF868" t="str">
        <f>HYPERLINK("http://dx.doi.org/10.1371/journal.pone.0257732","http://dx.doi.org/10.1371/journal.pone.0257732")</f>
        <v>http://dx.doi.org/10.1371/journal.pone.0257732</v>
      </c>
      <c r="BG868" t="s">
        <v>72</v>
      </c>
      <c r="BH868" t="s">
        <v>72</v>
      </c>
      <c r="BI868">
        <v>20</v>
      </c>
      <c r="BJ868" t="s">
        <v>5648</v>
      </c>
      <c r="BK868" t="s">
        <v>5649</v>
      </c>
      <c r="BL868" t="s">
        <v>12882</v>
      </c>
      <c r="BM868" t="s">
        <v>72</v>
      </c>
      <c r="BN868" t="s">
        <v>910</v>
      </c>
      <c r="BO868" t="s">
        <v>72</v>
      </c>
      <c r="BP868" t="s">
        <v>72</v>
      </c>
      <c r="BQ868" t="s">
        <v>100</v>
      </c>
      <c r="BR868" t="s">
        <v>12883</v>
      </c>
      <c r="BS868" t="str">
        <f>HYPERLINK("https%3A%2F%2Fwww.webofscience.com%2Fwos%2Fwoscc%2Ffull-record%2FWOS:000746969100011","View Full Record in Web of Science")</f>
        <v>View Full Record in Web of Science</v>
      </c>
    </row>
    <row r="869" spans="1:71" hidden="1" x14ac:dyDescent="0.2">
      <c r="A869" t="s">
        <v>70</v>
      </c>
      <c r="B869" t="s">
        <v>14066</v>
      </c>
      <c r="C869" t="s">
        <v>72</v>
      </c>
      <c r="D869" t="s">
        <v>72</v>
      </c>
      <c r="E869" t="s">
        <v>72</v>
      </c>
      <c r="F869" t="s">
        <v>14067</v>
      </c>
      <c r="G869" t="s">
        <v>72</v>
      </c>
      <c r="H869" t="s">
        <v>72</v>
      </c>
      <c r="I869" t="s">
        <v>14068</v>
      </c>
      <c r="J869" t="s">
        <v>8293</v>
      </c>
      <c r="K869" t="s">
        <v>72</v>
      </c>
      <c r="L869" t="s">
        <v>72</v>
      </c>
      <c r="M869" t="s">
        <v>76</v>
      </c>
      <c r="N869" t="s">
        <v>77</v>
      </c>
      <c r="O869" t="s">
        <v>72</v>
      </c>
      <c r="P869" t="s">
        <v>72</v>
      </c>
      <c r="Q869" t="s">
        <v>72</v>
      </c>
      <c r="R869" t="s">
        <v>72</v>
      </c>
      <c r="S869" t="s">
        <v>72</v>
      </c>
      <c r="T869" t="s">
        <v>72</v>
      </c>
      <c r="U869" t="s">
        <v>14069</v>
      </c>
      <c r="V869" t="s">
        <v>14070</v>
      </c>
      <c r="W869" t="s">
        <v>14071</v>
      </c>
      <c r="X869" t="s">
        <v>14072</v>
      </c>
      <c r="Y869" t="s">
        <v>14073</v>
      </c>
      <c r="Z869" t="s">
        <v>14074</v>
      </c>
      <c r="AA869" t="s">
        <v>14075</v>
      </c>
      <c r="AB869" t="s">
        <v>14076</v>
      </c>
      <c r="AC869" t="s">
        <v>72</v>
      </c>
      <c r="AD869" t="s">
        <v>72</v>
      </c>
      <c r="AE869" t="s">
        <v>72</v>
      </c>
      <c r="AF869" t="s">
        <v>72</v>
      </c>
      <c r="AG869">
        <v>167</v>
      </c>
      <c r="AH869">
        <v>6</v>
      </c>
      <c r="AI869">
        <v>6</v>
      </c>
      <c r="AJ869">
        <v>2</v>
      </c>
      <c r="AK869">
        <v>6</v>
      </c>
      <c r="AL869" t="s">
        <v>8302</v>
      </c>
      <c r="AM869" t="s">
        <v>3815</v>
      </c>
      <c r="AN869" t="s">
        <v>8303</v>
      </c>
      <c r="AO869" t="s">
        <v>8304</v>
      </c>
      <c r="AP869" t="s">
        <v>72</v>
      </c>
      <c r="AQ869" t="s">
        <v>72</v>
      </c>
      <c r="AR869" t="s">
        <v>8293</v>
      </c>
      <c r="AS869" t="s">
        <v>8305</v>
      </c>
      <c r="AT869" t="s">
        <v>14077</v>
      </c>
      <c r="AU869">
        <v>2020</v>
      </c>
      <c r="AV869">
        <v>15</v>
      </c>
      <c r="AW869">
        <v>5</v>
      </c>
      <c r="AX869" t="s">
        <v>72</v>
      </c>
      <c r="AY869" t="s">
        <v>72</v>
      </c>
      <c r="AZ869" t="s">
        <v>72</v>
      </c>
      <c r="BA869" t="s">
        <v>72</v>
      </c>
      <c r="BB869" t="s">
        <v>72</v>
      </c>
      <c r="BC869" t="s">
        <v>72</v>
      </c>
      <c r="BD869" t="s">
        <v>14078</v>
      </c>
      <c r="BE869" t="s">
        <v>14079</v>
      </c>
      <c r="BF869" t="str">
        <f>HYPERLINK("http://dx.doi.org/10.1371/journal.pone.0232929","http://dx.doi.org/10.1371/journal.pone.0232929")</f>
        <v>http://dx.doi.org/10.1371/journal.pone.0232929</v>
      </c>
      <c r="BG869" t="s">
        <v>72</v>
      </c>
      <c r="BH869" t="s">
        <v>72</v>
      </c>
      <c r="BI869">
        <v>33</v>
      </c>
      <c r="BJ869" t="s">
        <v>5648</v>
      </c>
      <c r="BK869" t="s">
        <v>5649</v>
      </c>
      <c r="BL869" t="s">
        <v>14080</v>
      </c>
      <c r="BM869">
        <v>32401795</v>
      </c>
      <c r="BN869" t="s">
        <v>1975</v>
      </c>
      <c r="BO869" t="s">
        <v>72</v>
      </c>
      <c r="BP869" t="s">
        <v>72</v>
      </c>
      <c r="BQ869" t="s">
        <v>100</v>
      </c>
      <c r="BR869" t="s">
        <v>14081</v>
      </c>
      <c r="BS869" t="str">
        <f>HYPERLINK("https%3A%2F%2Fwww.webofscience.com%2Fwos%2Fwoscc%2Ffull-record%2FWOS:000537481000040","View Full Record in Web of Science")</f>
        <v>View Full Record in Web of Science</v>
      </c>
    </row>
    <row r="870" spans="1:71" hidden="1" x14ac:dyDescent="0.2">
      <c r="A870" t="s">
        <v>70</v>
      </c>
      <c r="B870" t="s">
        <v>14309</v>
      </c>
      <c r="C870" t="s">
        <v>72</v>
      </c>
      <c r="D870" t="s">
        <v>72</v>
      </c>
      <c r="E870" t="s">
        <v>72</v>
      </c>
      <c r="F870" t="s">
        <v>14310</v>
      </c>
      <c r="G870" t="s">
        <v>72</v>
      </c>
      <c r="H870" t="s">
        <v>72</v>
      </c>
      <c r="I870" t="s">
        <v>14311</v>
      </c>
      <c r="J870" t="s">
        <v>5631</v>
      </c>
      <c r="K870" t="s">
        <v>72</v>
      </c>
      <c r="L870" t="s">
        <v>72</v>
      </c>
      <c r="M870" t="s">
        <v>76</v>
      </c>
      <c r="N870" t="s">
        <v>77</v>
      </c>
      <c r="O870" t="s">
        <v>72</v>
      </c>
      <c r="P870" t="s">
        <v>72</v>
      </c>
      <c r="Q870" t="s">
        <v>72</v>
      </c>
      <c r="R870" t="s">
        <v>72</v>
      </c>
      <c r="S870" t="s">
        <v>72</v>
      </c>
      <c r="T870" t="s">
        <v>14312</v>
      </c>
      <c r="U870" t="s">
        <v>14313</v>
      </c>
      <c r="V870" t="s">
        <v>14314</v>
      </c>
      <c r="W870" t="s">
        <v>14315</v>
      </c>
      <c r="X870" t="s">
        <v>14316</v>
      </c>
      <c r="Y870" t="s">
        <v>14317</v>
      </c>
      <c r="Z870" t="s">
        <v>3623</v>
      </c>
      <c r="AA870" t="s">
        <v>14318</v>
      </c>
      <c r="AB870" t="s">
        <v>14319</v>
      </c>
      <c r="AC870" t="s">
        <v>14320</v>
      </c>
      <c r="AD870" t="s">
        <v>14320</v>
      </c>
      <c r="AE870" t="s">
        <v>14321</v>
      </c>
      <c r="AF870" t="s">
        <v>72</v>
      </c>
      <c r="AG870">
        <v>63</v>
      </c>
      <c r="AH870">
        <v>52</v>
      </c>
      <c r="AI870">
        <v>55</v>
      </c>
      <c r="AJ870">
        <v>28</v>
      </c>
      <c r="AK870">
        <v>64</v>
      </c>
      <c r="AL870" t="s">
        <v>5640</v>
      </c>
      <c r="AM870" t="s">
        <v>1280</v>
      </c>
      <c r="AN870" t="s">
        <v>5641</v>
      </c>
      <c r="AO870" t="s">
        <v>5642</v>
      </c>
      <c r="AP870" t="s">
        <v>5643</v>
      </c>
      <c r="AQ870" t="s">
        <v>72</v>
      </c>
      <c r="AR870" t="s">
        <v>5644</v>
      </c>
      <c r="AS870" t="s">
        <v>5645</v>
      </c>
      <c r="AT870" t="s">
        <v>14322</v>
      </c>
      <c r="AU870">
        <v>2021</v>
      </c>
      <c r="AV870">
        <v>118</v>
      </c>
      <c r="AW870">
        <v>6</v>
      </c>
      <c r="AX870" t="s">
        <v>72</v>
      </c>
      <c r="AY870" t="s">
        <v>72</v>
      </c>
      <c r="AZ870" t="s">
        <v>72</v>
      </c>
      <c r="BA870" t="s">
        <v>72</v>
      </c>
      <c r="BB870" t="s">
        <v>72</v>
      </c>
      <c r="BC870" t="s">
        <v>72</v>
      </c>
      <c r="BD870" t="s">
        <v>14323</v>
      </c>
      <c r="BE870" t="s">
        <v>14324</v>
      </c>
      <c r="BF870" t="str">
        <f>HYPERLINK("http://dx.doi.org/10.1073/pnas.2018093118","http://dx.doi.org/10.1073/pnas.2018093118")</f>
        <v>http://dx.doi.org/10.1073/pnas.2018093118</v>
      </c>
      <c r="BG870" t="s">
        <v>72</v>
      </c>
      <c r="BH870" t="s">
        <v>72</v>
      </c>
      <c r="BI870">
        <v>7</v>
      </c>
      <c r="BJ870" t="s">
        <v>5648</v>
      </c>
      <c r="BK870" t="s">
        <v>5649</v>
      </c>
      <c r="BL870" t="s">
        <v>14325</v>
      </c>
      <c r="BM870">
        <v>33526679</v>
      </c>
      <c r="BN870" t="s">
        <v>1128</v>
      </c>
      <c r="BO870" t="s">
        <v>72</v>
      </c>
      <c r="BP870" t="s">
        <v>72</v>
      </c>
      <c r="BQ870" t="s">
        <v>100</v>
      </c>
      <c r="BR870" t="s">
        <v>14326</v>
      </c>
      <c r="BS870" t="str">
        <f>HYPERLINK("https%3A%2F%2Fwww.webofscience.com%2Fwos%2Fwoscc%2Ffull-record%2FWOS:000617355300053","View Full Record in Web of Science")</f>
        <v>View Full Record in Web of Science</v>
      </c>
    </row>
    <row r="871" spans="1:71" hidden="1" x14ac:dyDescent="0.2">
      <c r="A871" t="s">
        <v>70</v>
      </c>
      <c r="B871" t="s">
        <v>15196</v>
      </c>
      <c r="C871" t="s">
        <v>72</v>
      </c>
      <c r="D871" t="s">
        <v>72</v>
      </c>
      <c r="E871" t="s">
        <v>72</v>
      </c>
      <c r="F871" t="s">
        <v>15197</v>
      </c>
      <c r="G871" t="s">
        <v>72</v>
      </c>
      <c r="H871" t="s">
        <v>72</v>
      </c>
      <c r="I871" t="s">
        <v>15198</v>
      </c>
      <c r="J871" t="s">
        <v>8293</v>
      </c>
      <c r="K871" t="s">
        <v>72</v>
      </c>
      <c r="L871" t="s">
        <v>72</v>
      </c>
      <c r="M871" t="s">
        <v>76</v>
      </c>
      <c r="N871" t="s">
        <v>77</v>
      </c>
      <c r="O871" t="s">
        <v>72</v>
      </c>
      <c r="P871" t="s">
        <v>72</v>
      </c>
      <c r="Q871" t="s">
        <v>72</v>
      </c>
      <c r="R871" t="s">
        <v>72</v>
      </c>
      <c r="S871" t="s">
        <v>72</v>
      </c>
      <c r="T871" t="s">
        <v>72</v>
      </c>
      <c r="U871" t="s">
        <v>15199</v>
      </c>
      <c r="V871" t="s">
        <v>15200</v>
      </c>
      <c r="W871" t="s">
        <v>15201</v>
      </c>
      <c r="X871" t="s">
        <v>15202</v>
      </c>
      <c r="Y871" t="s">
        <v>15203</v>
      </c>
      <c r="Z871" t="s">
        <v>15204</v>
      </c>
      <c r="AA871" t="s">
        <v>72</v>
      </c>
      <c r="AB871" t="s">
        <v>15205</v>
      </c>
      <c r="AC871" t="s">
        <v>15206</v>
      </c>
      <c r="AD871" t="s">
        <v>15207</v>
      </c>
      <c r="AE871" t="s">
        <v>15208</v>
      </c>
      <c r="AF871" t="s">
        <v>72</v>
      </c>
      <c r="AG871">
        <v>41</v>
      </c>
      <c r="AH871">
        <v>19</v>
      </c>
      <c r="AI871">
        <v>19</v>
      </c>
      <c r="AJ871">
        <v>3</v>
      </c>
      <c r="AK871">
        <v>10</v>
      </c>
      <c r="AL871" t="s">
        <v>8302</v>
      </c>
      <c r="AM871" t="s">
        <v>3815</v>
      </c>
      <c r="AN871" t="s">
        <v>8303</v>
      </c>
      <c r="AO871" t="s">
        <v>8304</v>
      </c>
      <c r="AP871" t="s">
        <v>72</v>
      </c>
      <c r="AQ871" t="s">
        <v>72</v>
      </c>
      <c r="AR871" t="s">
        <v>8293</v>
      </c>
      <c r="AS871" t="s">
        <v>8305</v>
      </c>
      <c r="AT871" t="s">
        <v>15209</v>
      </c>
      <c r="AU871">
        <v>2019</v>
      </c>
      <c r="AV871">
        <v>14</v>
      </c>
      <c r="AW871">
        <v>9</v>
      </c>
      <c r="AX871" t="s">
        <v>72</v>
      </c>
      <c r="AY871" t="s">
        <v>72</v>
      </c>
      <c r="AZ871" t="s">
        <v>72</v>
      </c>
      <c r="BA871" t="s">
        <v>72</v>
      </c>
      <c r="BB871" t="s">
        <v>72</v>
      </c>
      <c r="BC871" t="s">
        <v>72</v>
      </c>
      <c r="BD871" t="s">
        <v>15210</v>
      </c>
      <c r="BE871" t="s">
        <v>15211</v>
      </c>
      <c r="BF871" t="str">
        <f>HYPERLINK("http://dx.doi.org/10.1371/journal.pone.0220623","http://dx.doi.org/10.1371/journal.pone.0220623")</f>
        <v>http://dx.doi.org/10.1371/journal.pone.0220623</v>
      </c>
      <c r="BG871" t="s">
        <v>72</v>
      </c>
      <c r="BH871" t="s">
        <v>72</v>
      </c>
      <c r="BI871">
        <v>12</v>
      </c>
      <c r="BJ871" t="s">
        <v>5648</v>
      </c>
      <c r="BK871" t="s">
        <v>5649</v>
      </c>
      <c r="BL871" t="s">
        <v>15212</v>
      </c>
      <c r="BM871">
        <v>31504042</v>
      </c>
      <c r="BN871" t="s">
        <v>128</v>
      </c>
      <c r="BO871" t="s">
        <v>72</v>
      </c>
      <c r="BP871" t="s">
        <v>72</v>
      </c>
      <c r="BQ871" t="s">
        <v>100</v>
      </c>
      <c r="BR871" t="s">
        <v>15213</v>
      </c>
      <c r="BS871" t="str">
        <f>HYPERLINK("https%3A%2F%2Fwww.webofscience.com%2Fwos%2Fwoscc%2Ffull-record%2FWOS:000532172700004","View Full Record in Web of Science")</f>
        <v>View Full Record in Web of Science</v>
      </c>
    </row>
    <row r="872" spans="1:71" hidden="1" x14ac:dyDescent="0.2">
      <c r="A872" t="s">
        <v>70</v>
      </c>
      <c r="B872" t="s">
        <v>15454</v>
      </c>
      <c r="C872" t="s">
        <v>72</v>
      </c>
      <c r="D872" t="s">
        <v>72</v>
      </c>
      <c r="E872" t="s">
        <v>72</v>
      </c>
      <c r="F872" t="s">
        <v>15455</v>
      </c>
      <c r="G872" t="s">
        <v>72</v>
      </c>
      <c r="H872" t="s">
        <v>72</v>
      </c>
      <c r="I872" t="s">
        <v>15456</v>
      </c>
      <c r="J872" t="s">
        <v>15457</v>
      </c>
      <c r="K872" t="s">
        <v>72</v>
      </c>
      <c r="L872" t="s">
        <v>72</v>
      </c>
      <c r="M872" t="s">
        <v>76</v>
      </c>
      <c r="N872" t="s">
        <v>77</v>
      </c>
      <c r="O872" t="s">
        <v>72</v>
      </c>
      <c r="P872" t="s">
        <v>72</v>
      </c>
      <c r="Q872" t="s">
        <v>72</v>
      </c>
      <c r="R872" t="s">
        <v>72</v>
      </c>
      <c r="S872" t="s">
        <v>72</v>
      </c>
      <c r="T872" t="s">
        <v>15458</v>
      </c>
      <c r="U872" t="s">
        <v>15459</v>
      </c>
      <c r="V872" t="s">
        <v>15460</v>
      </c>
      <c r="W872" t="s">
        <v>15461</v>
      </c>
      <c r="X872" t="s">
        <v>15462</v>
      </c>
      <c r="Y872" t="s">
        <v>15463</v>
      </c>
      <c r="Z872" t="s">
        <v>15464</v>
      </c>
      <c r="AA872" t="s">
        <v>15465</v>
      </c>
      <c r="AB872" t="s">
        <v>15466</v>
      </c>
      <c r="AC872" t="s">
        <v>72</v>
      </c>
      <c r="AD872" t="s">
        <v>72</v>
      </c>
      <c r="AE872" t="s">
        <v>72</v>
      </c>
      <c r="AF872" t="s">
        <v>72</v>
      </c>
      <c r="AG872">
        <v>59</v>
      </c>
      <c r="AH872">
        <v>6</v>
      </c>
      <c r="AI872">
        <v>6</v>
      </c>
      <c r="AJ872">
        <v>5</v>
      </c>
      <c r="AK872">
        <v>11</v>
      </c>
      <c r="AL872" t="s">
        <v>1596</v>
      </c>
      <c r="AM872" t="s">
        <v>451</v>
      </c>
      <c r="AN872" t="s">
        <v>1597</v>
      </c>
      <c r="AO872" t="s">
        <v>72</v>
      </c>
      <c r="AP872" t="s">
        <v>15467</v>
      </c>
      <c r="AQ872" t="s">
        <v>72</v>
      </c>
      <c r="AR872" t="s">
        <v>15457</v>
      </c>
      <c r="AS872" t="s">
        <v>15468</v>
      </c>
      <c r="AT872" t="s">
        <v>555</v>
      </c>
      <c r="AU872">
        <v>2021</v>
      </c>
      <c r="AV872">
        <v>7</v>
      </c>
      <c r="AW872">
        <v>3</v>
      </c>
      <c r="AX872" t="s">
        <v>72</v>
      </c>
      <c r="AY872" t="s">
        <v>72</v>
      </c>
      <c r="AZ872" t="s">
        <v>72</v>
      </c>
      <c r="BA872" t="s">
        <v>72</v>
      </c>
      <c r="BB872" t="s">
        <v>72</v>
      </c>
      <c r="BC872" t="s">
        <v>72</v>
      </c>
      <c r="BD872" t="s">
        <v>15469</v>
      </c>
      <c r="BE872" t="s">
        <v>15470</v>
      </c>
      <c r="BF872" t="str">
        <f>HYPERLINK("http://dx.doi.org/10.1016/j.heliyon.2021.e06544","http://dx.doi.org/10.1016/j.heliyon.2021.e06544")</f>
        <v>http://dx.doi.org/10.1016/j.heliyon.2021.e06544</v>
      </c>
      <c r="BG872" t="s">
        <v>72</v>
      </c>
      <c r="BH872" t="s">
        <v>397</v>
      </c>
      <c r="BI872">
        <v>11</v>
      </c>
      <c r="BJ872" t="s">
        <v>5648</v>
      </c>
      <c r="BK872" t="s">
        <v>5649</v>
      </c>
      <c r="BL872" t="s">
        <v>15471</v>
      </c>
      <c r="BM872">
        <v>33758786</v>
      </c>
      <c r="BN872" t="s">
        <v>1975</v>
      </c>
      <c r="BO872" t="s">
        <v>72</v>
      </c>
      <c r="BP872" t="s">
        <v>72</v>
      </c>
      <c r="BQ872" t="s">
        <v>100</v>
      </c>
      <c r="BR872" t="s">
        <v>15472</v>
      </c>
      <c r="BS872" t="str">
        <f>HYPERLINK("https%3A%2F%2Fwww.webofscience.com%2Fwos%2Fwoscc%2Ffull-record%2FWOS:000637860300008","View Full Record in Web of Science")</f>
        <v>View Full Record in Web of Science</v>
      </c>
    </row>
    <row r="873" spans="1:71" hidden="1" x14ac:dyDescent="0.2">
      <c r="A873" t="s">
        <v>70</v>
      </c>
      <c r="B873" t="s">
        <v>17280</v>
      </c>
      <c r="C873" t="s">
        <v>72</v>
      </c>
      <c r="D873" t="s">
        <v>72</v>
      </c>
      <c r="E873" t="s">
        <v>72</v>
      </c>
      <c r="F873" t="s">
        <v>17281</v>
      </c>
      <c r="G873" t="s">
        <v>72</v>
      </c>
      <c r="H873" t="s">
        <v>72</v>
      </c>
      <c r="I873" t="s">
        <v>17282</v>
      </c>
      <c r="J873" t="s">
        <v>17283</v>
      </c>
      <c r="K873" t="s">
        <v>72</v>
      </c>
      <c r="L873" t="s">
        <v>72</v>
      </c>
      <c r="M873" t="s">
        <v>2818</v>
      </c>
      <c r="N873" t="s">
        <v>77</v>
      </c>
      <c r="O873" t="s">
        <v>72</v>
      </c>
      <c r="P873" t="s">
        <v>72</v>
      </c>
      <c r="Q873" t="s">
        <v>72</v>
      </c>
      <c r="R873" t="s">
        <v>72</v>
      </c>
      <c r="S873" t="s">
        <v>72</v>
      </c>
      <c r="T873" t="s">
        <v>17284</v>
      </c>
      <c r="U873" t="s">
        <v>72</v>
      </c>
      <c r="V873" t="s">
        <v>17285</v>
      </c>
      <c r="W873" t="s">
        <v>17286</v>
      </c>
      <c r="X873" t="s">
        <v>17287</v>
      </c>
      <c r="Y873" t="s">
        <v>17288</v>
      </c>
      <c r="Z873" t="s">
        <v>17289</v>
      </c>
      <c r="AA873" t="s">
        <v>17290</v>
      </c>
      <c r="AB873" t="s">
        <v>72</v>
      </c>
      <c r="AC873" t="s">
        <v>72</v>
      </c>
      <c r="AD873" t="s">
        <v>72</v>
      </c>
      <c r="AE873" t="s">
        <v>72</v>
      </c>
      <c r="AF873" t="s">
        <v>72</v>
      </c>
      <c r="AG873">
        <v>31</v>
      </c>
      <c r="AH873">
        <v>3</v>
      </c>
      <c r="AI873">
        <v>3</v>
      </c>
      <c r="AJ873">
        <v>0</v>
      </c>
      <c r="AK873">
        <v>9</v>
      </c>
      <c r="AL873" t="s">
        <v>16934</v>
      </c>
      <c r="AM873" t="s">
        <v>16935</v>
      </c>
      <c r="AN873" t="s">
        <v>16936</v>
      </c>
      <c r="AO873" t="s">
        <v>17291</v>
      </c>
      <c r="AP873" t="s">
        <v>17292</v>
      </c>
      <c r="AQ873" t="s">
        <v>72</v>
      </c>
      <c r="AR873" t="s">
        <v>17293</v>
      </c>
      <c r="AS873" t="s">
        <v>17294</v>
      </c>
      <c r="AT873" t="s">
        <v>1602</v>
      </c>
      <c r="AU873">
        <v>2017</v>
      </c>
      <c r="AV873" t="s">
        <v>72</v>
      </c>
      <c r="AW873">
        <v>415</v>
      </c>
      <c r="AX873" t="s">
        <v>72</v>
      </c>
      <c r="AY873" t="s">
        <v>72</v>
      </c>
      <c r="AZ873" t="s">
        <v>72</v>
      </c>
      <c r="BA873" t="s">
        <v>72</v>
      </c>
      <c r="BB873">
        <v>17</v>
      </c>
      <c r="BC873">
        <v>25</v>
      </c>
      <c r="BD873" t="s">
        <v>72</v>
      </c>
      <c r="BE873" t="s">
        <v>17295</v>
      </c>
      <c r="BF873" t="str">
        <f>HYPERLINK("http://dx.doi.org/10.17223/15617793/415/3","http://dx.doi.org/10.17223/15617793/415/3")</f>
        <v>http://dx.doi.org/10.17223/15617793/415/3</v>
      </c>
      <c r="BG873" t="s">
        <v>72</v>
      </c>
      <c r="BH873" t="s">
        <v>72</v>
      </c>
      <c r="BI873">
        <v>9</v>
      </c>
      <c r="BJ873" t="s">
        <v>5648</v>
      </c>
      <c r="BK873" t="s">
        <v>5649</v>
      </c>
      <c r="BL873" t="s">
        <v>17296</v>
      </c>
      <c r="BM873" t="s">
        <v>72</v>
      </c>
      <c r="BN873" t="s">
        <v>1497</v>
      </c>
      <c r="BO873" t="s">
        <v>72</v>
      </c>
      <c r="BP873" t="s">
        <v>72</v>
      </c>
      <c r="BQ873" t="s">
        <v>100</v>
      </c>
      <c r="BR873" t="s">
        <v>17297</v>
      </c>
      <c r="BS873" t="str">
        <f>HYPERLINK("https%3A%2F%2Fwww.webofscience.com%2Fwos%2Fwoscc%2Ffull-record%2FWOS:000395862800003","View Full Record in Web of Science")</f>
        <v>View Full Record in Web of Science</v>
      </c>
    </row>
    <row r="874" spans="1:71" hidden="1" x14ac:dyDescent="0.2">
      <c r="A874" t="s">
        <v>70</v>
      </c>
      <c r="B874" t="s">
        <v>17261</v>
      </c>
      <c r="C874" t="s">
        <v>72</v>
      </c>
      <c r="D874" t="s">
        <v>72</v>
      </c>
      <c r="E874" t="s">
        <v>72</v>
      </c>
      <c r="F874" t="s">
        <v>17262</v>
      </c>
      <c r="G874" t="s">
        <v>72</v>
      </c>
      <c r="H874" t="s">
        <v>72</v>
      </c>
      <c r="I874" t="s">
        <v>17412</v>
      </c>
      <c r="J874" t="s">
        <v>17283</v>
      </c>
      <c r="K874" t="s">
        <v>72</v>
      </c>
      <c r="L874" t="s">
        <v>72</v>
      </c>
      <c r="M874" t="s">
        <v>2818</v>
      </c>
      <c r="N874" t="s">
        <v>77</v>
      </c>
      <c r="O874" t="s">
        <v>72</v>
      </c>
      <c r="P874" t="s">
        <v>72</v>
      </c>
      <c r="Q874" t="s">
        <v>72</v>
      </c>
      <c r="R874" t="s">
        <v>72</v>
      </c>
      <c r="S874" t="s">
        <v>72</v>
      </c>
      <c r="T874" t="s">
        <v>17413</v>
      </c>
      <c r="U874" t="s">
        <v>72</v>
      </c>
      <c r="V874" t="s">
        <v>17414</v>
      </c>
      <c r="W874" t="s">
        <v>17415</v>
      </c>
      <c r="X874" t="s">
        <v>17416</v>
      </c>
      <c r="Y874" t="s">
        <v>17417</v>
      </c>
      <c r="Z874" t="s">
        <v>17270</v>
      </c>
      <c r="AA874" t="s">
        <v>17418</v>
      </c>
      <c r="AB874" t="s">
        <v>17272</v>
      </c>
      <c r="AC874" t="s">
        <v>72</v>
      </c>
      <c r="AD874" t="s">
        <v>72</v>
      </c>
      <c r="AE874" t="s">
        <v>72</v>
      </c>
      <c r="AF874" t="s">
        <v>72</v>
      </c>
      <c r="AG874">
        <v>37</v>
      </c>
      <c r="AH874">
        <v>0</v>
      </c>
      <c r="AI874">
        <v>0</v>
      </c>
      <c r="AJ874">
        <v>0</v>
      </c>
      <c r="AK874">
        <v>1</v>
      </c>
      <c r="AL874" t="s">
        <v>16934</v>
      </c>
      <c r="AM874" t="s">
        <v>16935</v>
      </c>
      <c r="AN874" t="s">
        <v>16936</v>
      </c>
      <c r="AO874" t="s">
        <v>17291</v>
      </c>
      <c r="AP874" t="s">
        <v>17292</v>
      </c>
      <c r="AQ874" t="s">
        <v>72</v>
      </c>
      <c r="AR874" t="s">
        <v>17293</v>
      </c>
      <c r="AS874" t="s">
        <v>17294</v>
      </c>
      <c r="AT874" t="s">
        <v>149</v>
      </c>
      <c r="AU874">
        <v>2020</v>
      </c>
      <c r="AV874" t="s">
        <v>72</v>
      </c>
      <c r="AW874">
        <v>453</v>
      </c>
      <c r="AX874" t="s">
        <v>72</v>
      </c>
      <c r="AY874" t="s">
        <v>72</v>
      </c>
      <c r="AZ874" t="s">
        <v>72</v>
      </c>
      <c r="BA874" t="s">
        <v>72</v>
      </c>
      <c r="BB874">
        <v>29</v>
      </c>
      <c r="BC874">
        <v>40</v>
      </c>
      <c r="BD874" t="s">
        <v>72</v>
      </c>
      <c r="BE874" t="s">
        <v>17419</v>
      </c>
      <c r="BF874" t="str">
        <f>HYPERLINK("http://dx.doi.org/10.17223/15617793/453/4","http://dx.doi.org/10.17223/15617793/453/4")</f>
        <v>http://dx.doi.org/10.17223/15617793/453/4</v>
      </c>
      <c r="BG874" t="s">
        <v>72</v>
      </c>
      <c r="BH874" t="s">
        <v>72</v>
      </c>
      <c r="BI874">
        <v>12</v>
      </c>
      <c r="BJ874" t="s">
        <v>5648</v>
      </c>
      <c r="BK874" t="s">
        <v>5649</v>
      </c>
      <c r="BL874" t="s">
        <v>17420</v>
      </c>
      <c r="BM874" t="s">
        <v>72</v>
      </c>
      <c r="BN874" t="s">
        <v>1497</v>
      </c>
      <c r="BO874" t="s">
        <v>72</v>
      </c>
      <c r="BP874" t="s">
        <v>72</v>
      </c>
      <c r="BQ874" t="s">
        <v>100</v>
      </c>
      <c r="BR874" t="s">
        <v>17421</v>
      </c>
      <c r="BS874" t="str">
        <f>HYPERLINK("https%3A%2F%2Fwww.webofscience.com%2Fwos%2Fwoscc%2Ffull-record%2FWOS:000538018400004","View Full Record in Web of Science")</f>
        <v>View Full Record in Web of Science</v>
      </c>
    </row>
    <row r="875" spans="1:71" hidden="1" x14ac:dyDescent="0.2">
      <c r="A875" t="s">
        <v>70</v>
      </c>
      <c r="B875" t="s">
        <v>17261</v>
      </c>
      <c r="C875" t="s">
        <v>72</v>
      </c>
      <c r="D875" t="s">
        <v>72</v>
      </c>
      <c r="E875" t="s">
        <v>72</v>
      </c>
      <c r="F875" t="s">
        <v>17262</v>
      </c>
      <c r="G875" t="s">
        <v>72</v>
      </c>
      <c r="H875" t="s">
        <v>72</v>
      </c>
      <c r="I875" t="s">
        <v>17451</v>
      </c>
      <c r="J875" t="s">
        <v>17283</v>
      </c>
      <c r="K875" t="s">
        <v>72</v>
      </c>
      <c r="L875" t="s">
        <v>72</v>
      </c>
      <c r="M875" t="s">
        <v>2818</v>
      </c>
      <c r="N875" t="s">
        <v>77</v>
      </c>
      <c r="O875" t="s">
        <v>72</v>
      </c>
      <c r="P875" t="s">
        <v>72</v>
      </c>
      <c r="Q875" t="s">
        <v>72</v>
      </c>
      <c r="R875" t="s">
        <v>72</v>
      </c>
      <c r="S875" t="s">
        <v>72</v>
      </c>
      <c r="T875" t="s">
        <v>17452</v>
      </c>
      <c r="U875" t="s">
        <v>72</v>
      </c>
      <c r="V875" t="s">
        <v>17453</v>
      </c>
      <c r="W875" t="s">
        <v>17267</v>
      </c>
      <c r="X875" t="s">
        <v>17268</v>
      </c>
      <c r="Y875" t="s">
        <v>17417</v>
      </c>
      <c r="Z875" t="s">
        <v>17270</v>
      </c>
      <c r="AA875" t="s">
        <v>17271</v>
      </c>
      <c r="AB875" t="s">
        <v>17272</v>
      </c>
      <c r="AC875" t="s">
        <v>72</v>
      </c>
      <c r="AD875" t="s">
        <v>72</v>
      </c>
      <c r="AE875" t="s">
        <v>72</v>
      </c>
      <c r="AF875" t="s">
        <v>72</v>
      </c>
      <c r="AG875">
        <v>28</v>
      </c>
      <c r="AH875">
        <v>0</v>
      </c>
      <c r="AI875">
        <v>0</v>
      </c>
      <c r="AJ875">
        <v>0</v>
      </c>
      <c r="AK875">
        <v>3</v>
      </c>
      <c r="AL875" t="s">
        <v>16934</v>
      </c>
      <c r="AM875" t="s">
        <v>16935</v>
      </c>
      <c r="AN875" t="s">
        <v>16936</v>
      </c>
      <c r="AO875" t="s">
        <v>17291</v>
      </c>
      <c r="AP875" t="s">
        <v>17292</v>
      </c>
      <c r="AQ875" t="s">
        <v>72</v>
      </c>
      <c r="AR875" t="s">
        <v>17293</v>
      </c>
      <c r="AS875" t="s">
        <v>17294</v>
      </c>
      <c r="AT875" t="s">
        <v>95</v>
      </c>
      <c r="AU875">
        <v>2018</v>
      </c>
      <c r="AV875" t="s">
        <v>72</v>
      </c>
      <c r="AW875">
        <v>434</v>
      </c>
      <c r="AX875" t="s">
        <v>72</v>
      </c>
      <c r="AY875" t="s">
        <v>72</v>
      </c>
      <c r="AZ875" t="s">
        <v>72</v>
      </c>
      <c r="BA875" t="s">
        <v>72</v>
      </c>
      <c r="BB875">
        <v>30</v>
      </c>
      <c r="BC875">
        <v>39</v>
      </c>
      <c r="BD875" t="s">
        <v>72</v>
      </c>
      <c r="BE875" t="s">
        <v>17454</v>
      </c>
      <c r="BF875" t="str">
        <f>HYPERLINK("http://dx.doi.org/10.17223/15617793/434/4","http://dx.doi.org/10.17223/15617793/434/4")</f>
        <v>http://dx.doi.org/10.17223/15617793/434/4</v>
      </c>
      <c r="BG875" t="s">
        <v>72</v>
      </c>
      <c r="BH875" t="s">
        <v>72</v>
      </c>
      <c r="BI875">
        <v>10</v>
      </c>
      <c r="BJ875" t="s">
        <v>5648</v>
      </c>
      <c r="BK875" t="s">
        <v>5649</v>
      </c>
      <c r="BL875" t="s">
        <v>17455</v>
      </c>
      <c r="BM875" t="s">
        <v>72</v>
      </c>
      <c r="BN875" t="s">
        <v>1497</v>
      </c>
      <c r="BO875" t="s">
        <v>72</v>
      </c>
      <c r="BP875" t="s">
        <v>72</v>
      </c>
      <c r="BQ875" t="s">
        <v>100</v>
      </c>
      <c r="BR875" t="s">
        <v>17456</v>
      </c>
      <c r="BS875" t="str">
        <f>HYPERLINK("https%3A%2F%2Fwww.webofscience.com%2Fwos%2Fwoscc%2Ffull-record%2FWOS:000451260400004","View Full Record in Web of Science")</f>
        <v>View Full Record in Web of Science</v>
      </c>
    </row>
    <row r="876" spans="1:71" hidden="1" x14ac:dyDescent="0.2">
      <c r="A876" t="s">
        <v>70</v>
      </c>
      <c r="B876" t="s">
        <v>5229</v>
      </c>
      <c r="C876" t="s">
        <v>72</v>
      </c>
      <c r="D876" t="s">
        <v>72</v>
      </c>
      <c r="E876" t="s">
        <v>72</v>
      </c>
      <c r="F876" t="s">
        <v>5230</v>
      </c>
      <c r="G876" t="s">
        <v>72</v>
      </c>
      <c r="H876" t="s">
        <v>72</v>
      </c>
      <c r="I876" t="s">
        <v>5231</v>
      </c>
      <c r="J876" t="s">
        <v>5232</v>
      </c>
      <c r="K876" t="s">
        <v>72</v>
      </c>
      <c r="L876" t="s">
        <v>72</v>
      </c>
      <c r="M876" t="s">
        <v>76</v>
      </c>
      <c r="N876" t="s">
        <v>77</v>
      </c>
      <c r="O876" t="s">
        <v>72</v>
      </c>
      <c r="P876" t="s">
        <v>72</v>
      </c>
      <c r="Q876" t="s">
        <v>72</v>
      </c>
      <c r="R876" t="s">
        <v>72</v>
      </c>
      <c r="S876" t="s">
        <v>72</v>
      </c>
      <c r="T876" t="s">
        <v>5233</v>
      </c>
      <c r="U876" t="s">
        <v>5234</v>
      </c>
      <c r="V876" t="s">
        <v>5235</v>
      </c>
      <c r="W876" t="s">
        <v>5236</v>
      </c>
      <c r="X876" t="s">
        <v>5237</v>
      </c>
      <c r="Y876" t="s">
        <v>5238</v>
      </c>
      <c r="Z876" t="s">
        <v>5239</v>
      </c>
      <c r="AA876" t="s">
        <v>5240</v>
      </c>
      <c r="AB876" t="s">
        <v>5241</v>
      </c>
      <c r="AC876" t="s">
        <v>5242</v>
      </c>
      <c r="AD876" t="s">
        <v>5242</v>
      </c>
      <c r="AE876" t="s">
        <v>5243</v>
      </c>
      <c r="AF876" t="s">
        <v>72</v>
      </c>
      <c r="AG876">
        <v>52</v>
      </c>
      <c r="AH876">
        <v>61</v>
      </c>
      <c r="AI876">
        <v>63</v>
      </c>
      <c r="AJ876">
        <v>2</v>
      </c>
      <c r="AK876">
        <v>86</v>
      </c>
      <c r="AL876" t="s">
        <v>1596</v>
      </c>
      <c r="AM876" t="s">
        <v>451</v>
      </c>
      <c r="AN876" t="s">
        <v>1597</v>
      </c>
      <c r="AO876" t="s">
        <v>5244</v>
      </c>
      <c r="AP876" t="s">
        <v>5245</v>
      </c>
      <c r="AQ876" t="s">
        <v>72</v>
      </c>
      <c r="AR876" t="s">
        <v>5246</v>
      </c>
      <c r="AS876" t="s">
        <v>5247</v>
      </c>
      <c r="AT876" t="s">
        <v>5248</v>
      </c>
      <c r="AU876">
        <v>2020</v>
      </c>
      <c r="AV876">
        <v>242</v>
      </c>
      <c r="AW876" t="s">
        <v>72</v>
      </c>
      <c r="AX876" t="s">
        <v>72</v>
      </c>
      <c r="AY876" t="s">
        <v>72</v>
      </c>
      <c r="AZ876" t="s">
        <v>72</v>
      </c>
      <c r="BA876" t="s">
        <v>72</v>
      </c>
      <c r="BB876" t="s">
        <v>72</v>
      </c>
      <c r="BC876" t="s">
        <v>72</v>
      </c>
      <c r="BD876">
        <v>118052</v>
      </c>
      <c r="BE876" t="s">
        <v>5249</v>
      </c>
      <c r="BF876" t="str">
        <f>HYPERLINK("http://dx.doi.org/10.1016/j.jclepro.2019.118052","http://dx.doi.org/10.1016/j.jclepro.2019.118052")</f>
        <v>http://dx.doi.org/10.1016/j.jclepro.2019.118052</v>
      </c>
      <c r="BG876" t="s">
        <v>72</v>
      </c>
      <c r="BH876" t="s">
        <v>72</v>
      </c>
      <c r="BI876">
        <v>11</v>
      </c>
      <c r="BJ876" t="s">
        <v>5250</v>
      </c>
      <c r="BK876" t="s">
        <v>5251</v>
      </c>
      <c r="BL876" t="s">
        <v>5252</v>
      </c>
      <c r="BM876" t="s">
        <v>72</v>
      </c>
      <c r="BN876" t="s">
        <v>72</v>
      </c>
      <c r="BO876" t="s">
        <v>72</v>
      </c>
      <c r="BP876" t="s">
        <v>72</v>
      </c>
      <c r="BQ876" t="s">
        <v>100</v>
      </c>
      <c r="BR876" t="s">
        <v>5253</v>
      </c>
      <c r="BS876" t="str">
        <f>HYPERLINK("https%3A%2F%2Fwww.webofscience.com%2Fwos%2Fwoscc%2Ffull-record%2FWOS:000491240100062","View Full Record in Web of Science")</f>
        <v>View Full Record in Web of Science</v>
      </c>
    </row>
    <row r="877" spans="1:71" hidden="1" x14ac:dyDescent="0.2">
      <c r="A877" t="s">
        <v>70</v>
      </c>
      <c r="B877" t="s">
        <v>5488</v>
      </c>
      <c r="C877" t="s">
        <v>72</v>
      </c>
      <c r="D877" t="s">
        <v>72</v>
      </c>
      <c r="E877" t="s">
        <v>72</v>
      </c>
      <c r="F877" t="s">
        <v>5489</v>
      </c>
      <c r="G877" t="s">
        <v>72</v>
      </c>
      <c r="H877" t="s">
        <v>72</v>
      </c>
      <c r="I877" t="s">
        <v>5490</v>
      </c>
      <c r="J877" t="s">
        <v>5232</v>
      </c>
      <c r="K877" t="s">
        <v>72</v>
      </c>
      <c r="L877" t="s">
        <v>72</v>
      </c>
      <c r="M877" t="s">
        <v>76</v>
      </c>
      <c r="N877" t="s">
        <v>77</v>
      </c>
      <c r="O877" t="s">
        <v>72</v>
      </c>
      <c r="P877" t="s">
        <v>72</v>
      </c>
      <c r="Q877" t="s">
        <v>72</v>
      </c>
      <c r="R877" t="s">
        <v>72</v>
      </c>
      <c r="S877" t="s">
        <v>72</v>
      </c>
      <c r="T877" t="s">
        <v>5491</v>
      </c>
      <c r="U877" t="s">
        <v>5492</v>
      </c>
      <c r="V877" t="s">
        <v>5493</v>
      </c>
      <c r="W877" t="s">
        <v>5494</v>
      </c>
      <c r="X877" t="s">
        <v>5495</v>
      </c>
      <c r="Y877" t="s">
        <v>5496</v>
      </c>
      <c r="Z877" t="s">
        <v>5497</v>
      </c>
      <c r="AA877" t="s">
        <v>5498</v>
      </c>
      <c r="AB877" t="s">
        <v>5499</v>
      </c>
      <c r="AC877" t="s">
        <v>72</v>
      </c>
      <c r="AD877" t="s">
        <v>72</v>
      </c>
      <c r="AE877" t="s">
        <v>72</v>
      </c>
      <c r="AF877" t="s">
        <v>72</v>
      </c>
      <c r="AG877">
        <v>65</v>
      </c>
      <c r="AH877">
        <v>22</v>
      </c>
      <c r="AI877">
        <v>22</v>
      </c>
      <c r="AJ877">
        <v>1</v>
      </c>
      <c r="AK877">
        <v>43</v>
      </c>
      <c r="AL877" t="s">
        <v>1596</v>
      </c>
      <c r="AM877" t="s">
        <v>451</v>
      </c>
      <c r="AN877" t="s">
        <v>1597</v>
      </c>
      <c r="AO877" t="s">
        <v>5244</v>
      </c>
      <c r="AP877" t="s">
        <v>5245</v>
      </c>
      <c r="AQ877" t="s">
        <v>72</v>
      </c>
      <c r="AR877" t="s">
        <v>5246</v>
      </c>
      <c r="AS877" t="s">
        <v>5247</v>
      </c>
      <c r="AT877" t="s">
        <v>5500</v>
      </c>
      <c r="AU877">
        <v>2019</v>
      </c>
      <c r="AV877">
        <v>212</v>
      </c>
      <c r="AW877" t="s">
        <v>72</v>
      </c>
      <c r="AX877" t="s">
        <v>72</v>
      </c>
      <c r="AY877" t="s">
        <v>72</v>
      </c>
      <c r="AZ877" t="s">
        <v>72</v>
      </c>
      <c r="BA877" t="s">
        <v>72</v>
      </c>
      <c r="BB877">
        <v>1117</v>
      </c>
      <c r="BC877">
        <v>1131</v>
      </c>
      <c r="BD877" t="s">
        <v>72</v>
      </c>
      <c r="BE877" t="s">
        <v>5501</v>
      </c>
      <c r="BF877" t="str">
        <f>HYPERLINK("http://dx.doi.org/10.1016/j.jclepro.2018.12.103","http://dx.doi.org/10.1016/j.jclepro.2018.12.103")</f>
        <v>http://dx.doi.org/10.1016/j.jclepro.2018.12.103</v>
      </c>
      <c r="BG877" t="s">
        <v>72</v>
      </c>
      <c r="BH877" t="s">
        <v>72</v>
      </c>
      <c r="BI877">
        <v>15</v>
      </c>
      <c r="BJ877" t="s">
        <v>5250</v>
      </c>
      <c r="BK877" t="s">
        <v>5251</v>
      </c>
      <c r="BL877" t="s">
        <v>5502</v>
      </c>
      <c r="BM877" t="s">
        <v>72</v>
      </c>
      <c r="BN877" t="s">
        <v>251</v>
      </c>
      <c r="BO877" t="s">
        <v>72</v>
      </c>
      <c r="BP877" t="s">
        <v>72</v>
      </c>
      <c r="BQ877" t="s">
        <v>100</v>
      </c>
      <c r="BR877" t="s">
        <v>5503</v>
      </c>
      <c r="BS877" t="str">
        <f>HYPERLINK("https%3A%2F%2Fwww.webofscience.com%2Fwos%2Fwoscc%2Ffull-record%2FWOS:000457952500094","View Full Record in Web of Science")</f>
        <v>View Full Record in Web of Science</v>
      </c>
    </row>
    <row r="878" spans="1:71" hidden="1" x14ac:dyDescent="0.2">
      <c r="A878" t="s">
        <v>70</v>
      </c>
      <c r="B878" t="s">
        <v>10809</v>
      </c>
      <c r="C878" t="s">
        <v>72</v>
      </c>
      <c r="D878" t="s">
        <v>72</v>
      </c>
      <c r="E878" t="s">
        <v>72</v>
      </c>
      <c r="F878" t="s">
        <v>10810</v>
      </c>
      <c r="G878" t="s">
        <v>72</v>
      </c>
      <c r="H878" t="s">
        <v>72</v>
      </c>
      <c r="I878" t="s">
        <v>10811</v>
      </c>
      <c r="J878" t="s">
        <v>5232</v>
      </c>
      <c r="K878" t="s">
        <v>72</v>
      </c>
      <c r="L878" t="s">
        <v>72</v>
      </c>
      <c r="M878" t="s">
        <v>76</v>
      </c>
      <c r="N878" t="s">
        <v>77</v>
      </c>
      <c r="O878" t="s">
        <v>72</v>
      </c>
      <c r="P878" t="s">
        <v>72</v>
      </c>
      <c r="Q878" t="s">
        <v>72</v>
      </c>
      <c r="R878" t="s">
        <v>72</v>
      </c>
      <c r="S878" t="s">
        <v>72</v>
      </c>
      <c r="T878" t="s">
        <v>10812</v>
      </c>
      <c r="U878" t="s">
        <v>10813</v>
      </c>
      <c r="V878" t="s">
        <v>10814</v>
      </c>
      <c r="W878" t="s">
        <v>10815</v>
      </c>
      <c r="X878" t="s">
        <v>10816</v>
      </c>
      <c r="Y878" t="s">
        <v>10817</v>
      </c>
      <c r="Z878" t="s">
        <v>10818</v>
      </c>
      <c r="AA878" t="s">
        <v>72</v>
      </c>
      <c r="AB878" t="s">
        <v>10819</v>
      </c>
      <c r="AC878" t="s">
        <v>10820</v>
      </c>
      <c r="AD878" t="s">
        <v>10821</v>
      </c>
      <c r="AE878" t="s">
        <v>10822</v>
      </c>
      <c r="AF878" t="s">
        <v>72</v>
      </c>
      <c r="AG878">
        <v>93</v>
      </c>
      <c r="AH878">
        <v>115</v>
      </c>
      <c r="AI878">
        <v>117</v>
      </c>
      <c r="AJ878">
        <v>8</v>
      </c>
      <c r="AK878">
        <v>128</v>
      </c>
      <c r="AL878" t="s">
        <v>1596</v>
      </c>
      <c r="AM878" t="s">
        <v>451</v>
      </c>
      <c r="AN878" t="s">
        <v>1597</v>
      </c>
      <c r="AO878" t="s">
        <v>5244</v>
      </c>
      <c r="AP878" t="s">
        <v>5245</v>
      </c>
      <c r="AQ878" t="s">
        <v>72</v>
      </c>
      <c r="AR878" t="s">
        <v>5246</v>
      </c>
      <c r="AS878" t="s">
        <v>5247</v>
      </c>
      <c r="AT878" t="s">
        <v>5248</v>
      </c>
      <c r="AU878">
        <v>2018</v>
      </c>
      <c r="AV878">
        <v>170</v>
      </c>
      <c r="AW878" t="s">
        <v>72</v>
      </c>
      <c r="AX878" t="s">
        <v>72</v>
      </c>
      <c r="AY878" t="s">
        <v>72</v>
      </c>
      <c r="AZ878" t="s">
        <v>72</v>
      </c>
      <c r="BA878" t="s">
        <v>72</v>
      </c>
      <c r="BB878">
        <v>216</v>
      </c>
      <c r="BC878">
        <v>226</v>
      </c>
      <c r="BD878" t="s">
        <v>72</v>
      </c>
      <c r="BE878" t="s">
        <v>10823</v>
      </c>
      <c r="BF878" t="str">
        <f>HYPERLINK("http://dx.doi.org/10.1016/j.jclepro.2017.09.159","http://dx.doi.org/10.1016/j.jclepro.2017.09.159")</f>
        <v>http://dx.doi.org/10.1016/j.jclepro.2017.09.159</v>
      </c>
      <c r="BG878" t="s">
        <v>72</v>
      </c>
      <c r="BH878" t="s">
        <v>72</v>
      </c>
      <c r="BI878">
        <v>11</v>
      </c>
      <c r="BJ878" t="s">
        <v>5250</v>
      </c>
      <c r="BK878" t="s">
        <v>5251</v>
      </c>
      <c r="BL878" t="s">
        <v>10824</v>
      </c>
      <c r="BM878" t="s">
        <v>72</v>
      </c>
      <c r="BN878" t="s">
        <v>8787</v>
      </c>
      <c r="BO878" t="s">
        <v>72</v>
      </c>
      <c r="BP878" t="s">
        <v>72</v>
      </c>
      <c r="BQ878" t="s">
        <v>100</v>
      </c>
      <c r="BR878" t="s">
        <v>10825</v>
      </c>
      <c r="BS878" t="str">
        <f>HYPERLINK("https%3A%2F%2Fwww.webofscience.com%2Fwos%2Fwoscc%2Ffull-record%2FWOS:000414879300021","View Full Record in Web of Science")</f>
        <v>View Full Record in Web of Science</v>
      </c>
    </row>
    <row r="879" spans="1:71" hidden="1" x14ac:dyDescent="0.2">
      <c r="A879" t="s">
        <v>70</v>
      </c>
      <c r="B879" t="s">
        <v>2593</v>
      </c>
      <c r="C879" t="s">
        <v>72</v>
      </c>
      <c r="D879" t="s">
        <v>72</v>
      </c>
      <c r="E879" t="s">
        <v>72</v>
      </c>
      <c r="F879" t="s">
        <v>2594</v>
      </c>
      <c r="G879" t="s">
        <v>72</v>
      </c>
      <c r="H879" t="s">
        <v>72</v>
      </c>
      <c r="I879" t="s">
        <v>2595</v>
      </c>
      <c r="J879" t="s">
        <v>2596</v>
      </c>
      <c r="K879" t="s">
        <v>72</v>
      </c>
      <c r="L879" t="s">
        <v>72</v>
      </c>
      <c r="M879" t="s">
        <v>76</v>
      </c>
      <c r="N879" t="s">
        <v>77</v>
      </c>
      <c r="O879" t="s">
        <v>72</v>
      </c>
      <c r="P879" t="s">
        <v>72</v>
      </c>
      <c r="Q879" t="s">
        <v>72</v>
      </c>
      <c r="R879" t="s">
        <v>72</v>
      </c>
      <c r="S879" t="s">
        <v>72</v>
      </c>
      <c r="T879" t="s">
        <v>2597</v>
      </c>
      <c r="U879" t="s">
        <v>2598</v>
      </c>
      <c r="V879" t="s">
        <v>2599</v>
      </c>
      <c r="W879" t="s">
        <v>2600</v>
      </c>
      <c r="X879" t="s">
        <v>2601</v>
      </c>
      <c r="Y879" t="s">
        <v>2602</v>
      </c>
      <c r="Z879" t="s">
        <v>2603</v>
      </c>
      <c r="AA879" t="s">
        <v>2604</v>
      </c>
      <c r="AB879" t="s">
        <v>2605</v>
      </c>
      <c r="AC879" t="s">
        <v>72</v>
      </c>
      <c r="AD879" t="s">
        <v>72</v>
      </c>
      <c r="AE879" t="s">
        <v>72</v>
      </c>
      <c r="AF879" t="s">
        <v>72</v>
      </c>
      <c r="AG879">
        <v>68</v>
      </c>
      <c r="AH879">
        <v>12</v>
      </c>
      <c r="AI879">
        <v>12</v>
      </c>
      <c r="AJ879">
        <v>3</v>
      </c>
      <c r="AK879">
        <v>32</v>
      </c>
      <c r="AL879" t="s">
        <v>2426</v>
      </c>
      <c r="AM879" t="s">
        <v>2427</v>
      </c>
      <c r="AN879" t="s">
        <v>2428</v>
      </c>
      <c r="AO879" t="s">
        <v>72</v>
      </c>
      <c r="AP879" t="s">
        <v>2606</v>
      </c>
      <c r="AQ879" t="s">
        <v>72</v>
      </c>
      <c r="AR879" t="s">
        <v>2607</v>
      </c>
      <c r="AS879" t="s">
        <v>2608</v>
      </c>
      <c r="AT879" t="s">
        <v>639</v>
      </c>
      <c r="AU879">
        <v>2020</v>
      </c>
      <c r="AV879">
        <v>12</v>
      </c>
      <c r="AW879">
        <v>16</v>
      </c>
      <c r="AX879" t="s">
        <v>72</v>
      </c>
      <c r="AY879" t="s">
        <v>72</v>
      </c>
      <c r="AZ879" t="s">
        <v>72</v>
      </c>
      <c r="BA879" t="s">
        <v>72</v>
      </c>
      <c r="BB879" t="s">
        <v>72</v>
      </c>
      <c r="BC879" t="s">
        <v>72</v>
      </c>
      <c r="BD879">
        <v>6673</v>
      </c>
      <c r="BE879" t="s">
        <v>2609</v>
      </c>
      <c r="BF879" t="str">
        <f>HYPERLINK("http://dx.doi.org/10.3390/su12166673","http://dx.doi.org/10.3390/su12166673")</f>
        <v>http://dx.doi.org/10.3390/su12166673</v>
      </c>
      <c r="BG879" t="s">
        <v>72</v>
      </c>
      <c r="BH879" t="s">
        <v>72</v>
      </c>
      <c r="BI879">
        <v>17</v>
      </c>
      <c r="BJ879" t="s">
        <v>2610</v>
      </c>
      <c r="BK879" t="s">
        <v>2611</v>
      </c>
      <c r="BL879" t="s">
        <v>2612</v>
      </c>
      <c r="BM879" t="s">
        <v>72</v>
      </c>
      <c r="BN879" t="s">
        <v>910</v>
      </c>
      <c r="BO879" t="s">
        <v>72</v>
      </c>
      <c r="BP879" t="s">
        <v>72</v>
      </c>
      <c r="BQ879" t="s">
        <v>100</v>
      </c>
      <c r="BR879" t="s">
        <v>2613</v>
      </c>
      <c r="BS879" t="str">
        <f>HYPERLINK("https%3A%2F%2Fwww.webofscience.com%2Fwos%2Fwoscc%2Ffull-record%2FWOS:000578890600001","View Full Record in Web of Science")</f>
        <v>View Full Record in Web of Science</v>
      </c>
    </row>
    <row r="880" spans="1:71" hidden="1" x14ac:dyDescent="0.2">
      <c r="A880" t="s">
        <v>70</v>
      </c>
      <c r="B880" t="s">
        <v>2761</v>
      </c>
      <c r="C880" t="s">
        <v>72</v>
      </c>
      <c r="D880" t="s">
        <v>72</v>
      </c>
      <c r="E880" t="s">
        <v>72</v>
      </c>
      <c r="F880" t="s">
        <v>2762</v>
      </c>
      <c r="G880" t="s">
        <v>72</v>
      </c>
      <c r="H880" t="s">
        <v>72</v>
      </c>
      <c r="I880" t="s">
        <v>2763</v>
      </c>
      <c r="J880" t="s">
        <v>2596</v>
      </c>
      <c r="K880" t="s">
        <v>72</v>
      </c>
      <c r="L880" t="s">
        <v>72</v>
      </c>
      <c r="M880" t="s">
        <v>76</v>
      </c>
      <c r="N880" t="s">
        <v>1503</v>
      </c>
      <c r="O880" t="s">
        <v>72</v>
      </c>
      <c r="P880" t="s">
        <v>72</v>
      </c>
      <c r="Q880" t="s">
        <v>72</v>
      </c>
      <c r="R880" t="s">
        <v>72</v>
      </c>
      <c r="S880" t="s">
        <v>72</v>
      </c>
      <c r="T880" t="s">
        <v>2764</v>
      </c>
      <c r="U880" t="s">
        <v>2765</v>
      </c>
      <c r="V880" t="s">
        <v>2766</v>
      </c>
      <c r="W880" t="s">
        <v>2767</v>
      </c>
      <c r="X880" t="s">
        <v>2768</v>
      </c>
      <c r="Y880" t="s">
        <v>2769</v>
      </c>
      <c r="Z880" t="s">
        <v>2770</v>
      </c>
      <c r="AA880" t="s">
        <v>1302</v>
      </c>
      <c r="AB880" t="s">
        <v>1303</v>
      </c>
      <c r="AC880" t="s">
        <v>72</v>
      </c>
      <c r="AD880" t="s">
        <v>72</v>
      </c>
      <c r="AE880" t="s">
        <v>72</v>
      </c>
      <c r="AF880" t="s">
        <v>72</v>
      </c>
      <c r="AG880">
        <v>117</v>
      </c>
      <c r="AH880">
        <v>1</v>
      </c>
      <c r="AI880">
        <v>1</v>
      </c>
      <c r="AJ880">
        <v>30</v>
      </c>
      <c r="AK880">
        <v>72</v>
      </c>
      <c r="AL880" t="s">
        <v>2426</v>
      </c>
      <c r="AM880" t="s">
        <v>2427</v>
      </c>
      <c r="AN880" t="s">
        <v>2428</v>
      </c>
      <c r="AO880" t="s">
        <v>72</v>
      </c>
      <c r="AP880" t="s">
        <v>2606</v>
      </c>
      <c r="AQ880" t="s">
        <v>72</v>
      </c>
      <c r="AR880" t="s">
        <v>2607</v>
      </c>
      <c r="AS880" t="s">
        <v>2608</v>
      </c>
      <c r="AT880" t="s">
        <v>951</v>
      </c>
      <c r="AU880">
        <v>2021</v>
      </c>
      <c r="AV880">
        <v>13</v>
      </c>
      <c r="AW880">
        <v>22</v>
      </c>
      <c r="AX880" t="s">
        <v>72</v>
      </c>
      <c r="AY880" t="s">
        <v>72</v>
      </c>
      <c r="AZ880" t="s">
        <v>72</v>
      </c>
      <c r="BA880" t="s">
        <v>72</v>
      </c>
      <c r="BB880" t="s">
        <v>72</v>
      </c>
      <c r="BC880" t="s">
        <v>72</v>
      </c>
      <c r="BD880">
        <v>12829</v>
      </c>
      <c r="BE880" t="s">
        <v>2771</v>
      </c>
      <c r="BF880" t="str">
        <f>HYPERLINK("http://dx.doi.org/10.3390/su132212829","http://dx.doi.org/10.3390/su132212829")</f>
        <v>http://dx.doi.org/10.3390/su132212829</v>
      </c>
      <c r="BG880" t="s">
        <v>72</v>
      </c>
      <c r="BH880" t="s">
        <v>72</v>
      </c>
      <c r="BI880">
        <v>21</v>
      </c>
      <c r="BJ880" t="s">
        <v>2610</v>
      </c>
      <c r="BK880" t="s">
        <v>2611</v>
      </c>
      <c r="BL880" t="s">
        <v>2772</v>
      </c>
      <c r="BM880" t="s">
        <v>72</v>
      </c>
      <c r="BN880" t="s">
        <v>222</v>
      </c>
      <c r="BO880" t="s">
        <v>72</v>
      </c>
      <c r="BP880" t="s">
        <v>72</v>
      </c>
      <c r="BQ880" t="s">
        <v>100</v>
      </c>
      <c r="BR880" t="s">
        <v>2773</v>
      </c>
      <c r="BS880" t="str">
        <f>HYPERLINK("https%3A%2F%2Fwww.webofscience.com%2Fwos%2Fwoscc%2Ffull-record%2FWOS:000723392000001","View Full Record in Web of Science")</f>
        <v>View Full Record in Web of Science</v>
      </c>
    </row>
    <row r="881" spans="1:71" hidden="1" x14ac:dyDescent="0.2">
      <c r="A881" t="s">
        <v>70</v>
      </c>
      <c r="B881" t="s">
        <v>3017</v>
      </c>
      <c r="C881" t="s">
        <v>72</v>
      </c>
      <c r="D881" t="s">
        <v>72</v>
      </c>
      <c r="E881" t="s">
        <v>72</v>
      </c>
      <c r="F881" t="s">
        <v>3018</v>
      </c>
      <c r="G881" t="s">
        <v>72</v>
      </c>
      <c r="H881" t="s">
        <v>72</v>
      </c>
      <c r="I881" t="s">
        <v>3019</v>
      </c>
      <c r="J881" t="s">
        <v>3020</v>
      </c>
      <c r="K881" t="s">
        <v>72</v>
      </c>
      <c r="L881" t="s">
        <v>72</v>
      </c>
      <c r="M881" t="s">
        <v>76</v>
      </c>
      <c r="N881" t="s">
        <v>1503</v>
      </c>
      <c r="O881" t="s">
        <v>72</v>
      </c>
      <c r="P881" t="s">
        <v>72</v>
      </c>
      <c r="Q881" t="s">
        <v>72</v>
      </c>
      <c r="R881" t="s">
        <v>72</v>
      </c>
      <c r="S881" t="s">
        <v>72</v>
      </c>
      <c r="T881" t="s">
        <v>3021</v>
      </c>
      <c r="U881" t="s">
        <v>3022</v>
      </c>
      <c r="V881" t="s">
        <v>3023</v>
      </c>
      <c r="W881" t="s">
        <v>3024</v>
      </c>
      <c r="X881" t="s">
        <v>72</v>
      </c>
      <c r="Y881" t="s">
        <v>3025</v>
      </c>
      <c r="Z881" t="s">
        <v>3026</v>
      </c>
      <c r="AA881" t="s">
        <v>72</v>
      </c>
      <c r="AB881" t="s">
        <v>72</v>
      </c>
      <c r="AC881" t="s">
        <v>3027</v>
      </c>
      <c r="AD881" t="s">
        <v>3027</v>
      </c>
      <c r="AE881" t="s">
        <v>3028</v>
      </c>
      <c r="AF881" t="s">
        <v>72</v>
      </c>
      <c r="AG881">
        <v>89</v>
      </c>
      <c r="AH881">
        <v>0</v>
      </c>
      <c r="AI881">
        <v>0</v>
      </c>
      <c r="AJ881">
        <v>6</v>
      </c>
      <c r="AK881">
        <v>9</v>
      </c>
      <c r="AL881" t="s">
        <v>88</v>
      </c>
      <c r="AM881" t="s">
        <v>89</v>
      </c>
      <c r="AN881" t="s">
        <v>90</v>
      </c>
      <c r="AO881" t="s">
        <v>3029</v>
      </c>
      <c r="AP881" t="s">
        <v>3030</v>
      </c>
      <c r="AQ881" t="s">
        <v>72</v>
      </c>
      <c r="AR881" t="s">
        <v>3031</v>
      </c>
      <c r="AS881" t="s">
        <v>3032</v>
      </c>
      <c r="AT881" t="s">
        <v>929</v>
      </c>
      <c r="AU881">
        <v>2022</v>
      </c>
      <c r="AV881">
        <v>24</v>
      </c>
      <c r="AW881">
        <v>12</v>
      </c>
      <c r="AX881" t="s">
        <v>72</v>
      </c>
      <c r="AY881" t="s">
        <v>72</v>
      </c>
      <c r="AZ881" t="s">
        <v>72</v>
      </c>
      <c r="BA881" t="s">
        <v>72</v>
      </c>
      <c r="BB881">
        <v>13476</v>
      </c>
      <c r="BC881">
        <v>13492</v>
      </c>
      <c r="BD881" t="s">
        <v>72</v>
      </c>
      <c r="BE881" t="s">
        <v>3033</v>
      </c>
      <c r="BF881" t="str">
        <f>HYPERLINK("http://dx.doi.org/10.1007/s10668-021-02029-0","http://dx.doi.org/10.1007/s10668-021-02029-0")</f>
        <v>http://dx.doi.org/10.1007/s10668-021-02029-0</v>
      </c>
      <c r="BG881" t="s">
        <v>72</v>
      </c>
      <c r="BH881" t="s">
        <v>1832</v>
      </c>
      <c r="BI881">
        <v>17</v>
      </c>
      <c r="BJ881" t="s">
        <v>3034</v>
      </c>
      <c r="BK881" t="s">
        <v>2611</v>
      </c>
      <c r="BL881" t="s">
        <v>3035</v>
      </c>
      <c r="BM881" t="s">
        <v>72</v>
      </c>
      <c r="BN881" t="s">
        <v>72</v>
      </c>
      <c r="BO881" t="s">
        <v>72</v>
      </c>
      <c r="BP881" t="s">
        <v>72</v>
      </c>
      <c r="BQ881" t="s">
        <v>100</v>
      </c>
      <c r="BR881" t="s">
        <v>3036</v>
      </c>
      <c r="BS881" t="str">
        <f>HYPERLINK("https%3A%2F%2Fwww.webofscience.com%2Fwos%2Fwoscc%2Ffull-record%2FWOS:000742814500003","View Full Record in Web of Science")</f>
        <v>View Full Record in Web of Science</v>
      </c>
    </row>
    <row r="882" spans="1:71" hidden="1" x14ac:dyDescent="0.2">
      <c r="A882" t="s">
        <v>70</v>
      </c>
      <c r="B882" t="s">
        <v>3824</v>
      </c>
      <c r="C882" t="s">
        <v>72</v>
      </c>
      <c r="D882" t="s">
        <v>72</v>
      </c>
      <c r="E882" t="s">
        <v>72</v>
      </c>
      <c r="F882" t="s">
        <v>3825</v>
      </c>
      <c r="G882" t="s">
        <v>72</v>
      </c>
      <c r="H882" t="s">
        <v>72</v>
      </c>
      <c r="I882" t="s">
        <v>3826</v>
      </c>
      <c r="J882" t="s">
        <v>2596</v>
      </c>
      <c r="K882" t="s">
        <v>72</v>
      </c>
      <c r="L882" t="s">
        <v>72</v>
      </c>
      <c r="M882" t="s">
        <v>76</v>
      </c>
      <c r="N882" t="s">
        <v>1503</v>
      </c>
      <c r="O882" t="s">
        <v>72</v>
      </c>
      <c r="P882" t="s">
        <v>72</v>
      </c>
      <c r="Q882" t="s">
        <v>72</v>
      </c>
      <c r="R882" t="s">
        <v>72</v>
      </c>
      <c r="S882" t="s">
        <v>72</v>
      </c>
      <c r="T882" t="s">
        <v>3827</v>
      </c>
      <c r="U882" t="s">
        <v>3828</v>
      </c>
      <c r="V882" t="s">
        <v>3829</v>
      </c>
      <c r="W882" t="s">
        <v>3830</v>
      </c>
      <c r="X882" t="s">
        <v>3831</v>
      </c>
      <c r="Y882" t="s">
        <v>3832</v>
      </c>
      <c r="Z882" t="s">
        <v>3833</v>
      </c>
      <c r="AA882" t="s">
        <v>72</v>
      </c>
      <c r="AB882" t="s">
        <v>3834</v>
      </c>
      <c r="AC882" t="s">
        <v>3835</v>
      </c>
      <c r="AD882" t="s">
        <v>3836</v>
      </c>
      <c r="AE882" t="s">
        <v>3837</v>
      </c>
      <c r="AF882" t="s">
        <v>72</v>
      </c>
      <c r="AG882">
        <v>85</v>
      </c>
      <c r="AH882">
        <v>6</v>
      </c>
      <c r="AI882">
        <v>6</v>
      </c>
      <c r="AJ882">
        <v>7</v>
      </c>
      <c r="AK882">
        <v>27</v>
      </c>
      <c r="AL882" t="s">
        <v>2426</v>
      </c>
      <c r="AM882" t="s">
        <v>2427</v>
      </c>
      <c r="AN882" t="s">
        <v>2428</v>
      </c>
      <c r="AO882" t="s">
        <v>72</v>
      </c>
      <c r="AP882" t="s">
        <v>2606</v>
      </c>
      <c r="AQ882" t="s">
        <v>72</v>
      </c>
      <c r="AR882" t="s">
        <v>2607</v>
      </c>
      <c r="AS882" t="s">
        <v>2608</v>
      </c>
      <c r="AT882" t="s">
        <v>1602</v>
      </c>
      <c r="AU882">
        <v>2021</v>
      </c>
      <c r="AV882">
        <v>13</v>
      </c>
      <c r="AW882">
        <v>3</v>
      </c>
      <c r="AX882" t="s">
        <v>72</v>
      </c>
      <c r="AY882" t="s">
        <v>72</v>
      </c>
      <c r="AZ882" t="s">
        <v>72</v>
      </c>
      <c r="BA882" t="s">
        <v>72</v>
      </c>
      <c r="BB882" t="s">
        <v>72</v>
      </c>
      <c r="BC882" t="s">
        <v>72</v>
      </c>
      <c r="BD882">
        <v>1192</v>
      </c>
      <c r="BE882" t="s">
        <v>3838</v>
      </c>
      <c r="BF882" t="str">
        <f>HYPERLINK("http://dx.doi.org/10.3390/su13031192","http://dx.doi.org/10.3390/su13031192")</f>
        <v>http://dx.doi.org/10.3390/su13031192</v>
      </c>
      <c r="BG882" t="s">
        <v>72</v>
      </c>
      <c r="BH882" t="s">
        <v>72</v>
      </c>
      <c r="BI882">
        <v>24</v>
      </c>
      <c r="BJ882" t="s">
        <v>2610</v>
      </c>
      <c r="BK882" t="s">
        <v>2611</v>
      </c>
      <c r="BL882" t="s">
        <v>3839</v>
      </c>
      <c r="BM882" t="s">
        <v>72</v>
      </c>
      <c r="BN882" t="s">
        <v>910</v>
      </c>
      <c r="BO882" t="s">
        <v>72</v>
      </c>
      <c r="BP882" t="s">
        <v>72</v>
      </c>
      <c r="BQ882" t="s">
        <v>100</v>
      </c>
      <c r="BR882" t="s">
        <v>3840</v>
      </c>
      <c r="BS882" t="str">
        <f>HYPERLINK("https%3A%2F%2Fwww.webofscience.com%2Fwos%2Fwoscc%2Ffull-record%2FWOS:000615618100001","View Full Record in Web of Science")</f>
        <v>View Full Record in Web of Science</v>
      </c>
    </row>
    <row r="883" spans="1:71" hidden="1" x14ac:dyDescent="0.2">
      <c r="A883" t="s">
        <v>70</v>
      </c>
      <c r="B883" t="s">
        <v>4008</v>
      </c>
      <c r="C883" t="s">
        <v>72</v>
      </c>
      <c r="D883" t="s">
        <v>72</v>
      </c>
      <c r="E883" t="s">
        <v>72</v>
      </c>
      <c r="F883" t="s">
        <v>4009</v>
      </c>
      <c r="G883" t="s">
        <v>72</v>
      </c>
      <c r="H883" t="s">
        <v>72</v>
      </c>
      <c r="I883" t="s">
        <v>4010</v>
      </c>
      <c r="J883" t="s">
        <v>2596</v>
      </c>
      <c r="K883" t="s">
        <v>72</v>
      </c>
      <c r="L883" t="s">
        <v>72</v>
      </c>
      <c r="M883" t="s">
        <v>76</v>
      </c>
      <c r="N883" t="s">
        <v>1503</v>
      </c>
      <c r="O883" t="s">
        <v>72</v>
      </c>
      <c r="P883" t="s">
        <v>72</v>
      </c>
      <c r="Q883" t="s">
        <v>72</v>
      </c>
      <c r="R883" t="s">
        <v>72</v>
      </c>
      <c r="S883" t="s">
        <v>72</v>
      </c>
      <c r="T883" t="s">
        <v>4011</v>
      </c>
      <c r="U883" t="s">
        <v>4012</v>
      </c>
      <c r="V883" t="s">
        <v>4013</v>
      </c>
      <c r="W883" t="s">
        <v>72</v>
      </c>
      <c r="X883" t="s">
        <v>72</v>
      </c>
      <c r="Y883" t="s">
        <v>72</v>
      </c>
      <c r="Z883" t="s">
        <v>4014</v>
      </c>
      <c r="AA883" t="s">
        <v>4015</v>
      </c>
      <c r="AB883" t="s">
        <v>4016</v>
      </c>
      <c r="AC883" t="s">
        <v>72</v>
      </c>
      <c r="AD883" t="s">
        <v>72</v>
      </c>
      <c r="AE883" t="s">
        <v>72</v>
      </c>
      <c r="AF883" t="s">
        <v>72</v>
      </c>
      <c r="AG883">
        <v>136</v>
      </c>
      <c r="AH883">
        <v>8</v>
      </c>
      <c r="AI883">
        <v>8</v>
      </c>
      <c r="AJ883">
        <v>7</v>
      </c>
      <c r="AK883">
        <v>36</v>
      </c>
      <c r="AL883" t="s">
        <v>2426</v>
      </c>
      <c r="AM883" t="s">
        <v>2427</v>
      </c>
      <c r="AN883" t="s">
        <v>2428</v>
      </c>
      <c r="AO883" t="s">
        <v>72</v>
      </c>
      <c r="AP883" t="s">
        <v>2606</v>
      </c>
      <c r="AQ883" t="s">
        <v>72</v>
      </c>
      <c r="AR883" t="s">
        <v>2607</v>
      </c>
      <c r="AS883" t="s">
        <v>2608</v>
      </c>
      <c r="AT883" t="s">
        <v>395</v>
      </c>
      <c r="AU883">
        <v>2020</v>
      </c>
      <c r="AV883">
        <v>12</v>
      </c>
      <c r="AW883">
        <v>20</v>
      </c>
      <c r="AX883" t="s">
        <v>72</v>
      </c>
      <c r="AY883" t="s">
        <v>72</v>
      </c>
      <c r="AZ883" t="s">
        <v>72</v>
      </c>
      <c r="BA883" t="s">
        <v>72</v>
      </c>
      <c r="BB883" t="s">
        <v>72</v>
      </c>
      <c r="BC883" t="s">
        <v>72</v>
      </c>
      <c r="BD883">
        <v>8497</v>
      </c>
      <c r="BE883" t="s">
        <v>4017</v>
      </c>
      <c r="BF883" t="str">
        <f>HYPERLINK("http://dx.doi.org/10.3390/su12208497","http://dx.doi.org/10.3390/su12208497")</f>
        <v>http://dx.doi.org/10.3390/su12208497</v>
      </c>
      <c r="BG883" t="s">
        <v>72</v>
      </c>
      <c r="BH883" t="s">
        <v>72</v>
      </c>
      <c r="BI883">
        <v>27</v>
      </c>
      <c r="BJ883" t="s">
        <v>2610</v>
      </c>
      <c r="BK883" t="s">
        <v>2611</v>
      </c>
      <c r="BL883" t="s">
        <v>4018</v>
      </c>
      <c r="BM883" t="s">
        <v>72</v>
      </c>
      <c r="BN883" t="s">
        <v>1425</v>
      </c>
      <c r="BO883" t="s">
        <v>72</v>
      </c>
      <c r="BP883" t="s">
        <v>72</v>
      </c>
      <c r="BQ883" t="s">
        <v>100</v>
      </c>
      <c r="BR883" t="s">
        <v>4019</v>
      </c>
      <c r="BS883" t="str">
        <f>HYPERLINK("https%3A%2F%2Fwww.webofscience.com%2Fwos%2Fwoscc%2Ffull-record%2FWOS:000583072800001","View Full Record in Web of Science")</f>
        <v>View Full Record in Web of Science</v>
      </c>
    </row>
    <row r="884" spans="1:71" hidden="1" x14ac:dyDescent="0.2">
      <c r="A884" t="s">
        <v>70</v>
      </c>
      <c r="B884" t="s">
        <v>4524</v>
      </c>
      <c r="C884" t="s">
        <v>72</v>
      </c>
      <c r="D884" t="s">
        <v>72</v>
      </c>
      <c r="E884" t="s">
        <v>72</v>
      </c>
      <c r="F884" t="s">
        <v>4525</v>
      </c>
      <c r="G884" t="s">
        <v>72</v>
      </c>
      <c r="H884" t="s">
        <v>72</v>
      </c>
      <c r="I884" t="s">
        <v>4526</v>
      </c>
      <c r="J884" t="s">
        <v>2596</v>
      </c>
      <c r="K884" t="s">
        <v>72</v>
      </c>
      <c r="L884" t="s">
        <v>72</v>
      </c>
      <c r="M884" t="s">
        <v>76</v>
      </c>
      <c r="N884" t="s">
        <v>1503</v>
      </c>
      <c r="O884" t="s">
        <v>72</v>
      </c>
      <c r="P884" t="s">
        <v>72</v>
      </c>
      <c r="Q884" t="s">
        <v>72</v>
      </c>
      <c r="R884" t="s">
        <v>72</v>
      </c>
      <c r="S884" t="s">
        <v>72</v>
      </c>
      <c r="T884" t="s">
        <v>4527</v>
      </c>
      <c r="U884" t="s">
        <v>4528</v>
      </c>
      <c r="V884" t="s">
        <v>4529</v>
      </c>
      <c r="W884" t="s">
        <v>4530</v>
      </c>
      <c r="X884" t="s">
        <v>4531</v>
      </c>
      <c r="Y884" t="s">
        <v>4532</v>
      </c>
      <c r="Z884" t="s">
        <v>4533</v>
      </c>
      <c r="AA884" t="s">
        <v>72</v>
      </c>
      <c r="AB884" t="s">
        <v>4534</v>
      </c>
      <c r="AC884" t="s">
        <v>72</v>
      </c>
      <c r="AD884" t="s">
        <v>72</v>
      </c>
      <c r="AE884" t="s">
        <v>72</v>
      </c>
      <c r="AF884" t="s">
        <v>72</v>
      </c>
      <c r="AG884">
        <v>158</v>
      </c>
      <c r="AH884">
        <v>0</v>
      </c>
      <c r="AI884">
        <v>0</v>
      </c>
      <c r="AJ884">
        <v>15</v>
      </c>
      <c r="AK884">
        <v>15</v>
      </c>
      <c r="AL884" t="s">
        <v>2426</v>
      </c>
      <c r="AM884" t="s">
        <v>2427</v>
      </c>
      <c r="AN884" t="s">
        <v>2428</v>
      </c>
      <c r="AO884" t="s">
        <v>72</v>
      </c>
      <c r="AP884" t="s">
        <v>2606</v>
      </c>
      <c r="AQ884" t="s">
        <v>72</v>
      </c>
      <c r="AR884" t="s">
        <v>2607</v>
      </c>
      <c r="AS884" t="s">
        <v>2608</v>
      </c>
      <c r="AT884" t="s">
        <v>299</v>
      </c>
      <c r="AU884">
        <v>2022</v>
      </c>
      <c r="AV884">
        <v>14</v>
      </c>
      <c r="AW884">
        <v>11</v>
      </c>
      <c r="AX884" t="s">
        <v>72</v>
      </c>
      <c r="AY884" t="s">
        <v>72</v>
      </c>
      <c r="AZ884" t="s">
        <v>72</v>
      </c>
      <c r="BA884" t="s">
        <v>72</v>
      </c>
      <c r="BB884" t="s">
        <v>72</v>
      </c>
      <c r="BC884" t="s">
        <v>72</v>
      </c>
      <c r="BD884">
        <v>6878</v>
      </c>
      <c r="BE884" t="s">
        <v>4535</v>
      </c>
      <c r="BF884" t="str">
        <f>HYPERLINK("http://dx.doi.org/10.3390/su14116878","http://dx.doi.org/10.3390/su14116878")</f>
        <v>http://dx.doi.org/10.3390/su14116878</v>
      </c>
      <c r="BG884" t="s">
        <v>72</v>
      </c>
      <c r="BH884" t="s">
        <v>72</v>
      </c>
      <c r="BI884">
        <v>27</v>
      </c>
      <c r="BJ884" t="s">
        <v>2610</v>
      </c>
      <c r="BK884" t="s">
        <v>2611</v>
      </c>
      <c r="BL884" t="s">
        <v>4536</v>
      </c>
      <c r="BM884" t="s">
        <v>72</v>
      </c>
      <c r="BN884" t="s">
        <v>222</v>
      </c>
      <c r="BO884" t="s">
        <v>72</v>
      </c>
      <c r="BP884" t="s">
        <v>72</v>
      </c>
      <c r="BQ884" t="s">
        <v>100</v>
      </c>
      <c r="BR884" t="s">
        <v>4537</v>
      </c>
      <c r="BS884" t="str">
        <f>HYPERLINK("https%3A%2F%2Fwww.webofscience.com%2Fwos%2Fwoscc%2Ffull-record%2FWOS:000809125900001","View Full Record in Web of Science")</f>
        <v>View Full Record in Web of Science</v>
      </c>
    </row>
    <row r="885" spans="1:71" hidden="1" x14ac:dyDescent="0.2">
      <c r="A885" t="s">
        <v>70</v>
      </c>
      <c r="B885" t="s">
        <v>7300</v>
      </c>
      <c r="C885" t="s">
        <v>72</v>
      </c>
      <c r="D885" t="s">
        <v>72</v>
      </c>
      <c r="E885" t="s">
        <v>72</v>
      </c>
      <c r="F885" t="s">
        <v>7301</v>
      </c>
      <c r="G885" t="s">
        <v>72</v>
      </c>
      <c r="H885" t="s">
        <v>72</v>
      </c>
      <c r="I885" t="s">
        <v>7302</v>
      </c>
      <c r="J885" t="s">
        <v>2596</v>
      </c>
      <c r="K885" t="s">
        <v>72</v>
      </c>
      <c r="L885" t="s">
        <v>72</v>
      </c>
      <c r="M885" t="s">
        <v>76</v>
      </c>
      <c r="N885" t="s">
        <v>1503</v>
      </c>
      <c r="O885" t="s">
        <v>72</v>
      </c>
      <c r="P885" t="s">
        <v>72</v>
      </c>
      <c r="Q885" t="s">
        <v>72</v>
      </c>
      <c r="R885" t="s">
        <v>72</v>
      </c>
      <c r="S885" t="s">
        <v>72</v>
      </c>
      <c r="T885" t="s">
        <v>7303</v>
      </c>
      <c r="U885" t="s">
        <v>7304</v>
      </c>
      <c r="V885" t="s">
        <v>7305</v>
      </c>
      <c r="W885" t="s">
        <v>7306</v>
      </c>
      <c r="X885" t="s">
        <v>7307</v>
      </c>
      <c r="Y885" t="s">
        <v>7308</v>
      </c>
      <c r="Z885" t="s">
        <v>7309</v>
      </c>
      <c r="AA885" t="s">
        <v>72</v>
      </c>
      <c r="AB885" t="s">
        <v>7310</v>
      </c>
      <c r="AC885" t="s">
        <v>7311</v>
      </c>
      <c r="AD885" t="s">
        <v>7311</v>
      </c>
      <c r="AE885" t="s">
        <v>7312</v>
      </c>
      <c r="AF885" t="s">
        <v>72</v>
      </c>
      <c r="AG885">
        <v>96</v>
      </c>
      <c r="AH885">
        <v>1</v>
      </c>
      <c r="AI885">
        <v>1</v>
      </c>
      <c r="AJ885">
        <v>3</v>
      </c>
      <c r="AK885">
        <v>16</v>
      </c>
      <c r="AL885" t="s">
        <v>2426</v>
      </c>
      <c r="AM885" t="s">
        <v>2427</v>
      </c>
      <c r="AN885" t="s">
        <v>2428</v>
      </c>
      <c r="AO885" t="s">
        <v>72</v>
      </c>
      <c r="AP885" t="s">
        <v>2606</v>
      </c>
      <c r="AQ885" t="s">
        <v>72</v>
      </c>
      <c r="AR885" t="s">
        <v>2607</v>
      </c>
      <c r="AS885" t="s">
        <v>2608</v>
      </c>
      <c r="AT885" t="s">
        <v>639</v>
      </c>
      <c r="AU885">
        <v>2021</v>
      </c>
      <c r="AV885">
        <v>13</v>
      </c>
      <c r="AW885">
        <v>16</v>
      </c>
      <c r="AX885" t="s">
        <v>72</v>
      </c>
      <c r="AY885" t="s">
        <v>72</v>
      </c>
      <c r="AZ885" t="s">
        <v>72</v>
      </c>
      <c r="BA885" t="s">
        <v>72</v>
      </c>
      <c r="BB885" t="s">
        <v>72</v>
      </c>
      <c r="BC885" t="s">
        <v>72</v>
      </c>
      <c r="BD885">
        <v>9182</v>
      </c>
      <c r="BE885" t="s">
        <v>7313</v>
      </c>
      <c r="BF885" t="str">
        <f>HYPERLINK("http://dx.doi.org/10.3390/su13169182","http://dx.doi.org/10.3390/su13169182")</f>
        <v>http://dx.doi.org/10.3390/su13169182</v>
      </c>
      <c r="BG885" t="s">
        <v>72</v>
      </c>
      <c r="BH885" t="s">
        <v>72</v>
      </c>
      <c r="BI885">
        <v>17</v>
      </c>
      <c r="BJ885" t="s">
        <v>2610</v>
      </c>
      <c r="BK885" t="s">
        <v>2611</v>
      </c>
      <c r="BL885" t="s">
        <v>7314</v>
      </c>
      <c r="BM885" t="s">
        <v>72</v>
      </c>
      <c r="BN885" t="s">
        <v>222</v>
      </c>
      <c r="BO885" t="s">
        <v>72</v>
      </c>
      <c r="BP885" t="s">
        <v>72</v>
      </c>
      <c r="BQ885" t="s">
        <v>100</v>
      </c>
      <c r="BR885" t="s">
        <v>7315</v>
      </c>
      <c r="BS885" t="str">
        <f>HYPERLINK("https%3A%2F%2Fwww.webofscience.com%2Fwos%2Fwoscc%2Ffull-record%2FWOS:000690020100001","View Full Record in Web of Science")</f>
        <v>View Full Record in Web of Science</v>
      </c>
    </row>
    <row r="886" spans="1:71" hidden="1" x14ac:dyDescent="0.2">
      <c r="A886" t="s">
        <v>70</v>
      </c>
      <c r="B886" t="s">
        <v>9248</v>
      </c>
      <c r="C886" t="s">
        <v>72</v>
      </c>
      <c r="D886" t="s">
        <v>72</v>
      </c>
      <c r="E886" t="s">
        <v>72</v>
      </c>
      <c r="F886" t="s">
        <v>9249</v>
      </c>
      <c r="G886" t="s">
        <v>72</v>
      </c>
      <c r="H886" t="s">
        <v>72</v>
      </c>
      <c r="I886" t="s">
        <v>9250</v>
      </c>
      <c r="J886" t="s">
        <v>2596</v>
      </c>
      <c r="K886" t="s">
        <v>72</v>
      </c>
      <c r="L886" t="s">
        <v>72</v>
      </c>
      <c r="M886" t="s">
        <v>76</v>
      </c>
      <c r="N886" t="s">
        <v>1503</v>
      </c>
      <c r="O886" t="s">
        <v>72</v>
      </c>
      <c r="P886" t="s">
        <v>72</v>
      </c>
      <c r="Q886" t="s">
        <v>72</v>
      </c>
      <c r="R886" t="s">
        <v>72</v>
      </c>
      <c r="S886" t="s">
        <v>72</v>
      </c>
      <c r="T886" t="s">
        <v>9251</v>
      </c>
      <c r="U886" t="s">
        <v>9252</v>
      </c>
      <c r="V886" t="s">
        <v>9253</v>
      </c>
      <c r="W886" t="s">
        <v>9254</v>
      </c>
      <c r="X886" t="s">
        <v>9255</v>
      </c>
      <c r="Y886" t="s">
        <v>9256</v>
      </c>
      <c r="Z886" t="s">
        <v>9257</v>
      </c>
      <c r="AA886" t="s">
        <v>1302</v>
      </c>
      <c r="AB886" t="s">
        <v>1303</v>
      </c>
      <c r="AC886" t="s">
        <v>72</v>
      </c>
      <c r="AD886" t="s">
        <v>72</v>
      </c>
      <c r="AE886" t="s">
        <v>72</v>
      </c>
      <c r="AF886" t="s">
        <v>72</v>
      </c>
      <c r="AG886">
        <v>96</v>
      </c>
      <c r="AH886">
        <v>9</v>
      </c>
      <c r="AI886">
        <v>9</v>
      </c>
      <c r="AJ886">
        <v>13</v>
      </c>
      <c r="AK886">
        <v>69</v>
      </c>
      <c r="AL886" t="s">
        <v>2426</v>
      </c>
      <c r="AM886" t="s">
        <v>2427</v>
      </c>
      <c r="AN886" t="s">
        <v>2428</v>
      </c>
      <c r="AO886" t="s">
        <v>72</v>
      </c>
      <c r="AP886" t="s">
        <v>2606</v>
      </c>
      <c r="AQ886" t="s">
        <v>72</v>
      </c>
      <c r="AR886" t="s">
        <v>2607</v>
      </c>
      <c r="AS886" t="s">
        <v>2608</v>
      </c>
      <c r="AT886" t="s">
        <v>247</v>
      </c>
      <c r="AU886">
        <v>2021</v>
      </c>
      <c r="AV886">
        <v>13</v>
      </c>
      <c r="AW886">
        <v>2</v>
      </c>
      <c r="AX886" t="s">
        <v>72</v>
      </c>
      <c r="AY886" t="s">
        <v>72</v>
      </c>
      <c r="AZ886" t="s">
        <v>72</v>
      </c>
      <c r="BA886" t="s">
        <v>72</v>
      </c>
      <c r="BB886" t="s">
        <v>72</v>
      </c>
      <c r="BC886" t="s">
        <v>72</v>
      </c>
      <c r="BD886">
        <v>905</v>
      </c>
      <c r="BE886" t="s">
        <v>9258</v>
      </c>
      <c r="BF886" t="str">
        <f>HYPERLINK("http://dx.doi.org/10.3390/su13020905","http://dx.doi.org/10.3390/su13020905")</f>
        <v>http://dx.doi.org/10.3390/su13020905</v>
      </c>
      <c r="BG886" t="s">
        <v>72</v>
      </c>
      <c r="BH886" t="s">
        <v>72</v>
      </c>
      <c r="BI886">
        <v>19</v>
      </c>
      <c r="BJ886" t="s">
        <v>2610</v>
      </c>
      <c r="BK886" t="s">
        <v>2611</v>
      </c>
      <c r="BL886" t="s">
        <v>9259</v>
      </c>
      <c r="BM886" t="s">
        <v>72</v>
      </c>
      <c r="BN886" t="s">
        <v>1975</v>
      </c>
      <c r="BO886" t="s">
        <v>72</v>
      </c>
      <c r="BP886" t="s">
        <v>72</v>
      </c>
      <c r="BQ886" t="s">
        <v>100</v>
      </c>
      <c r="BR886" t="s">
        <v>9260</v>
      </c>
      <c r="BS886" t="str">
        <f>HYPERLINK("https%3A%2F%2Fwww.webofscience.com%2Fwos%2Fwoscc%2Ffull-record%2FWOS:000611793200001","View Full Record in Web of Science")</f>
        <v>View Full Record in Web of Science</v>
      </c>
    </row>
    <row r="887" spans="1:71" hidden="1" x14ac:dyDescent="0.2">
      <c r="A887" t="s">
        <v>70</v>
      </c>
      <c r="B887" t="s">
        <v>10604</v>
      </c>
      <c r="C887" t="s">
        <v>72</v>
      </c>
      <c r="D887" t="s">
        <v>72</v>
      </c>
      <c r="E887" t="s">
        <v>72</v>
      </c>
      <c r="F887" t="s">
        <v>10605</v>
      </c>
      <c r="G887" t="s">
        <v>72</v>
      </c>
      <c r="H887" t="s">
        <v>72</v>
      </c>
      <c r="I887" t="s">
        <v>10606</v>
      </c>
      <c r="J887" t="s">
        <v>2596</v>
      </c>
      <c r="K887" t="s">
        <v>72</v>
      </c>
      <c r="L887" t="s">
        <v>72</v>
      </c>
      <c r="M887" t="s">
        <v>76</v>
      </c>
      <c r="N887" t="s">
        <v>77</v>
      </c>
      <c r="O887" t="s">
        <v>72</v>
      </c>
      <c r="P887" t="s">
        <v>72</v>
      </c>
      <c r="Q887" t="s">
        <v>72</v>
      </c>
      <c r="R887" t="s">
        <v>72</v>
      </c>
      <c r="S887" t="s">
        <v>72</v>
      </c>
      <c r="T887" t="s">
        <v>10607</v>
      </c>
      <c r="U887" t="s">
        <v>10608</v>
      </c>
      <c r="V887" t="s">
        <v>10609</v>
      </c>
      <c r="W887" t="s">
        <v>10610</v>
      </c>
      <c r="X887" t="s">
        <v>10611</v>
      </c>
      <c r="Y887" t="s">
        <v>10612</v>
      </c>
      <c r="Z887" t="s">
        <v>10613</v>
      </c>
      <c r="AA887" t="s">
        <v>10614</v>
      </c>
      <c r="AB887" t="s">
        <v>10615</v>
      </c>
      <c r="AC887" t="s">
        <v>72</v>
      </c>
      <c r="AD887" t="s">
        <v>72</v>
      </c>
      <c r="AE887" t="s">
        <v>72</v>
      </c>
      <c r="AF887" t="s">
        <v>72</v>
      </c>
      <c r="AG887">
        <v>73</v>
      </c>
      <c r="AH887">
        <v>6</v>
      </c>
      <c r="AI887">
        <v>6</v>
      </c>
      <c r="AJ887">
        <v>13</v>
      </c>
      <c r="AK887">
        <v>29</v>
      </c>
      <c r="AL887" t="s">
        <v>2426</v>
      </c>
      <c r="AM887" t="s">
        <v>2427</v>
      </c>
      <c r="AN887" t="s">
        <v>2428</v>
      </c>
      <c r="AO887" t="s">
        <v>72</v>
      </c>
      <c r="AP887" t="s">
        <v>2606</v>
      </c>
      <c r="AQ887" t="s">
        <v>72</v>
      </c>
      <c r="AR887" t="s">
        <v>2607</v>
      </c>
      <c r="AS887" t="s">
        <v>2608</v>
      </c>
      <c r="AT887" t="s">
        <v>395</v>
      </c>
      <c r="AU887">
        <v>2021</v>
      </c>
      <c r="AV887">
        <v>13</v>
      </c>
      <c r="AW887">
        <v>19</v>
      </c>
      <c r="AX887" t="s">
        <v>72</v>
      </c>
      <c r="AY887" t="s">
        <v>72</v>
      </c>
      <c r="AZ887" t="s">
        <v>72</v>
      </c>
      <c r="BA887" t="s">
        <v>72</v>
      </c>
      <c r="BB887" t="s">
        <v>72</v>
      </c>
      <c r="BC887" t="s">
        <v>72</v>
      </c>
      <c r="BD887">
        <v>10845</v>
      </c>
      <c r="BE887" t="s">
        <v>10616</v>
      </c>
      <c r="BF887" t="str">
        <f>HYPERLINK("http://dx.doi.org/10.3390/su131910845","http://dx.doi.org/10.3390/su131910845")</f>
        <v>http://dx.doi.org/10.3390/su131910845</v>
      </c>
      <c r="BG887" t="s">
        <v>72</v>
      </c>
      <c r="BH887" t="s">
        <v>72</v>
      </c>
      <c r="BI887">
        <v>16</v>
      </c>
      <c r="BJ887" t="s">
        <v>2610</v>
      </c>
      <c r="BK887" t="s">
        <v>2611</v>
      </c>
      <c r="BL887" t="s">
        <v>10617</v>
      </c>
      <c r="BM887" t="s">
        <v>72</v>
      </c>
      <c r="BN887" t="s">
        <v>222</v>
      </c>
      <c r="BO887" t="s">
        <v>72</v>
      </c>
      <c r="BP887" t="s">
        <v>72</v>
      </c>
      <c r="BQ887" t="s">
        <v>100</v>
      </c>
      <c r="BR887" t="s">
        <v>10618</v>
      </c>
      <c r="BS887" t="str">
        <f>HYPERLINK("https%3A%2F%2Fwww.webofscience.com%2Fwos%2Fwoscc%2Ffull-record%2FWOS:000707595400001","View Full Record in Web of Science")</f>
        <v>View Full Record in Web of Science</v>
      </c>
    </row>
    <row r="888" spans="1:71" hidden="1" x14ac:dyDescent="0.2">
      <c r="A888" t="s">
        <v>70</v>
      </c>
      <c r="B888" t="s">
        <v>12229</v>
      </c>
      <c r="C888" t="s">
        <v>72</v>
      </c>
      <c r="D888" t="s">
        <v>72</v>
      </c>
      <c r="E888" t="s">
        <v>72</v>
      </c>
      <c r="F888" t="s">
        <v>12230</v>
      </c>
      <c r="G888" t="s">
        <v>72</v>
      </c>
      <c r="H888" t="s">
        <v>72</v>
      </c>
      <c r="I888" t="s">
        <v>12231</v>
      </c>
      <c r="J888" t="s">
        <v>2596</v>
      </c>
      <c r="K888" t="s">
        <v>72</v>
      </c>
      <c r="L888" t="s">
        <v>72</v>
      </c>
      <c r="M888" t="s">
        <v>76</v>
      </c>
      <c r="N888" t="s">
        <v>77</v>
      </c>
      <c r="O888" t="s">
        <v>72</v>
      </c>
      <c r="P888" t="s">
        <v>72</v>
      </c>
      <c r="Q888" t="s">
        <v>72</v>
      </c>
      <c r="R888" t="s">
        <v>72</v>
      </c>
      <c r="S888" t="s">
        <v>72</v>
      </c>
      <c r="T888" t="s">
        <v>12232</v>
      </c>
      <c r="U888" t="s">
        <v>12233</v>
      </c>
      <c r="V888" t="s">
        <v>12234</v>
      </c>
      <c r="W888" t="s">
        <v>12235</v>
      </c>
      <c r="X888" t="s">
        <v>12236</v>
      </c>
      <c r="Y888" t="s">
        <v>12237</v>
      </c>
      <c r="Z888" t="s">
        <v>12238</v>
      </c>
      <c r="AA888" t="s">
        <v>72</v>
      </c>
      <c r="AB888" t="s">
        <v>12239</v>
      </c>
      <c r="AC888" t="s">
        <v>12240</v>
      </c>
      <c r="AD888" t="s">
        <v>12241</v>
      </c>
      <c r="AE888" t="s">
        <v>12242</v>
      </c>
      <c r="AF888" t="s">
        <v>72</v>
      </c>
      <c r="AG888">
        <v>59</v>
      </c>
      <c r="AH888">
        <v>14</v>
      </c>
      <c r="AI888">
        <v>14</v>
      </c>
      <c r="AJ888">
        <v>21</v>
      </c>
      <c r="AK888">
        <v>94</v>
      </c>
      <c r="AL888" t="s">
        <v>2426</v>
      </c>
      <c r="AM888" t="s">
        <v>2427</v>
      </c>
      <c r="AN888" t="s">
        <v>2428</v>
      </c>
      <c r="AO888" t="s">
        <v>72</v>
      </c>
      <c r="AP888" t="s">
        <v>2606</v>
      </c>
      <c r="AQ888" t="s">
        <v>72</v>
      </c>
      <c r="AR888" t="s">
        <v>2607</v>
      </c>
      <c r="AS888" t="s">
        <v>2608</v>
      </c>
      <c r="AT888" t="s">
        <v>555</v>
      </c>
      <c r="AU888">
        <v>2018</v>
      </c>
      <c r="AV888">
        <v>10</v>
      </c>
      <c r="AW888">
        <v>3</v>
      </c>
      <c r="AX888" t="s">
        <v>72</v>
      </c>
      <c r="AY888" t="s">
        <v>72</v>
      </c>
      <c r="AZ888" t="s">
        <v>72</v>
      </c>
      <c r="BA888" t="s">
        <v>72</v>
      </c>
      <c r="BB888" t="s">
        <v>72</v>
      </c>
      <c r="BC888" t="s">
        <v>72</v>
      </c>
      <c r="BD888">
        <v>741</v>
      </c>
      <c r="BE888" t="s">
        <v>12243</v>
      </c>
      <c r="BF888" t="str">
        <f>HYPERLINK("http://dx.doi.org/10.3390/su10030741","http://dx.doi.org/10.3390/su10030741")</f>
        <v>http://dx.doi.org/10.3390/su10030741</v>
      </c>
      <c r="BG888" t="s">
        <v>72</v>
      </c>
      <c r="BH888" t="s">
        <v>72</v>
      </c>
      <c r="BI888">
        <v>20</v>
      </c>
      <c r="BJ888" t="s">
        <v>2610</v>
      </c>
      <c r="BK888" t="s">
        <v>2611</v>
      </c>
      <c r="BL888" t="s">
        <v>12244</v>
      </c>
      <c r="BM888" t="s">
        <v>72</v>
      </c>
      <c r="BN888" t="s">
        <v>1975</v>
      </c>
      <c r="BO888" t="s">
        <v>72</v>
      </c>
      <c r="BP888" t="s">
        <v>72</v>
      </c>
      <c r="BQ888" t="s">
        <v>100</v>
      </c>
      <c r="BR888" t="s">
        <v>12245</v>
      </c>
      <c r="BS888" t="str">
        <f>HYPERLINK("https%3A%2F%2Fwww.webofscience.com%2Fwos%2Fwoscc%2Ffull-record%2FWOS:000428567100168","View Full Record in Web of Science")</f>
        <v>View Full Record in Web of Science</v>
      </c>
    </row>
    <row r="889" spans="1:71" hidden="1" x14ac:dyDescent="0.2">
      <c r="A889" t="s">
        <v>70</v>
      </c>
      <c r="B889" t="s">
        <v>14588</v>
      </c>
      <c r="C889" t="s">
        <v>72</v>
      </c>
      <c r="D889" t="s">
        <v>72</v>
      </c>
      <c r="E889" t="s">
        <v>72</v>
      </c>
      <c r="F889" t="s">
        <v>14589</v>
      </c>
      <c r="G889" t="s">
        <v>72</v>
      </c>
      <c r="H889" t="s">
        <v>72</v>
      </c>
      <c r="I889" t="s">
        <v>14590</v>
      </c>
      <c r="J889" t="s">
        <v>2596</v>
      </c>
      <c r="K889" t="s">
        <v>72</v>
      </c>
      <c r="L889" t="s">
        <v>72</v>
      </c>
      <c r="M889" t="s">
        <v>76</v>
      </c>
      <c r="N889" t="s">
        <v>77</v>
      </c>
      <c r="O889" t="s">
        <v>72</v>
      </c>
      <c r="P889" t="s">
        <v>72</v>
      </c>
      <c r="Q889" t="s">
        <v>72</v>
      </c>
      <c r="R889" t="s">
        <v>72</v>
      </c>
      <c r="S889" t="s">
        <v>72</v>
      </c>
      <c r="T889" t="s">
        <v>14591</v>
      </c>
      <c r="U889" t="s">
        <v>14592</v>
      </c>
      <c r="V889" t="s">
        <v>14593</v>
      </c>
      <c r="W889" t="s">
        <v>14594</v>
      </c>
      <c r="X889" t="s">
        <v>14595</v>
      </c>
      <c r="Y889" t="s">
        <v>14596</v>
      </c>
      <c r="Z889" t="s">
        <v>14597</v>
      </c>
      <c r="AA889" t="s">
        <v>14598</v>
      </c>
      <c r="AB889" t="s">
        <v>14599</v>
      </c>
      <c r="AC889" t="s">
        <v>72</v>
      </c>
      <c r="AD889" t="s">
        <v>72</v>
      </c>
      <c r="AE889" t="s">
        <v>72</v>
      </c>
      <c r="AF889" t="s">
        <v>72</v>
      </c>
      <c r="AG889">
        <v>45</v>
      </c>
      <c r="AH889">
        <v>2</v>
      </c>
      <c r="AI889">
        <v>2</v>
      </c>
      <c r="AJ889">
        <v>10</v>
      </c>
      <c r="AK889">
        <v>20</v>
      </c>
      <c r="AL889" t="s">
        <v>2426</v>
      </c>
      <c r="AM889" t="s">
        <v>2427</v>
      </c>
      <c r="AN889" t="s">
        <v>2428</v>
      </c>
      <c r="AO889" t="s">
        <v>72</v>
      </c>
      <c r="AP889" t="s">
        <v>2606</v>
      </c>
      <c r="AQ889" t="s">
        <v>72</v>
      </c>
      <c r="AR889" t="s">
        <v>2607</v>
      </c>
      <c r="AS889" t="s">
        <v>2608</v>
      </c>
      <c r="AT889" t="s">
        <v>929</v>
      </c>
      <c r="AU889">
        <v>2021</v>
      </c>
      <c r="AV889">
        <v>13</v>
      </c>
      <c r="AW889">
        <v>23</v>
      </c>
      <c r="AX889" t="s">
        <v>72</v>
      </c>
      <c r="AY889" t="s">
        <v>72</v>
      </c>
      <c r="AZ889" t="s">
        <v>72</v>
      </c>
      <c r="BA889" t="s">
        <v>72</v>
      </c>
      <c r="BB889" t="s">
        <v>72</v>
      </c>
      <c r="BC889" t="s">
        <v>72</v>
      </c>
      <c r="BD889">
        <v>13340</v>
      </c>
      <c r="BE889" t="s">
        <v>14600</v>
      </c>
      <c r="BF889" t="str">
        <f>HYPERLINK("http://dx.doi.org/10.3390/su132313340","http://dx.doi.org/10.3390/su132313340")</f>
        <v>http://dx.doi.org/10.3390/su132313340</v>
      </c>
      <c r="BG889" t="s">
        <v>72</v>
      </c>
      <c r="BH889" t="s">
        <v>72</v>
      </c>
      <c r="BI889">
        <v>20</v>
      </c>
      <c r="BJ889" t="s">
        <v>2610</v>
      </c>
      <c r="BK889" t="s">
        <v>2611</v>
      </c>
      <c r="BL889" t="s">
        <v>14601</v>
      </c>
      <c r="BM889" t="s">
        <v>72</v>
      </c>
      <c r="BN889" t="s">
        <v>910</v>
      </c>
      <c r="BO889" t="s">
        <v>72</v>
      </c>
      <c r="BP889" t="s">
        <v>72</v>
      </c>
      <c r="BQ889" t="s">
        <v>100</v>
      </c>
      <c r="BR889" t="s">
        <v>14602</v>
      </c>
      <c r="BS889" t="str">
        <f>HYPERLINK("https%3A%2F%2Fwww.webofscience.com%2Fwos%2Fwoscc%2Ffull-record%2FWOS:000735098800001","View Full Record in Web of Science")</f>
        <v>View Full Record in Web of Science</v>
      </c>
    </row>
    <row r="890" spans="1:71" hidden="1" x14ac:dyDescent="0.2">
      <c r="A890" t="s">
        <v>70</v>
      </c>
      <c r="B890" t="s">
        <v>376</v>
      </c>
      <c r="C890" t="s">
        <v>72</v>
      </c>
      <c r="D890" t="s">
        <v>72</v>
      </c>
      <c r="E890" t="s">
        <v>72</v>
      </c>
      <c r="F890" t="s">
        <v>377</v>
      </c>
      <c r="G890" t="s">
        <v>72</v>
      </c>
      <c r="H890" t="s">
        <v>72</v>
      </c>
      <c r="I890" t="s">
        <v>378</v>
      </c>
      <c r="J890" t="s">
        <v>379</v>
      </c>
      <c r="K890" t="s">
        <v>72</v>
      </c>
      <c r="L890" t="s">
        <v>72</v>
      </c>
      <c r="M890" t="s">
        <v>76</v>
      </c>
      <c r="N890" t="s">
        <v>77</v>
      </c>
      <c r="O890" t="s">
        <v>72</v>
      </c>
      <c r="P890" t="s">
        <v>72</v>
      </c>
      <c r="Q890" t="s">
        <v>72</v>
      </c>
      <c r="R890" t="s">
        <v>72</v>
      </c>
      <c r="S890" t="s">
        <v>72</v>
      </c>
      <c r="T890" t="s">
        <v>380</v>
      </c>
      <c r="U890" t="s">
        <v>72</v>
      </c>
      <c r="V890" t="s">
        <v>381</v>
      </c>
      <c r="W890" t="s">
        <v>382</v>
      </c>
      <c r="X890" t="s">
        <v>383</v>
      </c>
      <c r="Y890" t="s">
        <v>384</v>
      </c>
      <c r="Z890" t="s">
        <v>385</v>
      </c>
      <c r="AA890" t="s">
        <v>386</v>
      </c>
      <c r="AB890" t="s">
        <v>387</v>
      </c>
      <c r="AC890" t="s">
        <v>388</v>
      </c>
      <c r="AD890" t="s">
        <v>389</v>
      </c>
      <c r="AE890" t="s">
        <v>390</v>
      </c>
      <c r="AF890" t="s">
        <v>72</v>
      </c>
      <c r="AG890">
        <v>73</v>
      </c>
      <c r="AH890">
        <v>1</v>
      </c>
      <c r="AI890">
        <v>1</v>
      </c>
      <c r="AJ890">
        <v>1</v>
      </c>
      <c r="AK890">
        <v>5</v>
      </c>
      <c r="AL890" t="s">
        <v>190</v>
      </c>
      <c r="AM890" t="s">
        <v>191</v>
      </c>
      <c r="AN890" t="s">
        <v>192</v>
      </c>
      <c r="AO890" t="s">
        <v>391</v>
      </c>
      <c r="AP890" t="s">
        <v>392</v>
      </c>
      <c r="AQ890" t="s">
        <v>72</v>
      </c>
      <c r="AR890" t="s">
        <v>393</v>
      </c>
      <c r="AS890" t="s">
        <v>394</v>
      </c>
      <c r="AT890" t="s">
        <v>395</v>
      </c>
      <c r="AU890">
        <v>2021</v>
      </c>
      <c r="AV890">
        <v>50</v>
      </c>
      <c r="AW890">
        <v>5</v>
      </c>
      <c r="AX890" t="s">
        <v>72</v>
      </c>
      <c r="AY890" t="s">
        <v>72</v>
      </c>
      <c r="AZ890" t="s">
        <v>72</v>
      </c>
      <c r="BA890" t="s">
        <v>72</v>
      </c>
      <c r="BB890">
        <v>1053</v>
      </c>
      <c r="BC890">
        <v>1078</v>
      </c>
      <c r="BD890">
        <v>899764021995240</v>
      </c>
      <c r="BE890" t="s">
        <v>396</v>
      </c>
      <c r="BF890" t="str">
        <f>HYPERLINK("http://dx.doi.org/10.1177/0899764021995240","http://dx.doi.org/10.1177/0899764021995240")</f>
        <v>http://dx.doi.org/10.1177/0899764021995240</v>
      </c>
      <c r="BG890" t="s">
        <v>72</v>
      </c>
      <c r="BH890" t="s">
        <v>397</v>
      </c>
      <c r="BI890">
        <v>26</v>
      </c>
      <c r="BJ890" t="s">
        <v>398</v>
      </c>
      <c r="BK890" t="s">
        <v>398</v>
      </c>
      <c r="BL890" t="s">
        <v>399</v>
      </c>
      <c r="BM890" t="s">
        <v>72</v>
      </c>
      <c r="BN890" t="s">
        <v>72</v>
      </c>
      <c r="BO890" t="s">
        <v>72</v>
      </c>
      <c r="BP890" t="s">
        <v>72</v>
      </c>
      <c r="BQ890" t="s">
        <v>100</v>
      </c>
      <c r="BR890" t="s">
        <v>400</v>
      </c>
      <c r="BS890" t="str">
        <f>HYPERLINK("https%3A%2F%2Fwww.webofscience.com%2Fwos%2Fwoscc%2Ffull-record%2FWOS:000628965900001","View Full Record in Web of Science")</f>
        <v>View Full Record in Web of Science</v>
      </c>
    </row>
    <row r="891" spans="1:71" hidden="1" x14ac:dyDescent="0.2">
      <c r="A891" t="s">
        <v>70</v>
      </c>
      <c r="B891" t="s">
        <v>4281</v>
      </c>
      <c r="C891" t="s">
        <v>72</v>
      </c>
      <c r="D891" t="s">
        <v>72</v>
      </c>
      <c r="E891" t="s">
        <v>72</v>
      </c>
      <c r="F891" t="s">
        <v>4282</v>
      </c>
      <c r="G891" t="s">
        <v>72</v>
      </c>
      <c r="H891" t="s">
        <v>72</v>
      </c>
      <c r="I891" t="s">
        <v>4283</v>
      </c>
      <c r="J891" t="s">
        <v>4284</v>
      </c>
      <c r="K891" t="s">
        <v>72</v>
      </c>
      <c r="L891" t="s">
        <v>72</v>
      </c>
      <c r="M891" t="s">
        <v>76</v>
      </c>
      <c r="N891" t="s">
        <v>352</v>
      </c>
      <c r="O891" t="s">
        <v>72</v>
      </c>
      <c r="P891" t="s">
        <v>72</v>
      </c>
      <c r="Q891" t="s">
        <v>72</v>
      </c>
      <c r="R891" t="s">
        <v>72</v>
      </c>
      <c r="S891" t="s">
        <v>72</v>
      </c>
      <c r="T891" t="s">
        <v>4285</v>
      </c>
      <c r="U891" t="s">
        <v>72</v>
      </c>
      <c r="V891" t="s">
        <v>4286</v>
      </c>
      <c r="W891" t="s">
        <v>4287</v>
      </c>
      <c r="X891" t="s">
        <v>4288</v>
      </c>
      <c r="Y891" t="s">
        <v>4289</v>
      </c>
      <c r="Z891" t="s">
        <v>4290</v>
      </c>
      <c r="AA891" t="s">
        <v>72</v>
      </c>
      <c r="AB891" t="s">
        <v>4291</v>
      </c>
      <c r="AC891" t="s">
        <v>72</v>
      </c>
      <c r="AD891" t="s">
        <v>72</v>
      </c>
      <c r="AE891" t="s">
        <v>72</v>
      </c>
      <c r="AF891" t="s">
        <v>72</v>
      </c>
      <c r="AG891">
        <v>35</v>
      </c>
      <c r="AH891">
        <v>1</v>
      </c>
      <c r="AI891">
        <v>1</v>
      </c>
      <c r="AJ891">
        <v>2</v>
      </c>
      <c r="AK891">
        <v>6</v>
      </c>
      <c r="AL891" t="s">
        <v>88</v>
      </c>
      <c r="AM891" t="s">
        <v>707</v>
      </c>
      <c r="AN891" t="s">
        <v>1987</v>
      </c>
      <c r="AO891" t="s">
        <v>4292</v>
      </c>
      <c r="AP891" t="s">
        <v>4293</v>
      </c>
      <c r="AQ891" t="s">
        <v>72</v>
      </c>
      <c r="AR891" t="s">
        <v>4284</v>
      </c>
      <c r="AS891" t="s">
        <v>4294</v>
      </c>
      <c r="AT891" t="s">
        <v>72</v>
      </c>
      <c r="AU891" t="s">
        <v>72</v>
      </c>
      <c r="AV891" t="s">
        <v>72</v>
      </c>
      <c r="AW891" t="s">
        <v>72</v>
      </c>
      <c r="AX891" t="s">
        <v>72</v>
      </c>
      <c r="AY891" t="s">
        <v>72</v>
      </c>
      <c r="AZ891" t="s">
        <v>72</v>
      </c>
      <c r="BA891" t="s">
        <v>72</v>
      </c>
      <c r="BB891" t="s">
        <v>72</v>
      </c>
      <c r="BC891" t="s">
        <v>72</v>
      </c>
      <c r="BD891" t="s">
        <v>72</v>
      </c>
      <c r="BE891" t="s">
        <v>4295</v>
      </c>
      <c r="BF891" t="str">
        <f>HYPERLINK("http://dx.doi.org/10.1007/s11266-021-00399-7","http://dx.doi.org/10.1007/s11266-021-00399-7")</f>
        <v>http://dx.doi.org/10.1007/s11266-021-00399-7</v>
      </c>
      <c r="BG891" t="s">
        <v>72</v>
      </c>
      <c r="BH891" t="s">
        <v>2792</v>
      </c>
      <c r="BI891">
        <v>13</v>
      </c>
      <c r="BJ891" t="s">
        <v>398</v>
      </c>
      <c r="BK891" t="s">
        <v>398</v>
      </c>
      <c r="BL891" t="s">
        <v>4296</v>
      </c>
      <c r="BM891" t="s">
        <v>72</v>
      </c>
      <c r="BN891" t="s">
        <v>72</v>
      </c>
      <c r="BO891" t="s">
        <v>72</v>
      </c>
      <c r="BP891" t="s">
        <v>72</v>
      </c>
      <c r="BQ891" t="s">
        <v>100</v>
      </c>
      <c r="BR891" t="s">
        <v>4297</v>
      </c>
      <c r="BS891" t="str">
        <f>HYPERLINK("https%3A%2F%2Fwww.webofscience.com%2Fwos%2Fwoscc%2Ffull-record%2FWOS:000695467000007","View Full Record in Web of Science")</f>
        <v>View Full Record in Web of Science</v>
      </c>
    </row>
    <row r="892" spans="1:71" hidden="1" x14ac:dyDescent="0.2">
      <c r="A892" t="s">
        <v>70</v>
      </c>
      <c r="B892" t="s">
        <v>9577</v>
      </c>
      <c r="C892" t="s">
        <v>72</v>
      </c>
      <c r="D892" t="s">
        <v>72</v>
      </c>
      <c r="E892" t="s">
        <v>72</v>
      </c>
      <c r="F892" t="s">
        <v>9578</v>
      </c>
      <c r="G892" t="s">
        <v>72</v>
      </c>
      <c r="H892" t="s">
        <v>72</v>
      </c>
      <c r="I892" t="s">
        <v>9579</v>
      </c>
      <c r="J892" t="s">
        <v>379</v>
      </c>
      <c r="K892" t="s">
        <v>72</v>
      </c>
      <c r="L892" t="s">
        <v>72</v>
      </c>
      <c r="M892" t="s">
        <v>76</v>
      </c>
      <c r="N892" t="s">
        <v>77</v>
      </c>
      <c r="O892" t="s">
        <v>72</v>
      </c>
      <c r="P892" t="s">
        <v>72</v>
      </c>
      <c r="Q892" t="s">
        <v>72</v>
      </c>
      <c r="R892" t="s">
        <v>72</v>
      </c>
      <c r="S892" t="s">
        <v>72</v>
      </c>
      <c r="T892" t="s">
        <v>9580</v>
      </c>
      <c r="U892" t="s">
        <v>9581</v>
      </c>
      <c r="V892" t="s">
        <v>9582</v>
      </c>
      <c r="W892" t="s">
        <v>9583</v>
      </c>
      <c r="X892" t="s">
        <v>9584</v>
      </c>
      <c r="Y892" t="s">
        <v>9585</v>
      </c>
      <c r="Z892" t="s">
        <v>9586</v>
      </c>
      <c r="AA892" t="s">
        <v>72</v>
      </c>
      <c r="AB892" t="s">
        <v>72</v>
      </c>
      <c r="AC892" t="s">
        <v>72</v>
      </c>
      <c r="AD892" t="s">
        <v>72</v>
      </c>
      <c r="AE892" t="s">
        <v>72</v>
      </c>
      <c r="AF892" t="s">
        <v>72</v>
      </c>
      <c r="AG892">
        <v>32</v>
      </c>
      <c r="AH892">
        <v>26</v>
      </c>
      <c r="AI892">
        <v>26</v>
      </c>
      <c r="AJ892">
        <v>1</v>
      </c>
      <c r="AK892">
        <v>12</v>
      </c>
      <c r="AL892" t="s">
        <v>190</v>
      </c>
      <c r="AM892" t="s">
        <v>191</v>
      </c>
      <c r="AN892" t="s">
        <v>192</v>
      </c>
      <c r="AO892" t="s">
        <v>391</v>
      </c>
      <c r="AP892" t="s">
        <v>392</v>
      </c>
      <c r="AQ892" t="s">
        <v>72</v>
      </c>
      <c r="AR892" t="s">
        <v>393</v>
      </c>
      <c r="AS892" t="s">
        <v>394</v>
      </c>
      <c r="AT892" t="s">
        <v>639</v>
      </c>
      <c r="AU892">
        <v>2018</v>
      </c>
      <c r="AV892">
        <v>47</v>
      </c>
      <c r="AW892">
        <v>4</v>
      </c>
      <c r="AX892" t="s">
        <v>72</v>
      </c>
      <c r="AY892" t="s">
        <v>72</v>
      </c>
      <c r="AZ892" t="s">
        <v>72</v>
      </c>
      <c r="BA892" t="s">
        <v>72</v>
      </c>
      <c r="BB892">
        <v>677</v>
      </c>
      <c r="BC892">
        <v>701</v>
      </c>
      <c r="BD892" t="s">
        <v>72</v>
      </c>
      <c r="BE892" t="s">
        <v>9587</v>
      </c>
      <c r="BF892" t="str">
        <f>HYPERLINK("http://dx.doi.org/10.1177/0899764018768019","http://dx.doi.org/10.1177/0899764018768019")</f>
        <v>http://dx.doi.org/10.1177/0899764018768019</v>
      </c>
      <c r="BG892" t="s">
        <v>72</v>
      </c>
      <c r="BH892" t="s">
        <v>72</v>
      </c>
      <c r="BI892">
        <v>25</v>
      </c>
      <c r="BJ892" t="s">
        <v>398</v>
      </c>
      <c r="BK892" t="s">
        <v>398</v>
      </c>
      <c r="BL892" t="s">
        <v>9588</v>
      </c>
      <c r="BM892" t="s">
        <v>72</v>
      </c>
      <c r="BN892" t="s">
        <v>72</v>
      </c>
      <c r="BO892" t="s">
        <v>72</v>
      </c>
      <c r="BP892" t="s">
        <v>72</v>
      </c>
      <c r="BQ892" t="s">
        <v>100</v>
      </c>
      <c r="BR892" t="s">
        <v>9589</v>
      </c>
      <c r="BS892" t="str">
        <f>HYPERLINK("https%3A%2F%2Fwww.webofscience.com%2Fwos%2Fwoscc%2Ffull-record%2FWOS:000439982800001","View Full Record in Web of Science")</f>
        <v>View Full Record in Web of Science</v>
      </c>
    </row>
    <row r="893" spans="1:71" hidden="1" x14ac:dyDescent="0.2">
      <c r="A893" t="s">
        <v>70</v>
      </c>
      <c r="B893" t="s">
        <v>15651</v>
      </c>
      <c r="C893" t="s">
        <v>72</v>
      </c>
      <c r="D893" t="s">
        <v>72</v>
      </c>
      <c r="E893" t="s">
        <v>72</v>
      </c>
      <c r="F893" t="s">
        <v>15652</v>
      </c>
      <c r="G893" t="s">
        <v>72</v>
      </c>
      <c r="H893" t="s">
        <v>72</v>
      </c>
      <c r="I893" t="s">
        <v>15653</v>
      </c>
      <c r="J893" t="s">
        <v>4284</v>
      </c>
      <c r="K893" t="s">
        <v>72</v>
      </c>
      <c r="L893" t="s">
        <v>72</v>
      </c>
      <c r="M893" t="s">
        <v>76</v>
      </c>
      <c r="N893" t="s">
        <v>77</v>
      </c>
      <c r="O893" t="s">
        <v>72</v>
      </c>
      <c r="P893" t="s">
        <v>72</v>
      </c>
      <c r="Q893" t="s">
        <v>72</v>
      </c>
      <c r="R893" t="s">
        <v>72</v>
      </c>
      <c r="S893" t="s">
        <v>72</v>
      </c>
      <c r="T893" t="s">
        <v>15654</v>
      </c>
      <c r="U893" t="s">
        <v>15655</v>
      </c>
      <c r="V893" t="s">
        <v>15656</v>
      </c>
      <c r="W893" t="s">
        <v>15657</v>
      </c>
      <c r="X893" t="s">
        <v>1183</v>
      </c>
      <c r="Y893" t="s">
        <v>15658</v>
      </c>
      <c r="Z893" t="s">
        <v>15659</v>
      </c>
      <c r="AA893" t="s">
        <v>72</v>
      </c>
      <c r="AB893" t="s">
        <v>15660</v>
      </c>
      <c r="AC893" t="s">
        <v>15661</v>
      </c>
      <c r="AD893" t="s">
        <v>15661</v>
      </c>
      <c r="AE893" t="s">
        <v>15662</v>
      </c>
      <c r="AF893" t="s">
        <v>72</v>
      </c>
      <c r="AG893">
        <v>86</v>
      </c>
      <c r="AH893">
        <v>5</v>
      </c>
      <c r="AI893">
        <v>5</v>
      </c>
      <c r="AJ893">
        <v>0</v>
      </c>
      <c r="AK893">
        <v>2</v>
      </c>
      <c r="AL893" t="s">
        <v>88</v>
      </c>
      <c r="AM893" t="s">
        <v>707</v>
      </c>
      <c r="AN893" t="s">
        <v>1987</v>
      </c>
      <c r="AO893" t="s">
        <v>4292</v>
      </c>
      <c r="AP893" t="s">
        <v>4293</v>
      </c>
      <c r="AQ893" t="s">
        <v>72</v>
      </c>
      <c r="AR893" t="s">
        <v>4284</v>
      </c>
      <c r="AS893" t="s">
        <v>4294</v>
      </c>
      <c r="AT893" t="s">
        <v>929</v>
      </c>
      <c r="AU893">
        <v>2020</v>
      </c>
      <c r="AV893">
        <v>31</v>
      </c>
      <c r="AW893">
        <v>6</v>
      </c>
      <c r="AX893" t="s">
        <v>72</v>
      </c>
      <c r="AY893" t="s">
        <v>72</v>
      </c>
      <c r="AZ893" t="s">
        <v>72</v>
      </c>
      <c r="BA893" t="s">
        <v>72</v>
      </c>
      <c r="BB893">
        <v>1343</v>
      </c>
      <c r="BC893">
        <v>1358</v>
      </c>
      <c r="BD893" t="s">
        <v>72</v>
      </c>
      <c r="BE893" t="s">
        <v>15663</v>
      </c>
      <c r="BF893" t="str">
        <f>HYPERLINK("http://dx.doi.org/10.1007/s11266-020-00242-5","http://dx.doi.org/10.1007/s11266-020-00242-5")</f>
        <v>http://dx.doi.org/10.1007/s11266-020-00242-5</v>
      </c>
      <c r="BG893" t="s">
        <v>72</v>
      </c>
      <c r="BH893" t="s">
        <v>2942</v>
      </c>
      <c r="BI893">
        <v>16</v>
      </c>
      <c r="BJ893" t="s">
        <v>398</v>
      </c>
      <c r="BK893" t="s">
        <v>398</v>
      </c>
      <c r="BL893" t="s">
        <v>15664</v>
      </c>
      <c r="BM893" t="s">
        <v>72</v>
      </c>
      <c r="BN893" t="s">
        <v>72</v>
      </c>
      <c r="BO893" t="s">
        <v>72</v>
      </c>
      <c r="BP893" t="s">
        <v>72</v>
      </c>
      <c r="BQ893" t="s">
        <v>100</v>
      </c>
      <c r="BR893" t="s">
        <v>15665</v>
      </c>
      <c r="BS893" t="str">
        <f>HYPERLINK("https%3A%2F%2Fwww.webofscience.com%2Fwos%2Fwoscc%2Ffull-record%2FWOS:000544142900001","View Full Record in Web of Science")</f>
        <v>View Full Record in Web of Science</v>
      </c>
    </row>
    <row r="894" spans="1:71" hidden="1" x14ac:dyDescent="0.2">
      <c r="A894" t="s">
        <v>70</v>
      </c>
      <c r="B894" t="s">
        <v>4450</v>
      </c>
      <c r="C894" t="s">
        <v>72</v>
      </c>
      <c r="D894" t="s">
        <v>72</v>
      </c>
      <c r="E894" t="s">
        <v>72</v>
      </c>
      <c r="F894" t="s">
        <v>4451</v>
      </c>
      <c r="G894" t="s">
        <v>72</v>
      </c>
      <c r="H894" t="s">
        <v>72</v>
      </c>
      <c r="I894" t="s">
        <v>4452</v>
      </c>
      <c r="J894" t="s">
        <v>4453</v>
      </c>
      <c r="K894" t="s">
        <v>72</v>
      </c>
      <c r="L894" t="s">
        <v>72</v>
      </c>
      <c r="M894" t="s">
        <v>76</v>
      </c>
      <c r="N894" t="s">
        <v>352</v>
      </c>
      <c r="O894" t="s">
        <v>72</v>
      </c>
      <c r="P894" t="s">
        <v>72</v>
      </c>
      <c r="Q894" t="s">
        <v>72</v>
      </c>
      <c r="R894" t="s">
        <v>72</v>
      </c>
      <c r="S894" t="s">
        <v>72</v>
      </c>
      <c r="T894" t="s">
        <v>72</v>
      </c>
      <c r="U894" t="s">
        <v>4454</v>
      </c>
      <c r="V894" t="s">
        <v>4455</v>
      </c>
      <c r="W894" t="s">
        <v>4456</v>
      </c>
      <c r="X894" t="s">
        <v>164</v>
      </c>
      <c r="Y894" t="s">
        <v>4457</v>
      </c>
      <c r="Z894" t="s">
        <v>4458</v>
      </c>
      <c r="AA894" t="s">
        <v>72</v>
      </c>
      <c r="AB894" t="s">
        <v>4459</v>
      </c>
      <c r="AC894" t="s">
        <v>72</v>
      </c>
      <c r="AD894" t="s">
        <v>72</v>
      </c>
      <c r="AE894" t="s">
        <v>72</v>
      </c>
      <c r="AF894" t="s">
        <v>72</v>
      </c>
      <c r="AG894">
        <v>67</v>
      </c>
      <c r="AH894">
        <v>1</v>
      </c>
      <c r="AI894">
        <v>1</v>
      </c>
      <c r="AJ894">
        <v>3</v>
      </c>
      <c r="AK894">
        <v>3</v>
      </c>
      <c r="AL894" t="s">
        <v>879</v>
      </c>
      <c r="AM894" t="s">
        <v>451</v>
      </c>
      <c r="AN894" t="s">
        <v>880</v>
      </c>
      <c r="AO894" t="s">
        <v>4460</v>
      </c>
      <c r="AP894" t="s">
        <v>4461</v>
      </c>
      <c r="AQ894" t="s">
        <v>72</v>
      </c>
      <c r="AR894" t="s">
        <v>4462</v>
      </c>
      <c r="AS894" t="s">
        <v>4463</v>
      </c>
      <c r="AT894" t="s">
        <v>72</v>
      </c>
      <c r="AU894" t="s">
        <v>72</v>
      </c>
      <c r="AV894" t="s">
        <v>72</v>
      </c>
      <c r="AW894" t="s">
        <v>72</v>
      </c>
      <c r="AX894" t="s">
        <v>72</v>
      </c>
      <c r="AY894" t="s">
        <v>72</v>
      </c>
      <c r="AZ894" t="s">
        <v>72</v>
      </c>
      <c r="BA894" t="s">
        <v>72</v>
      </c>
      <c r="BB894" t="s">
        <v>72</v>
      </c>
      <c r="BC894" t="s">
        <v>72</v>
      </c>
      <c r="BD894" t="s">
        <v>72</v>
      </c>
      <c r="BE894" t="s">
        <v>4464</v>
      </c>
      <c r="BF894" t="str">
        <f>HYPERLINK("http://dx.doi.org/10.1093/sp/jxac004","http://dx.doi.org/10.1093/sp/jxac004")</f>
        <v>http://dx.doi.org/10.1093/sp/jxac004</v>
      </c>
      <c r="BG894" t="s">
        <v>72</v>
      </c>
      <c r="BH894" t="s">
        <v>1770</v>
      </c>
      <c r="BI894">
        <v>26</v>
      </c>
      <c r="BJ894" t="s">
        <v>4465</v>
      </c>
      <c r="BK894" t="s">
        <v>4465</v>
      </c>
      <c r="BL894" t="s">
        <v>4466</v>
      </c>
      <c r="BM894" t="s">
        <v>72</v>
      </c>
      <c r="BN894" t="s">
        <v>280</v>
      </c>
      <c r="BO894" t="s">
        <v>72</v>
      </c>
      <c r="BP894" t="s">
        <v>72</v>
      </c>
      <c r="BQ894" t="s">
        <v>100</v>
      </c>
      <c r="BR894" t="s">
        <v>4467</v>
      </c>
      <c r="BS894" t="str">
        <f>HYPERLINK("https%3A%2F%2Fwww.webofscience.com%2Fwos%2Fwoscc%2Ffull-record%2FWOS:000785808400001","View Full Record in Web of Science")</f>
        <v>View Full Record in Web of Science</v>
      </c>
    </row>
    <row r="895" spans="1:71" x14ac:dyDescent="0.2">
      <c r="A895" t="s">
        <v>70</v>
      </c>
      <c r="B895" t="s">
        <v>991</v>
      </c>
      <c r="C895" t="s">
        <v>72</v>
      </c>
      <c r="D895" t="s">
        <v>72</v>
      </c>
      <c r="E895" t="s">
        <v>72</v>
      </c>
      <c r="F895" t="s">
        <v>992</v>
      </c>
      <c r="G895" t="s">
        <v>72</v>
      </c>
      <c r="H895" t="s">
        <v>72</v>
      </c>
      <c r="I895" t="s">
        <v>993</v>
      </c>
      <c r="J895" t="s">
        <v>994</v>
      </c>
      <c r="K895" t="s">
        <v>72</v>
      </c>
      <c r="L895" t="s">
        <v>72</v>
      </c>
      <c r="M895" t="s">
        <v>76</v>
      </c>
      <c r="N895" t="s">
        <v>352</v>
      </c>
      <c r="O895" t="s">
        <v>72</v>
      </c>
      <c r="P895" t="s">
        <v>72</v>
      </c>
      <c r="Q895" t="s">
        <v>72</v>
      </c>
      <c r="R895" t="s">
        <v>72</v>
      </c>
      <c r="S895" t="s">
        <v>72</v>
      </c>
      <c r="T895" t="s">
        <v>995</v>
      </c>
      <c r="U895" t="s">
        <v>996</v>
      </c>
      <c r="V895" t="s">
        <v>997</v>
      </c>
      <c r="W895" t="s">
        <v>998</v>
      </c>
      <c r="X895" t="s">
        <v>999</v>
      </c>
      <c r="Y895" t="s">
        <v>1000</v>
      </c>
      <c r="Z895" t="s">
        <v>1001</v>
      </c>
      <c r="AA895" t="s">
        <v>72</v>
      </c>
      <c r="AB895" t="s">
        <v>1002</v>
      </c>
      <c r="AC895" t="s">
        <v>1003</v>
      </c>
      <c r="AD895" t="s">
        <v>1003</v>
      </c>
      <c r="AE895" t="s">
        <v>1004</v>
      </c>
      <c r="AF895" t="s">
        <v>72</v>
      </c>
      <c r="AG895">
        <v>63</v>
      </c>
      <c r="AH895">
        <v>0</v>
      </c>
      <c r="AI895">
        <v>0</v>
      </c>
      <c r="AJ895">
        <v>0</v>
      </c>
      <c r="AK895">
        <v>2</v>
      </c>
      <c r="AL895" t="s">
        <v>1005</v>
      </c>
      <c r="AM895" t="s">
        <v>1006</v>
      </c>
      <c r="AN895" t="s">
        <v>1007</v>
      </c>
      <c r="AO895" t="s">
        <v>1008</v>
      </c>
      <c r="AP895" t="s">
        <v>1009</v>
      </c>
      <c r="AQ895" t="s">
        <v>72</v>
      </c>
      <c r="AR895" t="s">
        <v>1010</v>
      </c>
      <c r="AS895" t="s">
        <v>1011</v>
      </c>
      <c r="AT895" t="s">
        <v>72</v>
      </c>
      <c r="AU895" t="s">
        <v>72</v>
      </c>
      <c r="AV895" t="s">
        <v>72</v>
      </c>
      <c r="AW895" t="s">
        <v>72</v>
      </c>
      <c r="AX895" t="s">
        <v>72</v>
      </c>
      <c r="AY895" t="s">
        <v>72</v>
      </c>
      <c r="AZ895" t="s">
        <v>72</v>
      </c>
      <c r="BA895" t="s">
        <v>72</v>
      </c>
      <c r="BB895" t="s">
        <v>72</v>
      </c>
      <c r="BC895" t="s">
        <v>72</v>
      </c>
      <c r="BD895" t="s">
        <v>72</v>
      </c>
      <c r="BE895" t="s">
        <v>1012</v>
      </c>
      <c r="BF895" t="str">
        <f>HYPERLINK("http://dx.doi.org/10.1057/s41254-021-00210-w","http://dx.doi.org/10.1057/s41254-021-00210-w")</f>
        <v>http://dx.doi.org/10.1057/s41254-021-00210-w</v>
      </c>
      <c r="BG895" t="s">
        <v>72</v>
      </c>
      <c r="BH895" t="s">
        <v>1013</v>
      </c>
      <c r="BI895">
        <v>12</v>
      </c>
      <c r="BJ895" t="s">
        <v>1014</v>
      </c>
      <c r="BK895" t="s">
        <v>1015</v>
      </c>
      <c r="BL895" t="s">
        <v>1016</v>
      </c>
      <c r="BM895" t="s">
        <v>72</v>
      </c>
      <c r="BN895" t="s">
        <v>1017</v>
      </c>
      <c r="BO895" t="s">
        <v>72</v>
      </c>
      <c r="BP895" t="s">
        <v>72</v>
      </c>
      <c r="BQ895" t="s">
        <v>100</v>
      </c>
      <c r="BR895" t="s">
        <v>1018</v>
      </c>
      <c r="BS895" t="str">
        <f>HYPERLINK("https%3A%2F%2Fwww.webofscience.com%2Fwos%2Fwoscc%2Ffull-record%2FWOS:000642378200001","View Full Record in Web of Science")</f>
        <v>View Full Record in Web of Science</v>
      </c>
    </row>
    <row r="896" spans="1:71" x14ac:dyDescent="0.2">
      <c r="A896" t="s">
        <v>70</v>
      </c>
      <c r="B896" t="s">
        <v>1055</v>
      </c>
      <c r="C896" t="s">
        <v>72</v>
      </c>
      <c r="D896" t="s">
        <v>72</v>
      </c>
      <c r="E896" t="s">
        <v>72</v>
      </c>
      <c r="F896" t="s">
        <v>1056</v>
      </c>
      <c r="G896" t="s">
        <v>72</v>
      </c>
      <c r="H896" t="s">
        <v>72</v>
      </c>
      <c r="I896" t="s">
        <v>1057</v>
      </c>
      <c r="J896" t="s">
        <v>1058</v>
      </c>
      <c r="K896" t="s">
        <v>72</v>
      </c>
      <c r="L896" t="s">
        <v>72</v>
      </c>
      <c r="M896" t="s">
        <v>76</v>
      </c>
      <c r="N896" t="s">
        <v>352</v>
      </c>
      <c r="O896" t="s">
        <v>72</v>
      </c>
      <c r="P896" t="s">
        <v>72</v>
      </c>
      <c r="Q896" t="s">
        <v>72</v>
      </c>
      <c r="R896" t="s">
        <v>72</v>
      </c>
      <c r="S896" t="s">
        <v>72</v>
      </c>
      <c r="T896" t="s">
        <v>1059</v>
      </c>
      <c r="U896" t="s">
        <v>1060</v>
      </c>
      <c r="V896" t="s">
        <v>1061</v>
      </c>
      <c r="W896" t="s">
        <v>1062</v>
      </c>
      <c r="X896" t="s">
        <v>493</v>
      </c>
      <c r="Y896" t="s">
        <v>1063</v>
      </c>
      <c r="Z896" t="s">
        <v>1064</v>
      </c>
      <c r="AA896" t="s">
        <v>72</v>
      </c>
      <c r="AB896" t="s">
        <v>72</v>
      </c>
      <c r="AC896" t="s">
        <v>1065</v>
      </c>
      <c r="AD896" t="s">
        <v>116</v>
      </c>
      <c r="AE896" t="s">
        <v>1066</v>
      </c>
      <c r="AF896" t="s">
        <v>72</v>
      </c>
      <c r="AG896">
        <v>30</v>
      </c>
      <c r="AH896">
        <v>0</v>
      </c>
      <c r="AI896">
        <v>0</v>
      </c>
      <c r="AJ896">
        <v>2</v>
      </c>
      <c r="AK896">
        <v>2</v>
      </c>
      <c r="AL896" t="s">
        <v>88</v>
      </c>
      <c r="AM896" t="s">
        <v>89</v>
      </c>
      <c r="AN896" t="s">
        <v>90</v>
      </c>
      <c r="AO896" t="s">
        <v>1067</v>
      </c>
      <c r="AP896" t="s">
        <v>1068</v>
      </c>
      <c r="AQ896" t="s">
        <v>72</v>
      </c>
      <c r="AR896" t="s">
        <v>1069</v>
      </c>
      <c r="AS896" t="s">
        <v>1070</v>
      </c>
      <c r="AT896" t="s">
        <v>72</v>
      </c>
      <c r="AU896" t="s">
        <v>72</v>
      </c>
      <c r="AV896" t="s">
        <v>72</v>
      </c>
      <c r="AW896" t="s">
        <v>72</v>
      </c>
      <c r="AX896" t="s">
        <v>72</v>
      </c>
      <c r="AY896" t="s">
        <v>72</v>
      </c>
      <c r="AZ896" t="s">
        <v>72</v>
      </c>
      <c r="BA896" t="s">
        <v>72</v>
      </c>
      <c r="BB896" t="s">
        <v>72</v>
      </c>
      <c r="BC896" t="s">
        <v>72</v>
      </c>
      <c r="BD896" t="s">
        <v>72</v>
      </c>
      <c r="BE896" t="s">
        <v>1071</v>
      </c>
      <c r="BF896" t="str">
        <f>HYPERLINK("http://dx.doi.org/10.1007/s12187-022-09954-0","http://dx.doi.org/10.1007/s12187-022-09954-0")</f>
        <v>http://dx.doi.org/10.1007/s12187-022-09954-0</v>
      </c>
      <c r="BG896" t="s">
        <v>72</v>
      </c>
      <c r="BH896" t="s">
        <v>1072</v>
      </c>
      <c r="BI896">
        <v>27</v>
      </c>
      <c r="BJ896" t="s">
        <v>1073</v>
      </c>
      <c r="BK896" t="s">
        <v>1015</v>
      </c>
      <c r="BL896" t="s">
        <v>1074</v>
      </c>
      <c r="BM896">
        <v>36060707</v>
      </c>
      <c r="BN896" t="s">
        <v>1075</v>
      </c>
      <c r="BO896" t="s">
        <v>72</v>
      </c>
      <c r="BP896" t="s">
        <v>72</v>
      </c>
      <c r="BQ896" t="s">
        <v>100</v>
      </c>
      <c r="BR896" t="s">
        <v>1076</v>
      </c>
      <c r="BS896" t="str">
        <f>HYPERLINK("https%3A%2F%2Fwww.webofscience.com%2Fwos%2Fwoscc%2Ffull-record%2FWOS:000847992100001","View Full Record in Web of Science")</f>
        <v>View Full Record in Web of Science</v>
      </c>
    </row>
    <row r="897" spans="1:71" x14ac:dyDescent="0.2">
      <c r="A897" t="s">
        <v>70</v>
      </c>
      <c r="B897" t="s">
        <v>1499</v>
      </c>
      <c r="C897" t="s">
        <v>72</v>
      </c>
      <c r="D897" t="s">
        <v>72</v>
      </c>
      <c r="E897" t="s">
        <v>72</v>
      </c>
      <c r="F897" t="s">
        <v>1500</v>
      </c>
      <c r="G897" t="s">
        <v>72</v>
      </c>
      <c r="H897" t="s">
        <v>72</v>
      </c>
      <c r="I897" t="s">
        <v>1501</v>
      </c>
      <c r="J897" t="s">
        <v>1502</v>
      </c>
      <c r="K897" t="s">
        <v>72</v>
      </c>
      <c r="L897" t="s">
        <v>72</v>
      </c>
      <c r="M897" t="s">
        <v>76</v>
      </c>
      <c r="N897" t="s">
        <v>1503</v>
      </c>
      <c r="O897" t="s">
        <v>72</v>
      </c>
      <c r="P897" t="s">
        <v>72</v>
      </c>
      <c r="Q897" t="s">
        <v>72</v>
      </c>
      <c r="R897" t="s">
        <v>72</v>
      </c>
      <c r="S897" t="s">
        <v>72</v>
      </c>
      <c r="T897" t="s">
        <v>1504</v>
      </c>
      <c r="U897" t="s">
        <v>1505</v>
      </c>
      <c r="V897" t="s">
        <v>1506</v>
      </c>
      <c r="W897" t="s">
        <v>1507</v>
      </c>
      <c r="X897" t="s">
        <v>1508</v>
      </c>
      <c r="Y897" t="s">
        <v>1509</v>
      </c>
      <c r="Z897" t="s">
        <v>1510</v>
      </c>
      <c r="AA897" t="s">
        <v>1511</v>
      </c>
      <c r="AB897" t="s">
        <v>1512</v>
      </c>
      <c r="AC897" t="s">
        <v>72</v>
      </c>
      <c r="AD897" t="s">
        <v>72</v>
      </c>
      <c r="AE897" t="s">
        <v>72</v>
      </c>
      <c r="AF897" t="s">
        <v>72</v>
      </c>
      <c r="AG897">
        <v>48</v>
      </c>
      <c r="AH897">
        <v>54</v>
      </c>
      <c r="AI897">
        <v>54</v>
      </c>
      <c r="AJ897">
        <v>8</v>
      </c>
      <c r="AK897">
        <v>84</v>
      </c>
      <c r="AL897" t="s">
        <v>364</v>
      </c>
      <c r="AM897" t="s">
        <v>365</v>
      </c>
      <c r="AN897" t="s">
        <v>366</v>
      </c>
      <c r="AO897" t="s">
        <v>1513</v>
      </c>
      <c r="AP897" t="s">
        <v>1514</v>
      </c>
      <c r="AQ897" t="s">
        <v>72</v>
      </c>
      <c r="AR897" t="s">
        <v>1515</v>
      </c>
      <c r="AS897" t="s">
        <v>1516</v>
      </c>
      <c r="AT897" t="s">
        <v>1172</v>
      </c>
      <c r="AU897">
        <v>2019</v>
      </c>
      <c r="AV897">
        <v>22</v>
      </c>
      <c r="AW897">
        <v>1</v>
      </c>
      <c r="AX897" t="s">
        <v>72</v>
      </c>
      <c r="AY897" t="s">
        <v>72</v>
      </c>
      <c r="AZ897" t="s">
        <v>72</v>
      </c>
      <c r="BA897" t="s">
        <v>72</v>
      </c>
      <c r="BB897">
        <v>35</v>
      </c>
      <c r="BC897">
        <v>49</v>
      </c>
      <c r="BD897" t="s">
        <v>72</v>
      </c>
      <c r="BE897" t="s">
        <v>1517</v>
      </c>
      <c r="BF897" t="str">
        <f>HYPERLINK("http://dx.doi.org/10.1080/13683500.2017.1361908","http://dx.doi.org/10.1080/13683500.2017.1361908")</f>
        <v>http://dx.doi.org/10.1080/13683500.2017.1361908</v>
      </c>
      <c r="BG897" t="s">
        <v>72</v>
      </c>
      <c r="BH897" t="s">
        <v>72</v>
      </c>
      <c r="BI897">
        <v>15</v>
      </c>
      <c r="BJ897" t="s">
        <v>1014</v>
      </c>
      <c r="BK897" t="s">
        <v>1015</v>
      </c>
      <c r="BL897" t="s">
        <v>1518</v>
      </c>
      <c r="BM897" t="s">
        <v>72</v>
      </c>
      <c r="BN897" t="s">
        <v>559</v>
      </c>
      <c r="BO897" t="s">
        <v>72</v>
      </c>
      <c r="BP897" t="s">
        <v>72</v>
      </c>
      <c r="BQ897" t="s">
        <v>100</v>
      </c>
      <c r="BR897" t="s">
        <v>1519</v>
      </c>
      <c r="BS897" t="str">
        <f>HYPERLINK("https%3A%2F%2Fwww.webofscience.com%2Fwos%2Fwoscc%2Ffull-record%2FWOS:000451133000006","View Full Record in Web of Science")</f>
        <v>View Full Record in Web of Science</v>
      </c>
    </row>
    <row r="898" spans="1:71" x14ac:dyDescent="0.2">
      <c r="A898" t="s">
        <v>70</v>
      </c>
      <c r="B898" t="s">
        <v>1583</v>
      </c>
      <c r="C898" t="s">
        <v>72</v>
      </c>
      <c r="D898" t="s">
        <v>72</v>
      </c>
      <c r="E898" t="s">
        <v>72</v>
      </c>
      <c r="F898" t="s">
        <v>1584</v>
      </c>
      <c r="G898" t="s">
        <v>72</v>
      </c>
      <c r="H898" t="s">
        <v>72</v>
      </c>
      <c r="I898" t="s">
        <v>1585</v>
      </c>
      <c r="J898" t="s">
        <v>1586</v>
      </c>
      <c r="K898" t="s">
        <v>72</v>
      </c>
      <c r="L898" t="s">
        <v>72</v>
      </c>
      <c r="M898" t="s">
        <v>76</v>
      </c>
      <c r="N898" t="s">
        <v>1503</v>
      </c>
      <c r="O898" t="s">
        <v>72</v>
      </c>
      <c r="P898" t="s">
        <v>72</v>
      </c>
      <c r="Q898" t="s">
        <v>72</v>
      </c>
      <c r="R898" t="s">
        <v>72</v>
      </c>
      <c r="S898" t="s">
        <v>72</v>
      </c>
      <c r="T898" t="s">
        <v>1587</v>
      </c>
      <c r="U898" t="s">
        <v>1588</v>
      </c>
      <c r="V898" t="s">
        <v>1589</v>
      </c>
      <c r="W898" t="s">
        <v>1590</v>
      </c>
      <c r="X898" t="s">
        <v>1591</v>
      </c>
      <c r="Y898" t="s">
        <v>1592</v>
      </c>
      <c r="Z898" t="s">
        <v>1593</v>
      </c>
      <c r="AA898" t="s">
        <v>1594</v>
      </c>
      <c r="AB898" t="s">
        <v>1595</v>
      </c>
      <c r="AC898" t="s">
        <v>72</v>
      </c>
      <c r="AD898" t="s">
        <v>72</v>
      </c>
      <c r="AE898" t="s">
        <v>72</v>
      </c>
      <c r="AF898" t="s">
        <v>72</v>
      </c>
      <c r="AG898">
        <v>116</v>
      </c>
      <c r="AH898">
        <v>41</v>
      </c>
      <c r="AI898">
        <v>40</v>
      </c>
      <c r="AJ898">
        <v>12</v>
      </c>
      <c r="AK898">
        <v>76</v>
      </c>
      <c r="AL898" t="s">
        <v>1596</v>
      </c>
      <c r="AM898" t="s">
        <v>451</v>
      </c>
      <c r="AN898" t="s">
        <v>1597</v>
      </c>
      <c r="AO898" t="s">
        <v>1598</v>
      </c>
      <c r="AP898" t="s">
        <v>1599</v>
      </c>
      <c r="AQ898" t="s">
        <v>72</v>
      </c>
      <c r="AR898" t="s">
        <v>1600</v>
      </c>
      <c r="AS898" t="s">
        <v>1601</v>
      </c>
      <c r="AT898" t="s">
        <v>1602</v>
      </c>
      <c r="AU898">
        <v>2020</v>
      </c>
      <c r="AV898">
        <v>85</v>
      </c>
      <c r="AW898" t="s">
        <v>72</v>
      </c>
      <c r="AX898" t="s">
        <v>72</v>
      </c>
      <c r="AY898" t="s">
        <v>72</v>
      </c>
      <c r="AZ898" t="s">
        <v>72</v>
      </c>
      <c r="BA898" t="s">
        <v>72</v>
      </c>
      <c r="BB898" t="s">
        <v>72</v>
      </c>
      <c r="BC898" t="s">
        <v>72</v>
      </c>
      <c r="BD898">
        <v>102342</v>
      </c>
      <c r="BE898" t="s">
        <v>1603</v>
      </c>
      <c r="BF898" t="str">
        <f>HYPERLINK("http://dx.doi.org/10.1016/j.ijhm.2019.102342","http://dx.doi.org/10.1016/j.ijhm.2019.102342")</f>
        <v>http://dx.doi.org/10.1016/j.ijhm.2019.102342</v>
      </c>
      <c r="BG898" t="s">
        <v>72</v>
      </c>
      <c r="BH898" t="s">
        <v>72</v>
      </c>
      <c r="BI898">
        <v>9</v>
      </c>
      <c r="BJ898" t="s">
        <v>1014</v>
      </c>
      <c r="BK898" t="s">
        <v>1015</v>
      </c>
      <c r="BL898" t="s">
        <v>1604</v>
      </c>
      <c r="BM898" t="s">
        <v>72</v>
      </c>
      <c r="BN898" t="s">
        <v>251</v>
      </c>
      <c r="BO898" t="s">
        <v>72</v>
      </c>
      <c r="BP898" t="s">
        <v>72</v>
      </c>
      <c r="BQ898" t="s">
        <v>100</v>
      </c>
      <c r="BR898" t="s">
        <v>1605</v>
      </c>
      <c r="BS898" t="str">
        <f>HYPERLINK("https%3A%2F%2Fwww.webofscience.com%2Fwos%2Fwoscc%2Ffull-record%2FWOS:000528562500011","View Full Record in Web of Science")</f>
        <v>View Full Record in Web of Science</v>
      </c>
    </row>
    <row r="899" spans="1:71" x14ac:dyDescent="0.2">
      <c r="A899" t="s">
        <v>70</v>
      </c>
      <c r="B899" t="s">
        <v>2326</v>
      </c>
      <c r="C899" t="s">
        <v>72</v>
      </c>
      <c r="D899" t="s">
        <v>72</v>
      </c>
      <c r="E899" t="s">
        <v>72</v>
      </c>
      <c r="F899" t="s">
        <v>2327</v>
      </c>
      <c r="G899" t="s">
        <v>72</v>
      </c>
      <c r="H899" t="s">
        <v>72</v>
      </c>
      <c r="I899" t="s">
        <v>2328</v>
      </c>
      <c r="J899" t="s">
        <v>2329</v>
      </c>
      <c r="K899" t="s">
        <v>72</v>
      </c>
      <c r="L899" t="s">
        <v>72</v>
      </c>
      <c r="M899" t="s">
        <v>76</v>
      </c>
      <c r="N899" t="s">
        <v>77</v>
      </c>
      <c r="O899" t="s">
        <v>72</v>
      </c>
      <c r="P899" t="s">
        <v>72</v>
      </c>
      <c r="Q899" t="s">
        <v>72</v>
      </c>
      <c r="R899" t="s">
        <v>72</v>
      </c>
      <c r="S899" t="s">
        <v>72</v>
      </c>
      <c r="T899" t="s">
        <v>2330</v>
      </c>
      <c r="U899" t="s">
        <v>2331</v>
      </c>
      <c r="V899" t="s">
        <v>2332</v>
      </c>
      <c r="W899" t="s">
        <v>2333</v>
      </c>
      <c r="X899" t="s">
        <v>2334</v>
      </c>
      <c r="Y899" t="s">
        <v>2335</v>
      </c>
      <c r="Z899" t="s">
        <v>2336</v>
      </c>
      <c r="AA899" t="s">
        <v>2337</v>
      </c>
      <c r="AB899" t="s">
        <v>2338</v>
      </c>
      <c r="AC899" t="s">
        <v>2339</v>
      </c>
      <c r="AD899" t="s">
        <v>2340</v>
      </c>
      <c r="AE899" t="s">
        <v>2341</v>
      </c>
      <c r="AF899" t="s">
        <v>72</v>
      </c>
      <c r="AG899">
        <v>69</v>
      </c>
      <c r="AH899">
        <v>3</v>
      </c>
      <c r="AI899">
        <v>3</v>
      </c>
      <c r="AJ899">
        <v>6</v>
      </c>
      <c r="AK899">
        <v>17</v>
      </c>
      <c r="AL899" t="s">
        <v>364</v>
      </c>
      <c r="AM899" t="s">
        <v>365</v>
      </c>
      <c r="AN899" t="s">
        <v>366</v>
      </c>
      <c r="AO899" t="s">
        <v>2342</v>
      </c>
      <c r="AP899" t="s">
        <v>2343</v>
      </c>
      <c r="AQ899" t="s">
        <v>72</v>
      </c>
      <c r="AR899" t="s">
        <v>2344</v>
      </c>
      <c r="AS899" t="s">
        <v>2345</v>
      </c>
      <c r="AT899" t="s">
        <v>72</v>
      </c>
      <c r="AU899">
        <v>2019</v>
      </c>
      <c r="AV899">
        <v>15</v>
      </c>
      <c r="AW899">
        <v>3</v>
      </c>
      <c r="AX899" t="s">
        <v>72</v>
      </c>
      <c r="AY899" t="s">
        <v>72</v>
      </c>
      <c r="AZ899" t="s">
        <v>72</v>
      </c>
      <c r="BA899" t="s">
        <v>72</v>
      </c>
      <c r="BB899">
        <v>340</v>
      </c>
      <c r="BC899">
        <v>358</v>
      </c>
      <c r="BD899" t="s">
        <v>72</v>
      </c>
      <c r="BE899" t="s">
        <v>2346</v>
      </c>
      <c r="BF899" t="str">
        <f>HYPERLINK("http://dx.doi.org/10.1080/19388160.2019.1575779","http://dx.doi.org/10.1080/19388160.2019.1575779")</f>
        <v>http://dx.doi.org/10.1080/19388160.2019.1575779</v>
      </c>
      <c r="BG899" t="s">
        <v>72</v>
      </c>
      <c r="BH899" t="s">
        <v>72</v>
      </c>
      <c r="BI899">
        <v>19</v>
      </c>
      <c r="BJ899" t="s">
        <v>1014</v>
      </c>
      <c r="BK899" t="s">
        <v>1015</v>
      </c>
      <c r="BL899" t="s">
        <v>2347</v>
      </c>
      <c r="BM899" t="s">
        <v>72</v>
      </c>
      <c r="BN899" t="s">
        <v>72</v>
      </c>
      <c r="BO899" t="s">
        <v>72</v>
      </c>
      <c r="BP899" t="s">
        <v>72</v>
      </c>
      <c r="BQ899" t="s">
        <v>100</v>
      </c>
      <c r="BR899" t="s">
        <v>2348</v>
      </c>
      <c r="BS899" t="str">
        <f>HYPERLINK("https%3A%2F%2Fwww.webofscience.com%2Fwos%2Fwoscc%2Ffull-record%2FWOS:000482265600004","View Full Record in Web of Science")</f>
        <v>View Full Record in Web of Science</v>
      </c>
    </row>
    <row r="900" spans="1:71" x14ac:dyDescent="0.2">
      <c r="A900" t="s">
        <v>70</v>
      </c>
      <c r="B900" t="s">
        <v>3290</v>
      </c>
      <c r="C900" t="s">
        <v>72</v>
      </c>
      <c r="D900" t="s">
        <v>72</v>
      </c>
      <c r="E900" t="s">
        <v>72</v>
      </c>
      <c r="F900" t="s">
        <v>3291</v>
      </c>
      <c r="G900" t="s">
        <v>72</v>
      </c>
      <c r="H900" t="s">
        <v>72</v>
      </c>
      <c r="I900" t="s">
        <v>3292</v>
      </c>
      <c r="J900" t="s">
        <v>3293</v>
      </c>
      <c r="K900" t="s">
        <v>72</v>
      </c>
      <c r="L900" t="s">
        <v>72</v>
      </c>
      <c r="M900" t="s">
        <v>76</v>
      </c>
      <c r="N900" t="s">
        <v>77</v>
      </c>
      <c r="O900" t="s">
        <v>72</v>
      </c>
      <c r="P900" t="s">
        <v>72</v>
      </c>
      <c r="Q900" t="s">
        <v>72</v>
      </c>
      <c r="R900" t="s">
        <v>72</v>
      </c>
      <c r="S900" t="s">
        <v>72</v>
      </c>
      <c r="T900" t="s">
        <v>3294</v>
      </c>
      <c r="U900" t="s">
        <v>3295</v>
      </c>
      <c r="V900" t="s">
        <v>3296</v>
      </c>
      <c r="W900" t="s">
        <v>3297</v>
      </c>
      <c r="X900" t="s">
        <v>3298</v>
      </c>
      <c r="Y900" t="s">
        <v>3299</v>
      </c>
      <c r="Z900" t="s">
        <v>3300</v>
      </c>
      <c r="AA900" t="s">
        <v>72</v>
      </c>
      <c r="AB900" t="s">
        <v>72</v>
      </c>
      <c r="AC900" t="s">
        <v>72</v>
      </c>
      <c r="AD900" t="s">
        <v>72</v>
      </c>
      <c r="AE900" t="s">
        <v>72</v>
      </c>
      <c r="AF900" t="s">
        <v>72</v>
      </c>
      <c r="AG900">
        <v>32</v>
      </c>
      <c r="AH900">
        <v>0</v>
      </c>
      <c r="AI900">
        <v>0</v>
      </c>
      <c r="AJ900">
        <v>1</v>
      </c>
      <c r="AK900">
        <v>1</v>
      </c>
      <c r="AL900" t="s">
        <v>190</v>
      </c>
      <c r="AM900" t="s">
        <v>191</v>
      </c>
      <c r="AN900" t="s">
        <v>192</v>
      </c>
      <c r="AO900" t="s">
        <v>3301</v>
      </c>
      <c r="AP900" t="s">
        <v>72</v>
      </c>
      <c r="AQ900" t="s">
        <v>72</v>
      </c>
      <c r="AR900" t="s">
        <v>3302</v>
      </c>
      <c r="AS900" t="s">
        <v>3303</v>
      </c>
      <c r="AT900" t="s">
        <v>639</v>
      </c>
      <c r="AU900">
        <v>2022</v>
      </c>
      <c r="AV900">
        <v>21</v>
      </c>
      <c r="AW900" t="s">
        <v>72</v>
      </c>
      <c r="AX900" t="s">
        <v>72</v>
      </c>
      <c r="AY900" t="s">
        <v>72</v>
      </c>
      <c r="AZ900" t="s">
        <v>72</v>
      </c>
      <c r="BA900" t="s">
        <v>72</v>
      </c>
      <c r="BB900" t="s">
        <v>72</v>
      </c>
      <c r="BC900" t="s">
        <v>72</v>
      </c>
      <c r="BD900">
        <v>1.6094069221118992E+16</v>
      </c>
      <c r="BE900" t="s">
        <v>3304</v>
      </c>
      <c r="BF900" t="str">
        <f>HYPERLINK("http://dx.doi.org/10.1177/16094069221118993","http://dx.doi.org/10.1177/16094069221118993")</f>
        <v>http://dx.doi.org/10.1177/16094069221118993</v>
      </c>
      <c r="BG900" t="s">
        <v>72</v>
      </c>
      <c r="BH900" t="s">
        <v>72</v>
      </c>
      <c r="BI900">
        <v>13</v>
      </c>
      <c r="BJ900" t="s">
        <v>1073</v>
      </c>
      <c r="BK900" t="s">
        <v>1015</v>
      </c>
      <c r="BL900" t="s">
        <v>3305</v>
      </c>
      <c r="BM900">
        <v>36032654</v>
      </c>
      <c r="BN900" t="s">
        <v>1975</v>
      </c>
      <c r="BO900" t="s">
        <v>72</v>
      </c>
      <c r="BP900" t="s">
        <v>72</v>
      </c>
      <c r="BQ900" t="s">
        <v>100</v>
      </c>
      <c r="BR900" t="s">
        <v>3306</v>
      </c>
      <c r="BS900" t="str">
        <f>HYPERLINK("https%3A%2F%2Fwww.webofscience.com%2Fwos%2Fwoscc%2Ffull-record%2FWOS:000842877100001","View Full Record in Web of Science")</f>
        <v>View Full Record in Web of Science</v>
      </c>
    </row>
    <row r="901" spans="1:71" x14ac:dyDescent="0.2">
      <c r="A901" t="s">
        <v>70</v>
      </c>
      <c r="B901" t="s">
        <v>3599</v>
      </c>
      <c r="C901" t="s">
        <v>72</v>
      </c>
      <c r="D901" t="s">
        <v>72</v>
      </c>
      <c r="E901" t="s">
        <v>72</v>
      </c>
      <c r="F901" t="s">
        <v>3600</v>
      </c>
      <c r="G901" t="s">
        <v>72</v>
      </c>
      <c r="H901" t="s">
        <v>72</v>
      </c>
      <c r="I901" t="s">
        <v>3601</v>
      </c>
      <c r="J901" t="s">
        <v>1502</v>
      </c>
      <c r="K901" t="s">
        <v>72</v>
      </c>
      <c r="L901" t="s">
        <v>72</v>
      </c>
      <c r="M901" t="s">
        <v>76</v>
      </c>
      <c r="N901" t="s">
        <v>77</v>
      </c>
      <c r="O901" t="s">
        <v>72</v>
      </c>
      <c r="P901" t="s">
        <v>72</v>
      </c>
      <c r="Q901" t="s">
        <v>72</v>
      </c>
      <c r="R901" t="s">
        <v>72</v>
      </c>
      <c r="S901" t="s">
        <v>72</v>
      </c>
      <c r="T901" t="s">
        <v>3602</v>
      </c>
      <c r="U901" t="s">
        <v>3603</v>
      </c>
      <c r="V901" t="s">
        <v>3604</v>
      </c>
      <c r="W901" t="s">
        <v>3605</v>
      </c>
      <c r="X901" t="s">
        <v>3606</v>
      </c>
      <c r="Y901" t="s">
        <v>3607</v>
      </c>
      <c r="Z901" t="s">
        <v>3608</v>
      </c>
      <c r="AA901" t="s">
        <v>72</v>
      </c>
      <c r="AB901" t="s">
        <v>72</v>
      </c>
      <c r="AC901" t="s">
        <v>72</v>
      </c>
      <c r="AD901" t="s">
        <v>72</v>
      </c>
      <c r="AE901" t="s">
        <v>72</v>
      </c>
      <c r="AF901" t="s">
        <v>72</v>
      </c>
      <c r="AG901">
        <v>29</v>
      </c>
      <c r="AH901">
        <v>5</v>
      </c>
      <c r="AI901">
        <v>5</v>
      </c>
      <c r="AJ901">
        <v>1</v>
      </c>
      <c r="AK901">
        <v>20</v>
      </c>
      <c r="AL901" t="s">
        <v>364</v>
      </c>
      <c r="AM901" t="s">
        <v>365</v>
      </c>
      <c r="AN901" t="s">
        <v>366</v>
      </c>
      <c r="AO901" t="s">
        <v>1513</v>
      </c>
      <c r="AP901" t="s">
        <v>1514</v>
      </c>
      <c r="AQ901" t="s">
        <v>72</v>
      </c>
      <c r="AR901" t="s">
        <v>1515</v>
      </c>
      <c r="AS901" t="s">
        <v>1516</v>
      </c>
      <c r="AT901" t="s">
        <v>3609</v>
      </c>
      <c r="AU901">
        <v>2019</v>
      </c>
      <c r="AV901">
        <v>22</v>
      </c>
      <c r="AW901">
        <v>4</v>
      </c>
      <c r="AX901" t="s">
        <v>72</v>
      </c>
      <c r="AY901" t="s">
        <v>72</v>
      </c>
      <c r="AZ901" t="s">
        <v>72</v>
      </c>
      <c r="BA901" t="s">
        <v>72</v>
      </c>
      <c r="BB901">
        <v>400</v>
      </c>
      <c r="BC901">
        <v>408</v>
      </c>
      <c r="BD901" t="s">
        <v>72</v>
      </c>
      <c r="BE901" t="s">
        <v>3610</v>
      </c>
      <c r="BF901" t="str">
        <f>HYPERLINK("http://dx.doi.org/10.1080/13683500.2017.1318838","http://dx.doi.org/10.1080/13683500.2017.1318838")</f>
        <v>http://dx.doi.org/10.1080/13683500.2017.1318838</v>
      </c>
      <c r="BG901" t="s">
        <v>72</v>
      </c>
      <c r="BH901" t="s">
        <v>72</v>
      </c>
      <c r="BI901">
        <v>9</v>
      </c>
      <c r="BJ901" t="s">
        <v>1014</v>
      </c>
      <c r="BK901" t="s">
        <v>1015</v>
      </c>
      <c r="BL901" t="s">
        <v>3611</v>
      </c>
      <c r="BM901" t="s">
        <v>72</v>
      </c>
      <c r="BN901" t="s">
        <v>72</v>
      </c>
      <c r="BO901" t="s">
        <v>72</v>
      </c>
      <c r="BP901" t="s">
        <v>72</v>
      </c>
      <c r="BQ901" t="s">
        <v>100</v>
      </c>
      <c r="BR901" t="s">
        <v>3612</v>
      </c>
      <c r="BS901" t="str">
        <f>HYPERLINK("https%3A%2F%2Fwww.webofscience.com%2Fwos%2Fwoscc%2Ffull-record%2FWOS:000454948100002","View Full Record in Web of Science")</f>
        <v>View Full Record in Web of Science</v>
      </c>
    </row>
    <row r="902" spans="1:71" x14ac:dyDescent="0.2">
      <c r="A902" t="s">
        <v>70</v>
      </c>
      <c r="B902" t="s">
        <v>5382</v>
      </c>
      <c r="C902" t="s">
        <v>72</v>
      </c>
      <c r="D902" t="s">
        <v>72</v>
      </c>
      <c r="E902" t="s">
        <v>72</v>
      </c>
      <c r="F902" t="s">
        <v>5383</v>
      </c>
      <c r="G902" t="s">
        <v>72</v>
      </c>
      <c r="H902" t="s">
        <v>72</v>
      </c>
      <c r="I902" t="s">
        <v>5384</v>
      </c>
      <c r="J902" t="s">
        <v>1502</v>
      </c>
      <c r="K902" t="s">
        <v>72</v>
      </c>
      <c r="L902" t="s">
        <v>72</v>
      </c>
      <c r="M902" t="s">
        <v>76</v>
      </c>
      <c r="N902" t="s">
        <v>77</v>
      </c>
      <c r="O902" t="s">
        <v>72</v>
      </c>
      <c r="P902" t="s">
        <v>72</v>
      </c>
      <c r="Q902" t="s">
        <v>72</v>
      </c>
      <c r="R902" t="s">
        <v>72</v>
      </c>
      <c r="S902" t="s">
        <v>72</v>
      </c>
      <c r="T902" t="s">
        <v>5385</v>
      </c>
      <c r="U902" t="s">
        <v>72</v>
      </c>
      <c r="V902" t="s">
        <v>5386</v>
      </c>
      <c r="W902" t="s">
        <v>5387</v>
      </c>
      <c r="X902" t="s">
        <v>5388</v>
      </c>
      <c r="Y902" t="s">
        <v>5389</v>
      </c>
      <c r="Z902" t="s">
        <v>5390</v>
      </c>
      <c r="AA902" t="s">
        <v>5391</v>
      </c>
      <c r="AB902" t="s">
        <v>5392</v>
      </c>
      <c r="AC902" t="s">
        <v>5393</v>
      </c>
      <c r="AD902" t="s">
        <v>5394</v>
      </c>
      <c r="AE902" t="s">
        <v>5395</v>
      </c>
      <c r="AF902" t="s">
        <v>72</v>
      </c>
      <c r="AG902">
        <v>25</v>
      </c>
      <c r="AH902">
        <v>90</v>
      </c>
      <c r="AI902">
        <v>93</v>
      </c>
      <c r="AJ902">
        <v>43</v>
      </c>
      <c r="AK902">
        <v>176</v>
      </c>
      <c r="AL902" t="s">
        <v>364</v>
      </c>
      <c r="AM902" t="s">
        <v>365</v>
      </c>
      <c r="AN902" t="s">
        <v>366</v>
      </c>
      <c r="AO902" t="s">
        <v>1513</v>
      </c>
      <c r="AP902" t="s">
        <v>1514</v>
      </c>
      <c r="AQ902" t="s">
        <v>72</v>
      </c>
      <c r="AR902" t="s">
        <v>1515</v>
      </c>
      <c r="AS902" t="s">
        <v>1516</v>
      </c>
      <c r="AT902" t="s">
        <v>5396</v>
      </c>
      <c r="AU902">
        <v>2022</v>
      </c>
      <c r="AV902">
        <v>25</v>
      </c>
      <c r="AW902">
        <v>2</v>
      </c>
      <c r="AX902" t="s">
        <v>72</v>
      </c>
      <c r="AY902" t="s">
        <v>72</v>
      </c>
      <c r="AZ902" t="s">
        <v>478</v>
      </c>
      <c r="BA902" t="s">
        <v>72</v>
      </c>
      <c r="BB902">
        <v>198</v>
      </c>
      <c r="BC902">
        <v>205</v>
      </c>
      <c r="BD902" t="s">
        <v>72</v>
      </c>
      <c r="BE902" t="s">
        <v>5397</v>
      </c>
      <c r="BF902" t="str">
        <f>HYPERLINK("http://dx.doi.org/10.1080/13683500.2020.1763269","http://dx.doi.org/10.1080/13683500.2020.1763269")</f>
        <v>http://dx.doi.org/10.1080/13683500.2020.1763269</v>
      </c>
      <c r="BG902" t="s">
        <v>72</v>
      </c>
      <c r="BH902" t="s">
        <v>2237</v>
      </c>
      <c r="BI902">
        <v>8</v>
      </c>
      <c r="BJ902" t="s">
        <v>1014</v>
      </c>
      <c r="BK902" t="s">
        <v>1015</v>
      </c>
      <c r="BL902" t="s">
        <v>5398</v>
      </c>
      <c r="BM902" t="s">
        <v>72</v>
      </c>
      <c r="BN902" t="s">
        <v>1497</v>
      </c>
      <c r="BO902" t="s">
        <v>72</v>
      </c>
      <c r="BP902" t="s">
        <v>72</v>
      </c>
      <c r="BQ902" t="s">
        <v>100</v>
      </c>
      <c r="BR902" t="s">
        <v>5399</v>
      </c>
      <c r="BS902" t="str">
        <f>HYPERLINK("https%3A%2F%2Fwww.webofscience.com%2Fwos%2Fwoscc%2Ffull-record%2FWOS:000536979500001","View Full Record in Web of Science")</f>
        <v>View Full Record in Web of Science</v>
      </c>
    </row>
    <row r="903" spans="1:71" x14ac:dyDescent="0.2">
      <c r="A903" t="s">
        <v>70</v>
      </c>
      <c r="B903" t="s">
        <v>6528</v>
      </c>
      <c r="C903" t="s">
        <v>72</v>
      </c>
      <c r="D903" t="s">
        <v>72</v>
      </c>
      <c r="E903" t="s">
        <v>72</v>
      </c>
      <c r="F903" t="s">
        <v>6529</v>
      </c>
      <c r="G903" t="s">
        <v>72</v>
      </c>
      <c r="H903" t="s">
        <v>72</v>
      </c>
      <c r="I903" t="s">
        <v>6530</v>
      </c>
      <c r="J903" t="s">
        <v>6531</v>
      </c>
      <c r="K903" t="s">
        <v>72</v>
      </c>
      <c r="L903" t="s">
        <v>72</v>
      </c>
      <c r="M903" t="s">
        <v>76</v>
      </c>
      <c r="N903" t="s">
        <v>1503</v>
      </c>
      <c r="O903" t="s">
        <v>72</v>
      </c>
      <c r="P903" t="s">
        <v>72</v>
      </c>
      <c r="Q903" t="s">
        <v>72</v>
      </c>
      <c r="R903" t="s">
        <v>72</v>
      </c>
      <c r="S903" t="s">
        <v>72</v>
      </c>
      <c r="T903" t="s">
        <v>6532</v>
      </c>
      <c r="U903" t="s">
        <v>6533</v>
      </c>
      <c r="V903" t="s">
        <v>6534</v>
      </c>
      <c r="W903" t="s">
        <v>6535</v>
      </c>
      <c r="X903" t="s">
        <v>6536</v>
      </c>
      <c r="Y903" t="s">
        <v>6537</v>
      </c>
      <c r="Z903" t="s">
        <v>6538</v>
      </c>
      <c r="AA903" t="s">
        <v>72</v>
      </c>
      <c r="AB903" t="s">
        <v>72</v>
      </c>
      <c r="AC903" t="s">
        <v>72</v>
      </c>
      <c r="AD903" t="s">
        <v>72</v>
      </c>
      <c r="AE903" t="s">
        <v>72</v>
      </c>
      <c r="AF903" t="s">
        <v>72</v>
      </c>
      <c r="AG903">
        <v>69</v>
      </c>
      <c r="AH903">
        <v>2</v>
      </c>
      <c r="AI903">
        <v>2</v>
      </c>
      <c r="AJ903">
        <v>5</v>
      </c>
      <c r="AK903">
        <v>13</v>
      </c>
      <c r="AL903" t="s">
        <v>364</v>
      </c>
      <c r="AM903" t="s">
        <v>365</v>
      </c>
      <c r="AN903" t="s">
        <v>366</v>
      </c>
      <c r="AO903" t="s">
        <v>6539</v>
      </c>
      <c r="AP903" t="s">
        <v>6540</v>
      </c>
      <c r="AQ903" t="s">
        <v>72</v>
      </c>
      <c r="AR903" t="s">
        <v>6541</v>
      </c>
      <c r="AS903" t="s">
        <v>6542</v>
      </c>
      <c r="AT903" t="s">
        <v>72</v>
      </c>
      <c r="AU903">
        <v>2019</v>
      </c>
      <c r="AV903">
        <v>20</v>
      </c>
      <c r="AW903">
        <v>2</v>
      </c>
      <c r="AX903" t="s">
        <v>72</v>
      </c>
      <c r="AY903" t="s">
        <v>72</v>
      </c>
      <c r="AZ903" t="s">
        <v>72</v>
      </c>
      <c r="BA903" t="s">
        <v>72</v>
      </c>
      <c r="BB903">
        <v>135</v>
      </c>
      <c r="BC903">
        <v>162</v>
      </c>
      <c r="BD903" t="s">
        <v>72</v>
      </c>
      <c r="BE903" t="s">
        <v>6543</v>
      </c>
      <c r="BF903" t="str">
        <f>HYPERLINK("http://dx.doi.org/10.1080/15470148.2019.1582390","http://dx.doi.org/10.1080/15470148.2019.1582390")</f>
        <v>http://dx.doi.org/10.1080/15470148.2019.1582390</v>
      </c>
      <c r="BG903" t="s">
        <v>72</v>
      </c>
      <c r="BH903" t="s">
        <v>72</v>
      </c>
      <c r="BI903">
        <v>28</v>
      </c>
      <c r="BJ903" t="s">
        <v>1014</v>
      </c>
      <c r="BK903" t="s">
        <v>1015</v>
      </c>
      <c r="BL903" t="s">
        <v>6544</v>
      </c>
      <c r="BM903" t="s">
        <v>72</v>
      </c>
      <c r="BN903" t="s">
        <v>72</v>
      </c>
      <c r="BO903" t="s">
        <v>72</v>
      </c>
      <c r="BP903" t="s">
        <v>72</v>
      </c>
      <c r="BQ903" t="s">
        <v>100</v>
      </c>
      <c r="BR903" t="s">
        <v>6545</v>
      </c>
      <c r="BS903" t="str">
        <f>HYPERLINK("https%3A%2F%2Fwww.webofscience.com%2Fwos%2Fwoscc%2Ffull-record%2FWOS:000476758900004","View Full Record in Web of Science")</f>
        <v>View Full Record in Web of Science</v>
      </c>
    </row>
    <row r="904" spans="1:71" x14ac:dyDescent="0.2">
      <c r="A904" t="s">
        <v>70</v>
      </c>
      <c r="B904" t="s">
        <v>6563</v>
      </c>
      <c r="C904" t="s">
        <v>72</v>
      </c>
      <c r="D904" t="s">
        <v>72</v>
      </c>
      <c r="E904" t="s">
        <v>72</v>
      </c>
      <c r="F904" t="s">
        <v>6564</v>
      </c>
      <c r="G904" t="s">
        <v>72</v>
      </c>
      <c r="H904" t="s">
        <v>72</v>
      </c>
      <c r="I904" t="s">
        <v>6565</v>
      </c>
      <c r="J904" t="s">
        <v>6566</v>
      </c>
      <c r="K904" t="s">
        <v>72</v>
      </c>
      <c r="L904" t="s">
        <v>72</v>
      </c>
      <c r="M904" t="s">
        <v>76</v>
      </c>
      <c r="N904" t="s">
        <v>77</v>
      </c>
      <c r="O904" t="s">
        <v>72</v>
      </c>
      <c r="P904" t="s">
        <v>72</v>
      </c>
      <c r="Q904" t="s">
        <v>72</v>
      </c>
      <c r="R904" t="s">
        <v>72</v>
      </c>
      <c r="S904" t="s">
        <v>72</v>
      </c>
      <c r="T904" t="s">
        <v>6567</v>
      </c>
      <c r="U904" t="s">
        <v>6568</v>
      </c>
      <c r="V904" t="s">
        <v>6569</v>
      </c>
      <c r="W904" t="s">
        <v>6570</v>
      </c>
      <c r="X904" t="s">
        <v>6571</v>
      </c>
      <c r="Y904" t="s">
        <v>6572</v>
      </c>
      <c r="Z904" t="s">
        <v>6573</v>
      </c>
      <c r="AA904" t="s">
        <v>6574</v>
      </c>
      <c r="AB904" t="s">
        <v>6575</v>
      </c>
      <c r="AC904" t="s">
        <v>6576</v>
      </c>
      <c r="AD904" t="s">
        <v>6577</v>
      </c>
      <c r="AE904" t="s">
        <v>6578</v>
      </c>
      <c r="AF904" t="s">
        <v>72</v>
      </c>
      <c r="AG904">
        <v>79</v>
      </c>
      <c r="AH904">
        <v>7</v>
      </c>
      <c r="AI904">
        <v>7</v>
      </c>
      <c r="AJ904">
        <v>21</v>
      </c>
      <c r="AK904">
        <v>76</v>
      </c>
      <c r="AL904" t="s">
        <v>364</v>
      </c>
      <c r="AM904" t="s">
        <v>365</v>
      </c>
      <c r="AN904" t="s">
        <v>366</v>
      </c>
      <c r="AO904" t="s">
        <v>6579</v>
      </c>
      <c r="AP904" t="s">
        <v>6580</v>
      </c>
      <c r="AQ904" t="s">
        <v>72</v>
      </c>
      <c r="AR904" t="s">
        <v>6581</v>
      </c>
      <c r="AS904" t="s">
        <v>6582</v>
      </c>
      <c r="AT904" t="s">
        <v>6583</v>
      </c>
      <c r="AU904">
        <v>2021</v>
      </c>
      <c r="AV904">
        <v>38</v>
      </c>
      <c r="AW904">
        <v>3</v>
      </c>
      <c r="AX904" t="s">
        <v>72</v>
      </c>
      <c r="AY904" t="s">
        <v>72</v>
      </c>
      <c r="AZ904" t="s">
        <v>72</v>
      </c>
      <c r="BA904" t="s">
        <v>72</v>
      </c>
      <c r="BB904">
        <v>326</v>
      </c>
      <c r="BC904">
        <v>340</v>
      </c>
      <c r="BD904" t="s">
        <v>72</v>
      </c>
      <c r="BE904" t="s">
        <v>6584</v>
      </c>
      <c r="BF904" t="str">
        <f>HYPERLINK("http://dx.doi.org/10.1080/10548408.2021.1906382","http://dx.doi.org/10.1080/10548408.2021.1906382")</f>
        <v>http://dx.doi.org/10.1080/10548408.2021.1906382</v>
      </c>
      <c r="BG904" t="s">
        <v>72</v>
      </c>
      <c r="BH904" t="s">
        <v>72</v>
      </c>
      <c r="BI904">
        <v>15</v>
      </c>
      <c r="BJ904" t="s">
        <v>1014</v>
      </c>
      <c r="BK904" t="s">
        <v>1015</v>
      </c>
      <c r="BL904" t="s">
        <v>6585</v>
      </c>
      <c r="BM904" t="s">
        <v>72</v>
      </c>
      <c r="BN904" t="s">
        <v>346</v>
      </c>
      <c r="BO904" t="s">
        <v>72</v>
      </c>
      <c r="BP904" t="s">
        <v>72</v>
      </c>
      <c r="BQ904" t="s">
        <v>100</v>
      </c>
      <c r="BR904" t="s">
        <v>6586</v>
      </c>
      <c r="BS904" t="str">
        <f>HYPERLINK("https%3A%2F%2Fwww.webofscience.com%2Fwos%2Fwoscc%2Ffull-record%2FWOS:000638425800001","View Full Record in Web of Science")</f>
        <v>View Full Record in Web of Science</v>
      </c>
    </row>
    <row r="905" spans="1:71" x14ac:dyDescent="0.2">
      <c r="A905" t="s">
        <v>70</v>
      </c>
      <c r="B905" t="s">
        <v>6664</v>
      </c>
      <c r="C905" t="s">
        <v>72</v>
      </c>
      <c r="D905" t="s">
        <v>72</v>
      </c>
      <c r="E905" t="s">
        <v>72</v>
      </c>
      <c r="F905" t="s">
        <v>6665</v>
      </c>
      <c r="G905" t="s">
        <v>72</v>
      </c>
      <c r="H905" t="s">
        <v>72</v>
      </c>
      <c r="I905" t="s">
        <v>6666</v>
      </c>
      <c r="J905" t="s">
        <v>6667</v>
      </c>
      <c r="K905" t="s">
        <v>72</v>
      </c>
      <c r="L905" t="s">
        <v>72</v>
      </c>
      <c r="M905" t="s">
        <v>76</v>
      </c>
      <c r="N905" t="s">
        <v>77</v>
      </c>
      <c r="O905" t="s">
        <v>72</v>
      </c>
      <c r="P905" t="s">
        <v>72</v>
      </c>
      <c r="Q905" t="s">
        <v>72</v>
      </c>
      <c r="R905" t="s">
        <v>72</v>
      </c>
      <c r="S905" t="s">
        <v>72</v>
      </c>
      <c r="T905" t="s">
        <v>6668</v>
      </c>
      <c r="U905" t="s">
        <v>72</v>
      </c>
      <c r="V905" t="s">
        <v>6669</v>
      </c>
      <c r="W905" t="s">
        <v>6670</v>
      </c>
      <c r="X905" t="s">
        <v>6671</v>
      </c>
      <c r="Y905" t="s">
        <v>6672</v>
      </c>
      <c r="Z905" t="s">
        <v>6673</v>
      </c>
      <c r="AA905" t="s">
        <v>72</v>
      </c>
      <c r="AB905" t="s">
        <v>72</v>
      </c>
      <c r="AC905" t="s">
        <v>72</v>
      </c>
      <c r="AD905" t="s">
        <v>72</v>
      </c>
      <c r="AE905" t="s">
        <v>72</v>
      </c>
      <c r="AF905" t="s">
        <v>72</v>
      </c>
      <c r="AG905">
        <v>22</v>
      </c>
      <c r="AH905">
        <v>0</v>
      </c>
      <c r="AI905">
        <v>0</v>
      </c>
      <c r="AJ905">
        <v>0</v>
      </c>
      <c r="AK905">
        <v>0</v>
      </c>
      <c r="AL905" t="s">
        <v>6674</v>
      </c>
      <c r="AM905" t="s">
        <v>6675</v>
      </c>
      <c r="AN905" t="s">
        <v>6676</v>
      </c>
      <c r="AO905" t="s">
        <v>6677</v>
      </c>
      <c r="AP905" t="s">
        <v>72</v>
      </c>
      <c r="AQ905" t="s">
        <v>72</v>
      </c>
      <c r="AR905" t="s">
        <v>6678</v>
      </c>
      <c r="AS905" t="s">
        <v>6679</v>
      </c>
      <c r="AT905" t="s">
        <v>6680</v>
      </c>
      <c r="AU905">
        <v>2022</v>
      </c>
      <c r="AV905">
        <v>9</v>
      </c>
      <c r="AW905">
        <v>2</v>
      </c>
      <c r="AX905" t="s">
        <v>72</v>
      </c>
      <c r="AY905" t="s">
        <v>72</v>
      </c>
      <c r="AZ905" t="s">
        <v>72</v>
      </c>
      <c r="BA905" t="s">
        <v>72</v>
      </c>
      <c r="BB905" t="s">
        <v>72</v>
      </c>
      <c r="BC905" t="s">
        <v>72</v>
      </c>
      <c r="BD905" t="s">
        <v>6681</v>
      </c>
      <c r="BE905" t="s">
        <v>6682</v>
      </c>
      <c r="BF905" t="str">
        <f>HYPERLINK("http://dx.doi.org/10.12982/CMUJASR.2022.015","http://dx.doi.org/10.12982/CMUJASR.2022.015")</f>
        <v>http://dx.doi.org/10.12982/CMUJASR.2022.015</v>
      </c>
      <c r="BG905" t="s">
        <v>72</v>
      </c>
      <c r="BH905" t="s">
        <v>72</v>
      </c>
      <c r="BI905">
        <v>25</v>
      </c>
      <c r="BJ905" t="s">
        <v>1073</v>
      </c>
      <c r="BK905" t="s">
        <v>1015</v>
      </c>
      <c r="BL905" t="s">
        <v>6683</v>
      </c>
      <c r="BM905" t="s">
        <v>72</v>
      </c>
      <c r="BN905" t="s">
        <v>222</v>
      </c>
      <c r="BO905" t="s">
        <v>72</v>
      </c>
      <c r="BP905" t="s">
        <v>72</v>
      </c>
      <c r="BQ905" t="s">
        <v>100</v>
      </c>
      <c r="BR905" t="s">
        <v>6684</v>
      </c>
      <c r="BS905" t="str">
        <f>HYPERLINK("https%3A%2F%2Fwww.webofscience.com%2Fwos%2Fwoscc%2Ffull-record%2FWOS:000880779100002","View Full Record in Web of Science")</f>
        <v>View Full Record in Web of Science</v>
      </c>
    </row>
    <row r="906" spans="1:71" x14ac:dyDescent="0.2">
      <c r="A906" t="s">
        <v>70</v>
      </c>
      <c r="B906" t="s">
        <v>9457</v>
      </c>
      <c r="C906" t="s">
        <v>72</v>
      </c>
      <c r="D906" t="s">
        <v>72</v>
      </c>
      <c r="E906" t="s">
        <v>72</v>
      </c>
      <c r="F906" t="s">
        <v>9458</v>
      </c>
      <c r="G906" t="s">
        <v>72</v>
      </c>
      <c r="H906" t="s">
        <v>72</v>
      </c>
      <c r="I906" t="s">
        <v>9459</v>
      </c>
      <c r="J906" t="s">
        <v>9460</v>
      </c>
      <c r="K906" t="s">
        <v>72</v>
      </c>
      <c r="L906" t="s">
        <v>72</v>
      </c>
      <c r="M906" t="s">
        <v>7679</v>
      </c>
      <c r="N906" t="s">
        <v>77</v>
      </c>
      <c r="O906" t="s">
        <v>72</v>
      </c>
      <c r="P906" t="s">
        <v>72</v>
      </c>
      <c r="Q906" t="s">
        <v>72</v>
      </c>
      <c r="R906" t="s">
        <v>72</v>
      </c>
      <c r="S906" t="s">
        <v>72</v>
      </c>
      <c r="T906" t="s">
        <v>9461</v>
      </c>
      <c r="U906" t="s">
        <v>9462</v>
      </c>
      <c r="V906" t="s">
        <v>9463</v>
      </c>
      <c r="W906" t="s">
        <v>9464</v>
      </c>
      <c r="X906" t="s">
        <v>9465</v>
      </c>
      <c r="Y906" t="s">
        <v>9466</v>
      </c>
      <c r="Z906" t="s">
        <v>9467</v>
      </c>
      <c r="AA906" t="s">
        <v>72</v>
      </c>
      <c r="AB906" t="s">
        <v>9468</v>
      </c>
      <c r="AC906" t="s">
        <v>72</v>
      </c>
      <c r="AD906" t="s">
        <v>72</v>
      </c>
      <c r="AE906" t="s">
        <v>72</v>
      </c>
      <c r="AF906" t="s">
        <v>72</v>
      </c>
      <c r="AG906">
        <v>39</v>
      </c>
      <c r="AH906">
        <v>1</v>
      </c>
      <c r="AI906">
        <v>4</v>
      </c>
      <c r="AJ906">
        <v>0</v>
      </c>
      <c r="AK906">
        <v>2</v>
      </c>
      <c r="AL906" t="s">
        <v>9469</v>
      </c>
      <c r="AM906" t="s">
        <v>3342</v>
      </c>
      <c r="AN906" t="s">
        <v>9470</v>
      </c>
      <c r="AO906" t="s">
        <v>9471</v>
      </c>
      <c r="AP906" t="s">
        <v>9472</v>
      </c>
      <c r="AQ906" t="s">
        <v>72</v>
      </c>
      <c r="AR906" t="s">
        <v>9473</v>
      </c>
      <c r="AS906" t="s">
        <v>9474</v>
      </c>
      <c r="AT906" t="s">
        <v>72</v>
      </c>
      <c r="AU906">
        <v>2020</v>
      </c>
      <c r="AV906">
        <v>63</v>
      </c>
      <c r="AW906">
        <v>1</v>
      </c>
      <c r="AX906" t="s">
        <v>72</v>
      </c>
      <c r="AY906" t="s">
        <v>72</v>
      </c>
      <c r="AZ906" t="s">
        <v>72</v>
      </c>
      <c r="BA906" t="s">
        <v>72</v>
      </c>
      <c r="BB906" t="s">
        <v>72</v>
      </c>
      <c r="BC906" t="s">
        <v>72</v>
      </c>
      <c r="BD906" t="s">
        <v>9475</v>
      </c>
      <c r="BE906" t="s">
        <v>9476</v>
      </c>
      <c r="BF906" t="str">
        <f>HYPERLINK("http://dx.doi.org/10.1590/001152582020204","http://dx.doi.org/10.1590/001152582020204")</f>
        <v>http://dx.doi.org/10.1590/001152582020204</v>
      </c>
      <c r="BG906" t="s">
        <v>72</v>
      </c>
      <c r="BH906" t="s">
        <v>72</v>
      </c>
      <c r="BI906">
        <v>37</v>
      </c>
      <c r="BJ906" t="s">
        <v>1073</v>
      </c>
      <c r="BK906" t="s">
        <v>1015</v>
      </c>
      <c r="BL906" t="s">
        <v>9477</v>
      </c>
      <c r="BM906" t="s">
        <v>72</v>
      </c>
      <c r="BN906" t="s">
        <v>222</v>
      </c>
      <c r="BO906" t="s">
        <v>72</v>
      </c>
      <c r="BP906" t="s">
        <v>72</v>
      </c>
      <c r="BQ906" t="s">
        <v>100</v>
      </c>
      <c r="BR906" t="s">
        <v>9478</v>
      </c>
      <c r="BS906" t="str">
        <f>HYPERLINK("https%3A%2F%2Fwww.webofscience.com%2Fwos%2Fwoscc%2Ffull-record%2FWOS:000531580700001","View Full Record in Web of Science")</f>
        <v>View Full Record in Web of Science</v>
      </c>
    </row>
    <row r="907" spans="1:71" x14ac:dyDescent="0.2">
      <c r="A907" t="s">
        <v>70</v>
      </c>
      <c r="B907" t="s">
        <v>9981</v>
      </c>
      <c r="C907" t="s">
        <v>72</v>
      </c>
      <c r="D907" t="s">
        <v>72</v>
      </c>
      <c r="E907" t="s">
        <v>72</v>
      </c>
      <c r="F907" t="s">
        <v>9982</v>
      </c>
      <c r="G907" t="s">
        <v>72</v>
      </c>
      <c r="H907" t="s">
        <v>72</v>
      </c>
      <c r="I907" t="s">
        <v>9983</v>
      </c>
      <c r="J907" t="s">
        <v>9984</v>
      </c>
      <c r="K907" t="s">
        <v>72</v>
      </c>
      <c r="L907" t="s">
        <v>72</v>
      </c>
      <c r="M907" t="s">
        <v>76</v>
      </c>
      <c r="N907" t="s">
        <v>77</v>
      </c>
      <c r="O907" t="s">
        <v>72</v>
      </c>
      <c r="P907" t="s">
        <v>72</v>
      </c>
      <c r="Q907" t="s">
        <v>72</v>
      </c>
      <c r="R907" t="s">
        <v>72</v>
      </c>
      <c r="S907" t="s">
        <v>72</v>
      </c>
      <c r="T907" t="s">
        <v>9985</v>
      </c>
      <c r="U907" t="s">
        <v>72</v>
      </c>
      <c r="V907" t="s">
        <v>9986</v>
      </c>
      <c r="W907" t="s">
        <v>9987</v>
      </c>
      <c r="X907" t="s">
        <v>9988</v>
      </c>
      <c r="Y907" t="s">
        <v>9989</v>
      </c>
      <c r="Z907" t="s">
        <v>9990</v>
      </c>
      <c r="AA907" t="s">
        <v>9991</v>
      </c>
      <c r="AB907" t="s">
        <v>9992</v>
      </c>
      <c r="AC907" t="s">
        <v>9993</v>
      </c>
      <c r="AD907" t="s">
        <v>9993</v>
      </c>
      <c r="AE907" t="s">
        <v>9994</v>
      </c>
      <c r="AF907" t="s">
        <v>72</v>
      </c>
      <c r="AG907">
        <v>36</v>
      </c>
      <c r="AH907">
        <v>30</v>
      </c>
      <c r="AI907">
        <v>30</v>
      </c>
      <c r="AJ907">
        <v>10</v>
      </c>
      <c r="AK907">
        <v>37</v>
      </c>
      <c r="AL907" t="s">
        <v>364</v>
      </c>
      <c r="AM907" t="s">
        <v>365</v>
      </c>
      <c r="AN907" t="s">
        <v>366</v>
      </c>
      <c r="AO907" t="s">
        <v>9995</v>
      </c>
      <c r="AP907" t="s">
        <v>9996</v>
      </c>
      <c r="AQ907" t="s">
        <v>72</v>
      </c>
      <c r="AR907" t="s">
        <v>9997</v>
      </c>
      <c r="AS907" t="s">
        <v>9998</v>
      </c>
      <c r="AT907" t="s">
        <v>9999</v>
      </c>
      <c r="AU907">
        <v>2019</v>
      </c>
      <c r="AV907">
        <v>22</v>
      </c>
      <c r="AW907">
        <v>5</v>
      </c>
      <c r="AX907" t="s">
        <v>72</v>
      </c>
      <c r="AY907" t="s">
        <v>72</v>
      </c>
      <c r="AZ907" t="s">
        <v>72</v>
      </c>
      <c r="BA907" t="s">
        <v>72</v>
      </c>
      <c r="BB907">
        <v>469</v>
      </c>
      <c r="BC907">
        <v>485</v>
      </c>
      <c r="BD907" t="s">
        <v>72</v>
      </c>
      <c r="BE907" t="s">
        <v>10000</v>
      </c>
      <c r="BF907" t="str">
        <f>HYPERLINK("http://dx.doi.org/10.1080/13645579.2019.1576317","http://dx.doi.org/10.1080/13645579.2019.1576317")</f>
        <v>http://dx.doi.org/10.1080/13645579.2019.1576317</v>
      </c>
      <c r="BG907" t="s">
        <v>72</v>
      </c>
      <c r="BH907" t="s">
        <v>72</v>
      </c>
      <c r="BI907">
        <v>17</v>
      </c>
      <c r="BJ907" t="s">
        <v>1073</v>
      </c>
      <c r="BK907" t="s">
        <v>1015</v>
      </c>
      <c r="BL907" t="s">
        <v>10001</v>
      </c>
      <c r="BM907" t="s">
        <v>72</v>
      </c>
      <c r="BN907" t="s">
        <v>1128</v>
      </c>
      <c r="BO907" t="s">
        <v>72</v>
      </c>
      <c r="BP907" t="s">
        <v>72</v>
      </c>
      <c r="BQ907" t="s">
        <v>100</v>
      </c>
      <c r="BR907" t="s">
        <v>10002</v>
      </c>
      <c r="BS907" t="str">
        <f>HYPERLINK("https%3A%2F%2Fwww.webofscience.com%2Fwos%2Fwoscc%2Ffull-record%2FWOS:000474606500005","View Full Record in Web of Science")</f>
        <v>View Full Record in Web of Science</v>
      </c>
    </row>
    <row r="908" spans="1:71" x14ac:dyDescent="0.2">
      <c r="A908" t="s">
        <v>70</v>
      </c>
      <c r="B908" t="s">
        <v>11219</v>
      </c>
      <c r="C908" t="s">
        <v>72</v>
      </c>
      <c r="D908" t="s">
        <v>72</v>
      </c>
      <c r="E908" t="s">
        <v>72</v>
      </c>
      <c r="F908" t="s">
        <v>11220</v>
      </c>
      <c r="G908" t="s">
        <v>72</v>
      </c>
      <c r="H908" t="s">
        <v>72</v>
      </c>
      <c r="I908" t="s">
        <v>11221</v>
      </c>
      <c r="J908" t="s">
        <v>11222</v>
      </c>
      <c r="K908" t="s">
        <v>72</v>
      </c>
      <c r="L908" t="s">
        <v>72</v>
      </c>
      <c r="M908" t="s">
        <v>76</v>
      </c>
      <c r="N908" t="s">
        <v>77</v>
      </c>
      <c r="O908" t="s">
        <v>72</v>
      </c>
      <c r="P908" t="s">
        <v>72</v>
      </c>
      <c r="Q908" t="s">
        <v>72</v>
      </c>
      <c r="R908" t="s">
        <v>72</v>
      </c>
      <c r="S908" t="s">
        <v>72</v>
      </c>
      <c r="T908" t="s">
        <v>11223</v>
      </c>
      <c r="U908" t="s">
        <v>11224</v>
      </c>
      <c r="V908" t="s">
        <v>11225</v>
      </c>
      <c r="W908" t="s">
        <v>11226</v>
      </c>
      <c r="X908" t="s">
        <v>164</v>
      </c>
      <c r="Y908" t="s">
        <v>11227</v>
      </c>
      <c r="Z908" t="s">
        <v>11228</v>
      </c>
      <c r="AA908" t="s">
        <v>72</v>
      </c>
      <c r="AB908" t="s">
        <v>11229</v>
      </c>
      <c r="AC908" t="s">
        <v>72</v>
      </c>
      <c r="AD908" t="s">
        <v>72</v>
      </c>
      <c r="AE908" t="s">
        <v>72</v>
      </c>
      <c r="AF908" t="s">
        <v>72</v>
      </c>
      <c r="AG908">
        <v>60</v>
      </c>
      <c r="AH908">
        <v>0</v>
      </c>
      <c r="AI908">
        <v>0</v>
      </c>
      <c r="AJ908">
        <v>7</v>
      </c>
      <c r="AK908">
        <v>7</v>
      </c>
      <c r="AL908" t="s">
        <v>190</v>
      </c>
      <c r="AM908" t="s">
        <v>191</v>
      </c>
      <c r="AN908" t="s">
        <v>192</v>
      </c>
      <c r="AO908" t="s">
        <v>11230</v>
      </c>
      <c r="AP908" t="s">
        <v>72</v>
      </c>
      <c r="AQ908" t="s">
        <v>72</v>
      </c>
      <c r="AR908" t="s">
        <v>11231</v>
      </c>
      <c r="AS908" t="s">
        <v>11232</v>
      </c>
      <c r="AT908" t="s">
        <v>776</v>
      </c>
      <c r="AU908">
        <v>2022</v>
      </c>
      <c r="AV908">
        <v>9</v>
      </c>
      <c r="AW908">
        <v>2</v>
      </c>
      <c r="AX908" t="s">
        <v>72</v>
      </c>
      <c r="AY908" t="s">
        <v>72</v>
      </c>
      <c r="AZ908" t="s">
        <v>72</v>
      </c>
      <c r="BA908" t="s">
        <v>72</v>
      </c>
      <c r="BB908" t="s">
        <v>72</v>
      </c>
      <c r="BC908" t="s">
        <v>72</v>
      </c>
      <c r="BD908">
        <v>2.0539517221089624E+16</v>
      </c>
      <c r="BE908" t="s">
        <v>11233</v>
      </c>
      <c r="BF908" t="str">
        <f>HYPERLINK("http://dx.doi.org/10.1177/20539517221089626","http://dx.doi.org/10.1177/20539517221089626")</f>
        <v>http://dx.doi.org/10.1177/20539517221089626</v>
      </c>
      <c r="BG908" t="s">
        <v>72</v>
      </c>
      <c r="BH908" t="s">
        <v>72</v>
      </c>
      <c r="BI908">
        <v>20</v>
      </c>
      <c r="BJ908" t="s">
        <v>1073</v>
      </c>
      <c r="BK908" t="s">
        <v>1015</v>
      </c>
      <c r="BL908" t="s">
        <v>11234</v>
      </c>
      <c r="BM908" t="s">
        <v>72</v>
      </c>
      <c r="BN908" t="s">
        <v>222</v>
      </c>
      <c r="BO908" t="s">
        <v>72</v>
      </c>
      <c r="BP908" t="s">
        <v>72</v>
      </c>
      <c r="BQ908" t="s">
        <v>100</v>
      </c>
      <c r="BR908" t="s">
        <v>11235</v>
      </c>
      <c r="BS908" t="str">
        <f>HYPERLINK("https%3A%2F%2Fwww.webofscience.com%2Fwos%2Fwoscc%2Ffull-record%2FWOS:000837455700001","View Full Record in Web of Science")</f>
        <v>View Full Record in Web of Science</v>
      </c>
    </row>
    <row r="909" spans="1:71" x14ac:dyDescent="0.2">
      <c r="A909" t="s">
        <v>561</v>
      </c>
      <c r="B909" t="s">
        <v>11236</v>
      </c>
      <c r="C909" t="s">
        <v>72</v>
      </c>
      <c r="D909" t="s">
        <v>11237</v>
      </c>
      <c r="E909" t="s">
        <v>72</v>
      </c>
      <c r="F909" t="s">
        <v>11238</v>
      </c>
      <c r="G909" t="s">
        <v>72</v>
      </c>
      <c r="H909" t="s">
        <v>72</v>
      </c>
      <c r="I909" t="s">
        <v>11239</v>
      </c>
      <c r="J909" t="s">
        <v>11240</v>
      </c>
      <c r="K909" t="s">
        <v>72</v>
      </c>
      <c r="L909" t="s">
        <v>72</v>
      </c>
      <c r="M909" t="s">
        <v>76</v>
      </c>
      <c r="N909" t="s">
        <v>567</v>
      </c>
      <c r="O909" t="s">
        <v>72</v>
      </c>
      <c r="P909" t="s">
        <v>72</v>
      </c>
      <c r="Q909" t="s">
        <v>72</v>
      </c>
      <c r="R909" t="s">
        <v>72</v>
      </c>
      <c r="S909" t="s">
        <v>72</v>
      </c>
      <c r="T909" t="s">
        <v>72</v>
      </c>
      <c r="U909" t="s">
        <v>72</v>
      </c>
      <c r="V909" t="s">
        <v>11241</v>
      </c>
      <c r="W909" t="s">
        <v>11242</v>
      </c>
      <c r="X909" t="s">
        <v>11243</v>
      </c>
      <c r="Y909" t="s">
        <v>11244</v>
      </c>
      <c r="Z909" t="s">
        <v>11245</v>
      </c>
      <c r="AA909" t="s">
        <v>11246</v>
      </c>
      <c r="AB909" t="s">
        <v>11247</v>
      </c>
      <c r="AC909" t="s">
        <v>72</v>
      </c>
      <c r="AD909" t="s">
        <v>72</v>
      </c>
      <c r="AE909" t="s">
        <v>72</v>
      </c>
      <c r="AF909" t="s">
        <v>72</v>
      </c>
      <c r="AG909">
        <v>51</v>
      </c>
      <c r="AH909">
        <v>3</v>
      </c>
      <c r="AI909">
        <v>3</v>
      </c>
      <c r="AJ909">
        <v>0</v>
      </c>
      <c r="AK909">
        <v>2</v>
      </c>
      <c r="AL909" t="s">
        <v>11248</v>
      </c>
      <c r="AM909" t="s">
        <v>11249</v>
      </c>
      <c r="AN909" t="s">
        <v>11250</v>
      </c>
      <c r="AO909" t="s">
        <v>72</v>
      </c>
      <c r="AP909" t="s">
        <v>72</v>
      </c>
      <c r="AQ909" t="s">
        <v>11251</v>
      </c>
      <c r="AR909" t="s">
        <v>72</v>
      </c>
      <c r="AS909" t="s">
        <v>72</v>
      </c>
      <c r="AT909" t="s">
        <v>72</v>
      </c>
      <c r="AU909">
        <v>2008</v>
      </c>
      <c r="AV909" t="s">
        <v>72</v>
      </c>
      <c r="AW909" t="s">
        <v>72</v>
      </c>
      <c r="AX909" t="s">
        <v>72</v>
      </c>
      <c r="AY909" t="s">
        <v>72</v>
      </c>
      <c r="AZ909" t="s">
        <v>72</v>
      </c>
      <c r="BA909" t="s">
        <v>72</v>
      </c>
      <c r="BB909">
        <v>339</v>
      </c>
      <c r="BC909">
        <v>357</v>
      </c>
      <c r="BD909" t="s">
        <v>72</v>
      </c>
      <c r="BE909" t="s">
        <v>11252</v>
      </c>
      <c r="BF909" t="str">
        <f>HYPERLINK("http://dx.doi.org/10.1079/9781845933234.0339","http://dx.doi.org/10.1079/9781845933234.0339")</f>
        <v>http://dx.doi.org/10.1079/9781845933234.0339</v>
      </c>
      <c r="BG909" t="s">
        <v>11253</v>
      </c>
      <c r="BH909" t="s">
        <v>72</v>
      </c>
      <c r="BI909">
        <v>19</v>
      </c>
      <c r="BJ909" t="s">
        <v>1014</v>
      </c>
      <c r="BK909" t="s">
        <v>1015</v>
      </c>
      <c r="BL909" t="s">
        <v>11254</v>
      </c>
      <c r="BM909" t="s">
        <v>72</v>
      </c>
      <c r="BN909" t="s">
        <v>72</v>
      </c>
      <c r="BO909" t="s">
        <v>72</v>
      </c>
      <c r="BP909" t="s">
        <v>72</v>
      </c>
      <c r="BQ909" t="s">
        <v>100</v>
      </c>
      <c r="BR909" t="s">
        <v>11255</v>
      </c>
      <c r="BS909" t="str">
        <f>HYPERLINK("https%3A%2F%2Fwww.webofscience.com%2Fwos%2Fwoscc%2Ffull-record%2FWOS:000293557400020","View Full Record in Web of Science")</f>
        <v>View Full Record in Web of Science</v>
      </c>
    </row>
    <row r="910" spans="1:71" x14ac:dyDescent="0.2">
      <c r="A910" t="s">
        <v>70</v>
      </c>
      <c r="B910" t="s">
        <v>11347</v>
      </c>
      <c r="C910" t="s">
        <v>72</v>
      </c>
      <c r="D910" t="s">
        <v>72</v>
      </c>
      <c r="E910" t="s">
        <v>72</v>
      </c>
      <c r="F910" t="s">
        <v>11348</v>
      </c>
      <c r="G910" t="s">
        <v>72</v>
      </c>
      <c r="H910" t="s">
        <v>72</v>
      </c>
      <c r="I910" t="s">
        <v>11349</v>
      </c>
      <c r="J910" t="s">
        <v>11350</v>
      </c>
      <c r="K910" t="s">
        <v>72</v>
      </c>
      <c r="L910" t="s">
        <v>72</v>
      </c>
      <c r="M910" t="s">
        <v>76</v>
      </c>
      <c r="N910" t="s">
        <v>77</v>
      </c>
      <c r="O910" t="s">
        <v>72</v>
      </c>
      <c r="P910" t="s">
        <v>72</v>
      </c>
      <c r="Q910" t="s">
        <v>72</v>
      </c>
      <c r="R910" t="s">
        <v>72</v>
      </c>
      <c r="S910" t="s">
        <v>72</v>
      </c>
      <c r="T910" t="s">
        <v>11351</v>
      </c>
      <c r="U910" t="s">
        <v>11352</v>
      </c>
      <c r="V910" t="s">
        <v>11353</v>
      </c>
      <c r="W910" t="s">
        <v>11354</v>
      </c>
      <c r="X910" t="s">
        <v>11355</v>
      </c>
      <c r="Y910" t="s">
        <v>11356</v>
      </c>
      <c r="Z910" t="s">
        <v>11357</v>
      </c>
      <c r="AA910" t="s">
        <v>11358</v>
      </c>
      <c r="AB910" t="s">
        <v>11359</v>
      </c>
      <c r="AC910" t="s">
        <v>72</v>
      </c>
      <c r="AD910" t="s">
        <v>72</v>
      </c>
      <c r="AE910" t="s">
        <v>72</v>
      </c>
      <c r="AF910" t="s">
        <v>72</v>
      </c>
      <c r="AG910">
        <v>148</v>
      </c>
      <c r="AH910">
        <v>13</v>
      </c>
      <c r="AI910">
        <v>13</v>
      </c>
      <c r="AJ910">
        <v>1</v>
      </c>
      <c r="AK910">
        <v>30</v>
      </c>
      <c r="AL910" t="s">
        <v>1005</v>
      </c>
      <c r="AM910" t="s">
        <v>1006</v>
      </c>
      <c r="AN910" t="s">
        <v>1007</v>
      </c>
      <c r="AO910" t="s">
        <v>11360</v>
      </c>
      <c r="AP910" t="s">
        <v>11361</v>
      </c>
      <c r="AQ910" t="s">
        <v>72</v>
      </c>
      <c r="AR910" t="s">
        <v>11362</v>
      </c>
      <c r="AS910" t="s">
        <v>11363</v>
      </c>
      <c r="AT910" t="s">
        <v>951</v>
      </c>
      <c r="AU910">
        <v>2018</v>
      </c>
      <c r="AV910">
        <v>20</v>
      </c>
      <c r="AW910">
        <v>4</v>
      </c>
      <c r="AX910" t="s">
        <v>72</v>
      </c>
      <c r="AY910" t="s">
        <v>72</v>
      </c>
      <c r="AZ910" t="s">
        <v>72</v>
      </c>
      <c r="BA910" t="s">
        <v>72</v>
      </c>
      <c r="BB910">
        <v>304</v>
      </c>
      <c r="BC910">
        <v>325</v>
      </c>
      <c r="BD910" t="s">
        <v>72</v>
      </c>
      <c r="BE910" t="s">
        <v>11364</v>
      </c>
      <c r="BF910" t="str">
        <f>HYPERLINK("http://dx.doi.org/10.1057/s41283-018-0037-0","http://dx.doi.org/10.1057/s41283-018-0037-0")</f>
        <v>http://dx.doi.org/10.1057/s41283-018-0037-0</v>
      </c>
      <c r="BG910" t="s">
        <v>72</v>
      </c>
      <c r="BH910" t="s">
        <v>72</v>
      </c>
      <c r="BI910">
        <v>22</v>
      </c>
      <c r="BJ910" t="s">
        <v>1073</v>
      </c>
      <c r="BK910" t="s">
        <v>1015</v>
      </c>
      <c r="BL910" t="s">
        <v>11365</v>
      </c>
      <c r="BM910" t="s">
        <v>72</v>
      </c>
      <c r="BN910" t="s">
        <v>72</v>
      </c>
      <c r="BO910" t="s">
        <v>72</v>
      </c>
      <c r="BP910" t="s">
        <v>72</v>
      </c>
      <c r="BQ910" t="s">
        <v>100</v>
      </c>
      <c r="BR910" t="s">
        <v>11366</v>
      </c>
      <c r="BS910" t="str">
        <f>HYPERLINK("https%3A%2F%2Fwww.webofscience.com%2Fwos%2Fwoscc%2Ffull-record%2FWOS:000455345800002","View Full Record in Web of Science")</f>
        <v>View Full Record in Web of Science</v>
      </c>
    </row>
    <row r="911" spans="1:71" x14ac:dyDescent="0.2">
      <c r="A911" t="s">
        <v>70</v>
      </c>
      <c r="B911" t="s">
        <v>14371</v>
      </c>
      <c r="C911" t="s">
        <v>72</v>
      </c>
      <c r="D911" t="s">
        <v>72</v>
      </c>
      <c r="E911" t="s">
        <v>72</v>
      </c>
      <c r="F911" t="s">
        <v>14372</v>
      </c>
      <c r="G911" t="s">
        <v>72</v>
      </c>
      <c r="H911" t="s">
        <v>72</v>
      </c>
      <c r="I911" t="s">
        <v>14373</v>
      </c>
      <c r="J911" t="s">
        <v>14374</v>
      </c>
      <c r="K911" t="s">
        <v>72</v>
      </c>
      <c r="L911" t="s">
        <v>72</v>
      </c>
      <c r="M911" t="s">
        <v>76</v>
      </c>
      <c r="N911" t="s">
        <v>77</v>
      </c>
      <c r="O911" t="s">
        <v>72</v>
      </c>
      <c r="P911" t="s">
        <v>72</v>
      </c>
      <c r="Q911" t="s">
        <v>72</v>
      </c>
      <c r="R911" t="s">
        <v>72</v>
      </c>
      <c r="S911" t="s">
        <v>72</v>
      </c>
      <c r="T911" t="s">
        <v>14375</v>
      </c>
      <c r="U911" t="s">
        <v>14376</v>
      </c>
      <c r="V911" t="s">
        <v>14377</v>
      </c>
      <c r="W911" t="s">
        <v>14378</v>
      </c>
      <c r="X911" t="s">
        <v>14379</v>
      </c>
      <c r="Y911" t="s">
        <v>14380</v>
      </c>
      <c r="Z911" t="s">
        <v>14381</v>
      </c>
      <c r="AA911" t="s">
        <v>14382</v>
      </c>
      <c r="AB911" t="s">
        <v>14383</v>
      </c>
      <c r="AC911" t="s">
        <v>72</v>
      </c>
      <c r="AD911" t="s">
        <v>72</v>
      </c>
      <c r="AE911" t="s">
        <v>72</v>
      </c>
      <c r="AF911" t="s">
        <v>72</v>
      </c>
      <c r="AG911">
        <v>56</v>
      </c>
      <c r="AH911">
        <v>0</v>
      </c>
      <c r="AI911">
        <v>0</v>
      </c>
      <c r="AJ911">
        <v>0</v>
      </c>
      <c r="AK911">
        <v>0</v>
      </c>
      <c r="AL911" t="s">
        <v>2426</v>
      </c>
      <c r="AM911" t="s">
        <v>2427</v>
      </c>
      <c r="AN911" t="s">
        <v>2428</v>
      </c>
      <c r="AO911" t="s">
        <v>72</v>
      </c>
      <c r="AP911" t="s">
        <v>14384</v>
      </c>
      <c r="AQ911" t="s">
        <v>72</v>
      </c>
      <c r="AR911" t="s">
        <v>14385</v>
      </c>
      <c r="AS911" t="s">
        <v>14386</v>
      </c>
      <c r="AT911" t="s">
        <v>395</v>
      </c>
      <c r="AU911">
        <v>2022</v>
      </c>
      <c r="AV911">
        <v>11</v>
      </c>
      <c r="AW911">
        <v>10</v>
      </c>
      <c r="AX911" t="s">
        <v>72</v>
      </c>
      <c r="AY911" t="s">
        <v>72</v>
      </c>
      <c r="AZ911" t="s">
        <v>72</v>
      </c>
      <c r="BA911" t="s">
        <v>72</v>
      </c>
      <c r="BB911" t="s">
        <v>72</v>
      </c>
      <c r="BC911" t="s">
        <v>72</v>
      </c>
      <c r="BD911">
        <v>436</v>
      </c>
      <c r="BE911" t="s">
        <v>14387</v>
      </c>
      <c r="BF911" t="str">
        <f>HYPERLINK("http://dx.doi.org/10.3390/socsci11100436","http://dx.doi.org/10.3390/socsci11100436")</f>
        <v>http://dx.doi.org/10.3390/socsci11100436</v>
      </c>
      <c r="BG911" t="s">
        <v>72</v>
      </c>
      <c r="BH911" t="s">
        <v>72</v>
      </c>
      <c r="BI911">
        <v>15</v>
      </c>
      <c r="BJ911" t="s">
        <v>1073</v>
      </c>
      <c r="BK911" t="s">
        <v>1015</v>
      </c>
      <c r="BL911" t="s">
        <v>14388</v>
      </c>
      <c r="BM911" t="s">
        <v>72</v>
      </c>
      <c r="BN911" t="s">
        <v>222</v>
      </c>
      <c r="BO911" t="s">
        <v>72</v>
      </c>
      <c r="BP911" t="s">
        <v>72</v>
      </c>
      <c r="BQ911" t="s">
        <v>100</v>
      </c>
      <c r="BR911" t="s">
        <v>14389</v>
      </c>
      <c r="BS911" t="str">
        <f>HYPERLINK("https%3A%2F%2Fwww.webofscience.com%2Fwos%2Fwoscc%2Ffull-record%2FWOS:000875937000001","View Full Record in Web of Science")</f>
        <v>View Full Record in Web of Science</v>
      </c>
    </row>
    <row r="912" spans="1:71" x14ac:dyDescent="0.2">
      <c r="A912" t="s">
        <v>70</v>
      </c>
      <c r="B912" t="s">
        <v>16964</v>
      </c>
      <c r="C912" t="s">
        <v>72</v>
      </c>
      <c r="D912" t="s">
        <v>72</v>
      </c>
      <c r="E912" t="s">
        <v>72</v>
      </c>
      <c r="F912" t="s">
        <v>16965</v>
      </c>
      <c r="G912" t="s">
        <v>72</v>
      </c>
      <c r="H912" t="s">
        <v>72</v>
      </c>
      <c r="I912" t="s">
        <v>16966</v>
      </c>
      <c r="J912" t="s">
        <v>16967</v>
      </c>
      <c r="K912" t="s">
        <v>72</v>
      </c>
      <c r="L912" t="s">
        <v>72</v>
      </c>
      <c r="M912" t="s">
        <v>76</v>
      </c>
      <c r="N912" t="s">
        <v>106</v>
      </c>
      <c r="O912" t="s">
        <v>72</v>
      </c>
      <c r="P912" t="s">
        <v>72</v>
      </c>
      <c r="Q912" t="s">
        <v>72</v>
      </c>
      <c r="R912" t="s">
        <v>72</v>
      </c>
      <c r="S912" t="s">
        <v>72</v>
      </c>
      <c r="T912" t="s">
        <v>16968</v>
      </c>
      <c r="U912" t="s">
        <v>16969</v>
      </c>
      <c r="V912" t="s">
        <v>16970</v>
      </c>
      <c r="W912" t="s">
        <v>16971</v>
      </c>
      <c r="X912" t="s">
        <v>16972</v>
      </c>
      <c r="Y912" t="s">
        <v>16973</v>
      </c>
      <c r="Z912" t="s">
        <v>16974</v>
      </c>
      <c r="AA912" t="s">
        <v>16975</v>
      </c>
      <c r="AB912" t="s">
        <v>16976</v>
      </c>
      <c r="AC912" t="s">
        <v>72</v>
      </c>
      <c r="AD912" t="s">
        <v>72</v>
      </c>
      <c r="AE912" t="s">
        <v>72</v>
      </c>
      <c r="AF912" t="s">
        <v>72</v>
      </c>
      <c r="AG912">
        <v>17</v>
      </c>
      <c r="AH912">
        <v>6</v>
      </c>
      <c r="AI912">
        <v>6</v>
      </c>
      <c r="AJ912">
        <v>7</v>
      </c>
      <c r="AK912">
        <v>28</v>
      </c>
      <c r="AL912" t="s">
        <v>1165</v>
      </c>
      <c r="AM912" t="s">
        <v>1166</v>
      </c>
      <c r="AN912" t="s">
        <v>1167</v>
      </c>
      <c r="AO912" t="s">
        <v>16977</v>
      </c>
      <c r="AP912" t="s">
        <v>16978</v>
      </c>
      <c r="AQ912" t="s">
        <v>72</v>
      </c>
      <c r="AR912" t="s">
        <v>16979</v>
      </c>
      <c r="AS912" t="s">
        <v>16980</v>
      </c>
      <c r="AT912" t="s">
        <v>72</v>
      </c>
      <c r="AU912">
        <v>2020</v>
      </c>
      <c r="AV912">
        <v>75</v>
      </c>
      <c r="AW912">
        <v>1</v>
      </c>
      <c r="AX912" t="s">
        <v>72</v>
      </c>
      <c r="AY912" t="s">
        <v>72</v>
      </c>
      <c r="AZ912" t="s">
        <v>72</v>
      </c>
      <c r="BA912" t="s">
        <v>72</v>
      </c>
      <c r="BB912">
        <v>324</v>
      </c>
      <c r="BC912">
        <v>328</v>
      </c>
      <c r="BD912" t="s">
        <v>72</v>
      </c>
      <c r="BE912" t="s">
        <v>16981</v>
      </c>
      <c r="BF912" t="str">
        <f>HYPERLINK("http://dx.doi.org/10.1108/TR-06-2019-0246","http://dx.doi.org/10.1108/TR-06-2019-0246")</f>
        <v>http://dx.doi.org/10.1108/TR-06-2019-0246</v>
      </c>
      <c r="BG912" t="s">
        <v>72</v>
      </c>
      <c r="BH912" t="s">
        <v>72</v>
      </c>
      <c r="BI912">
        <v>5</v>
      </c>
      <c r="BJ912" t="s">
        <v>1014</v>
      </c>
      <c r="BK912" t="s">
        <v>1015</v>
      </c>
      <c r="BL912" t="s">
        <v>16982</v>
      </c>
      <c r="BM912" t="s">
        <v>72</v>
      </c>
      <c r="BN912" t="s">
        <v>72</v>
      </c>
      <c r="BO912" t="s">
        <v>72</v>
      </c>
      <c r="BP912" t="s">
        <v>72</v>
      </c>
      <c r="BQ912" t="s">
        <v>100</v>
      </c>
      <c r="BR912" t="s">
        <v>16983</v>
      </c>
      <c r="BS912" t="str">
        <f>HYPERLINK("https%3A%2F%2Fwww.webofscience.com%2Fwos%2Fwoscc%2Ffull-record%2FWOS:000534426700075","View Full Record in Web of Science")</f>
        <v>View Full Record in Web of Science</v>
      </c>
    </row>
    <row r="913" spans="1:71" x14ac:dyDescent="0.2">
      <c r="A913" t="s">
        <v>70</v>
      </c>
      <c r="B913" t="s">
        <v>8211</v>
      </c>
      <c r="C913" t="s">
        <v>72</v>
      </c>
      <c r="D913" t="s">
        <v>72</v>
      </c>
      <c r="E913" t="s">
        <v>72</v>
      </c>
      <c r="F913" t="s">
        <v>8212</v>
      </c>
      <c r="G913" t="s">
        <v>72</v>
      </c>
      <c r="H913" t="s">
        <v>72</v>
      </c>
      <c r="I913" t="s">
        <v>8213</v>
      </c>
      <c r="J913" t="s">
        <v>8214</v>
      </c>
      <c r="K913" t="s">
        <v>72</v>
      </c>
      <c r="L913" t="s">
        <v>72</v>
      </c>
      <c r="M913" t="s">
        <v>76</v>
      </c>
      <c r="N913" t="s">
        <v>77</v>
      </c>
      <c r="O913" t="s">
        <v>72</v>
      </c>
      <c r="P913" t="s">
        <v>72</v>
      </c>
      <c r="Q913" t="s">
        <v>72</v>
      </c>
      <c r="R913" t="s">
        <v>72</v>
      </c>
      <c r="S913" t="s">
        <v>72</v>
      </c>
      <c r="T913" t="s">
        <v>8215</v>
      </c>
      <c r="U913" t="s">
        <v>8216</v>
      </c>
      <c r="V913" t="s">
        <v>8217</v>
      </c>
      <c r="W913" t="s">
        <v>8218</v>
      </c>
      <c r="X913" t="s">
        <v>8219</v>
      </c>
      <c r="Y913" t="s">
        <v>8220</v>
      </c>
      <c r="Z913" t="s">
        <v>72</v>
      </c>
      <c r="AA913" t="s">
        <v>8221</v>
      </c>
      <c r="AB913" t="s">
        <v>8222</v>
      </c>
      <c r="AC913" t="s">
        <v>72</v>
      </c>
      <c r="AD913" t="s">
        <v>72</v>
      </c>
      <c r="AE913" t="s">
        <v>72</v>
      </c>
      <c r="AF913" t="s">
        <v>72</v>
      </c>
      <c r="AG913">
        <v>74</v>
      </c>
      <c r="AH913">
        <v>18</v>
      </c>
      <c r="AI913">
        <v>18</v>
      </c>
      <c r="AJ913">
        <v>6</v>
      </c>
      <c r="AK913">
        <v>29</v>
      </c>
      <c r="AL913" t="s">
        <v>1596</v>
      </c>
      <c r="AM913" t="s">
        <v>451</v>
      </c>
      <c r="AN913" t="s">
        <v>1597</v>
      </c>
      <c r="AO913" t="s">
        <v>8223</v>
      </c>
      <c r="AP913" t="s">
        <v>72</v>
      </c>
      <c r="AQ913" t="s">
        <v>72</v>
      </c>
      <c r="AR913" t="s">
        <v>8224</v>
      </c>
      <c r="AS913" t="s">
        <v>8225</v>
      </c>
      <c r="AT913" t="s">
        <v>299</v>
      </c>
      <c r="AU913">
        <v>2019</v>
      </c>
      <c r="AV913">
        <v>22</v>
      </c>
      <c r="AW913">
        <v>3</v>
      </c>
      <c r="AX913" t="s">
        <v>72</v>
      </c>
      <c r="AY913" t="s">
        <v>72</v>
      </c>
      <c r="AZ913" t="s">
        <v>72</v>
      </c>
      <c r="BA913" t="s">
        <v>72</v>
      </c>
      <c r="BB913">
        <v>348</v>
      </c>
      <c r="BC913">
        <v>362</v>
      </c>
      <c r="BD913" t="s">
        <v>72</v>
      </c>
      <c r="BE913" t="s">
        <v>8226</v>
      </c>
      <c r="BF913" t="str">
        <f>HYPERLINK("http://dx.doi.org/10.1016/j.smr.2018.04.008","http://dx.doi.org/10.1016/j.smr.2018.04.008")</f>
        <v>http://dx.doi.org/10.1016/j.smr.2018.04.008</v>
      </c>
      <c r="BG913" t="s">
        <v>72</v>
      </c>
      <c r="BH913" t="s">
        <v>72</v>
      </c>
      <c r="BI913">
        <v>15</v>
      </c>
      <c r="BJ913" t="s">
        <v>8227</v>
      </c>
      <c r="BK913" t="s">
        <v>8228</v>
      </c>
      <c r="BL913" t="s">
        <v>8229</v>
      </c>
      <c r="BM913" t="s">
        <v>72</v>
      </c>
      <c r="BN913" t="s">
        <v>72</v>
      </c>
      <c r="BO913" t="s">
        <v>72</v>
      </c>
      <c r="BP913" t="s">
        <v>72</v>
      </c>
      <c r="BQ913" t="s">
        <v>100</v>
      </c>
      <c r="BR913" t="s">
        <v>8230</v>
      </c>
      <c r="BS913" t="str">
        <f>HYPERLINK("https%3A%2F%2Fwww.webofscience.com%2Fwos%2Fwoscc%2Ffull-record%2FWOS:000470948600004","View Full Record in Web of Science")</f>
        <v>View Full Record in Web of Science</v>
      </c>
    </row>
    <row r="914" spans="1:71" x14ac:dyDescent="0.2">
      <c r="A914" t="s">
        <v>70</v>
      </c>
      <c r="B914" t="s">
        <v>13082</v>
      </c>
      <c r="C914" t="s">
        <v>72</v>
      </c>
      <c r="D914" t="s">
        <v>72</v>
      </c>
      <c r="E914" t="s">
        <v>72</v>
      </c>
      <c r="F914" t="s">
        <v>13083</v>
      </c>
      <c r="G914" t="s">
        <v>72</v>
      </c>
      <c r="H914" t="s">
        <v>72</v>
      </c>
      <c r="I914" t="s">
        <v>13084</v>
      </c>
      <c r="J914" t="s">
        <v>13085</v>
      </c>
      <c r="K914" t="s">
        <v>72</v>
      </c>
      <c r="L914" t="s">
        <v>72</v>
      </c>
      <c r="M914" t="s">
        <v>76</v>
      </c>
      <c r="N914" t="s">
        <v>77</v>
      </c>
      <c r="O914" t="s">
        <v>72</v>
      </c>
      <c r="P914" t="s">
        <v>72</v>
      </c>
      <c r="Q914" t="s">
        <v>72</v>
      </c>
      <c r="R914" t="s">
        <v>72</v>
      </c>
      <c r="S914" t="s">
        <v>72</v>
      </c>
      <c r="T914" t="s">
        <v>13086</v>
      </c>
      <c r="U914" t="s">
        <v>13087</v>
      </c>
      <c r="V914" t="s">
        <v>13088</v>
      </c>
      <c r="W914" t="s">
        <v>13089</v>
      </c>
      <c r="X914" t="s">
        <v>13090</v>
      </c>
      <c r="Y914" t="s">
        <v>13091</v>
      </c>
      <c r="Z914" t="s">
        <v>13092</v>
      </c>
      <c r="AA914" t="s">
        <v>13093</v>
      </c>
      <c r="AB914" t="s">
        <v>13094</v>
      </c>
      <c r="AC914" t="s">
        <v>72</v>
      </c>
      <c r="AD914" t="s">
        <v>72</v>
      </c>
      <c r="AE914" t="s">
        <v>72</v>
      </c>
      <c r="AF914" t="s">
        <v>72</v>
      </c>
      <c r="AG914">
        <v>77</v>
      </c>
      <c r="AH914">
        <v>3</v>
      </c>
      <c r="AI914">
        <v>3</v>
      </c>
      <c r="AJ914">
        <v>0</v>
      </c>
      <c r="AK914">
        <v>10</v>
      </c>
      <c r="AL914" t="s">
        <v>924</v>
      </c>
      <c r="AM914" t="s">
        <v>168</v>
      </c>
      <c r="AN914" t="s">
        <v>925</v>
      </c>
      <c r="AO914" t="s">
        <v>13095</v>
      </c>
      <c r="AP914" t="s">
        <v>13096</v>
      </c>
      <c r="AQ914" t="s">
        <v>72</v>
      </c>
      <c r="AR914" t="s">
        <v>13097</v>
      </c>
      <c r="AS914" t="s">
        <v>13098</v>
      </c>
      <c r="AT914" t="s">
        <v>95</v>
      </c>
      <c r="AU914">
        <v>2021</v>
      </c>
      <c r="AV914">
        <v>48</v>
      </c>
      <c r="AW914" t="s">
        <v>72</v>
      </c>
      <c r="AX914" t="s">
        <v>72</v>
      </c>
      <c r="AY914" t="s">
        <v>72</v>
      </c>
      <c r="AZ914" t="s">
        <v>72</v>
      </c>
      <c r="BA914" t="s">
        <v>72</v>
      </c>
      <c r="BB914">
        <v>331</v>
      </c>
      <c r="BC914">
        <v>343</v>
      </c>
      <c r="BD914" t="s">
        <v>72</v>
      </c>
      <c r="BE914" t="s">
        <v>13099</v>
      </c>
      <c r="BF914" t="str">
        <f>HYPERLINK("http://dx.doi.org/10.1016/j.jhtm.2021.07.011","http://dx.doi.org/10.1016/j.jhtm.2021.07.011")</f>
        <v>http://dx.doi.org/10.1016/j.jhtm.2021.07.011</v>
      </c>
      <c r="BG914" t="s">
        <v>72</v>
      </c>
      <c r="BH914" t="s">
        <v>3011</v>
      </c>
      <c r="BI914">
        <v>13</v>
      </c>
      <c r="BJ914" t="s">
        <v>8227</v>
      </c>
      <c r="BK914" t="s">
        <v>8228</v>
      </c>
      <c r="BL914" t="s">
        <v>13100</v>
      </c>
      <c r="BM914" t="s">
        <v>72</v>
      </c>
      <c r="BN914" t="s">
        <v>72</v>
      </c>
      <c r="BO914" t="s">
        <v>72</v>
      </c>
      <c r="BP914" t="s">
        <v>72</v>
      </c>
      <c r="BQ914" t="s">
        <v>100</v>
      </c>
      <c r="BR914" t="s">
        <v>13101</v>
      </c>
      <c r="BS914" t="str">
        <f>HYPERLINK("https%3A%2F%2Fwww.webofscience.com%2Fwos%2Fwoscc%2Ffull-record%2FWOS:000722897400007","View Full Record in Web of Science")</f>
        <v>View Full Record in Web of Science</v>
      </c>
    </row>
    <row r="915" spans="1:71" x14ac:dyDescent="0.2">
      <c r="A915" t="s">
        <v>70</v>
      </c>
      <c r="B915" t="s">
        <v>3599</v>
      </c>
      <c r="C915" t="s">
        <v>72</v>
      </c>
      <c r="D915" t="s">
        <v>72</v>
      </c>
      <c r="E915" t="s">
        <v>72</v>
      </c>
      <c r="F915" t="s">
        <v>3600</v>
      </c>
      <c r="G915" t="s">
        <v>72</v>
      </c>
      <c r="H915" t="s">
        <v>72</v>
      </c>
      <c r="I915" t="s">
        <v>14192</v>
      </c>
      <c r="J915" t="s">
        <v>14193</v>
      </c>
      <c r="K915" t="s">
        <v>72</v>
      </c>
      <c r="L915" t="s">
        <v>72</v>
      </c>
      <c r="M915" t="s">
        <v>76</v>
      </c>
      <c r="N915" t="s">
        <v>77</v>
      </c>
      <c r="O915" t="s">
        <v>72</v>
      </c>
      <c r="P915" t="s">
        <v>72</v>
      </c>
      <c r="Q915" t="s">
        <v>72</v>
      </c>
      <c r="R915" t="s">
        <v>72</v>
      </c>
      <c r="S915" t="s">
        <v>72</v>
      </c>
      <c r="T915" t="s">
        <v>14194</v>
      </c>
      <c r="U915" t="s">
        <v>14195</v>
      </c>
      <c r="V915" t="s">
        <v>14196</v>
      </c>
      <c r="W915" t="s">
        <v>14197</v>
      </c>
      <c r="X915" t="s">
        <v>14198</v>
      </c>
      <c r="Y915" t="s">
        <v>14199</v>
      </c>
      <c r="Z915" t="s">
        <v>3608</v>
      </c>
      <c r="AA915" t="s">
        <v>72</v>
      </c>
      <c r="AB915" t="s">
        <v>72</v>
      </c>
      <c r="AC915" t="s">
        <v>72</v>
      </c>
      <c r="AD915" t="s">
        <v>72</v>
      </c>
      <c r="AE915" t="s">
        <v>72</v>
      </c>
      <c r="AF915" t="s">
        <v>72</v>
      </c>
      <c r="AG915">
        <v>78</v>
      </c>
      <c r="AH915">
        <v>19</v>
      </c>
      <c r="AI915">
        <v>19</v>
      </c>
      <c r="AJ915">
        <v>3</v>
      </c>
      <c r="AK915">
        <v>34</v>
      </c>
      <c r="AL915" t="s">
        <v>1165</v>
      </c>
      <c r="AM915" t="s">
        <v>1166</v>
      </c>
      <c r="AN915" t="s">
        <v>1167</v>
      </c>
      <c r="AO915" t="s">
        <v>14200</v>
      </c>
      <c r="AP915" t="s">
        <v>14201</v>
      </c>
      <c r="AQ915" t="s">
        <v>72</v>
      </c>
      <c r="AR915" t="s">
        <v>14202</v>
      </c>
      <c r="AS915" t="s">
        <v>14203</v>
      </c>
      <c r="AT915" t="s">
        <v>72</v>
      </c>
      <c r="AU915">
        <v>2017</v>
      </c>
      <c r="AV915">
        <v>29</v>
      </c>
      <c r="AW915">
        <v>5</v>
      </c>
      <c r="AX915" t="s">
        <v>72</v>
      </c>
      <c r="AY915" t="s">
        <v>72</v>
      </c>
      <c r="AZ915" t="s">
        <v>72</v>
      </c>
      <c r="BA915" t="s">
        <v>72</v>
      </c>
      <c r="BB915">
        <v>1322</v>
      </c>
      <c r="BC915">
        <v>1339</v>
      </c>
      <c r="BD915" t="s">
        <v>72</v>
      </c>
      <c r="BE915" t="s">
        <v>14204</v>
      </c>
      <c r="BF915" t="str">
        <f>HYPERLINK("http://dx.doi.org/10.1108/IJCHM-12-2015-0687","http://dx.doi.org/10.1108/IJCHM-12-2015-0687")</f>
        <v>http://dx.doi.org/10.1108/IJCHM-12-2015-0687</v>
      </c>
      <c r="BG915" t="s">
        <v>72</v>
      </c>
      <c r="BH915" t="s">
        <v>72</v>
      </c>
      <c r="BI915">
        <v>18</v>
      </c>
      <c r="BJ915" t="s">
        <v>8227</v>
      </c>
      <c r="BK915" t="s">
        <v>8228</v>
      </c>
      <c r="BL915" t="s">
        <v>14205</v>
      </c>
      <c r="BM915" t="s">
        <v>72</v>
      </c>
      <c r="BN915" t="s">
        <v>72</v>
      </c>
      <c r="BO915" t="s">
        <v>72</v>
      </c>
      <c r="BP915" t="s">
        <v>72</v>
      </c>
      <c r="BQ915" t="s">
        <v>100</v>
      </c>
      <c r="BR915" t="s">
        <v>14206</v>
      </c>
      <c r="BS915" t="str">
        <f>HYPERLINK("https%3A%2F%2Fwww.webofscience.com%2Fwos%2Fwoscc%2Ffull-record%2FWOS:000404781600003","View Full Record in Web of Science")</f>
        <v>View Full Record in Web of Science</v>
      </c>
    </row>
    <row r="916" spans="1:71" x14ac:dyDescent="0.2">
      <c r="A916" t="s">
        <v>70</v>
      </c>
      <c r="B916" t="s">
        <v>16846</v>
      </c>
      <c r="C916" t="s">
        <v>72</v>
      </c>
      <c r="D916" t="s">
        <v>72</v>
      </c>
      <c r="E916" t="s">
        <v>72</v>
      </c>
      <c r="F916" t="s">
        <v>16847</v>
      </c>
      <c r="G916" t="s">
        <v>72</v>
      </c>
      <c r="H916" t="s">
        <v>72</v>
      </c>
      <c r="I916" t="s">
        <v>16848</v>
      </c>
      <c r="J916" t="s">
        <v>14193</v>
      </c>
      <c r="K916" t="s">
        <v>72</v>
      </c>
      <c r="L916" t="s">
        <v>72</v>
      </c>
      <c r="M916" t="s">
        <v>76</v>
      </c>
      <c r="N916" t="s">
        <v>1503</v>
      </c>
      <c r="O916" t="s">
        <v>72</v>
      </c>
      <c r="P916" t="s">
        <v>72</v>
      </c>
      <c r="Q916" t="s">
        <v>72</v>
      </c>
      <c r="R916" t="s">
        <v>72</v>
      </c>
      <c r="S916" t="s">
        <v>72</v>
      </c>
      <c r="T916" t="s">
        <v>16849</v>
      </c>
      <c r="U916" t="s">
        <v>16850</v>
      </c>
      <c r="V916" t="s">
        <v>16851</v>
      </c>
      <c r="W916" t="s">
        <v>16852</v>
      </c>
      <c r="X916" t="s">
        <v>16853</v>
      </c>
      <c r="Y916" t="s">
        <v>16854</v>
      </c>
      <c r="Z916" t="s">
        <v>16855</v>
      </c>
      <c r="AA916" t="s">
        <v>16856</v>
      </c>
      <c r="AB916" t="s">
        <v>16857</v>
      </c>
      <c r="AC916" t="s">
        <v>16858</v>
      </c>
      <c r="AD916" t="s">
        <v>16859</v>
      </c>
      <c r="AE916" t="s">
        <v>16860</v>
      </c>
      <c r="AF916" t="s">
        <v>72</v>
      </c>
      <c r="AG916">
        <v>96</v>
      </c>
      <c r="AH916">
        <v>4</v>
      </c>
      <c r="AI916">
        <v>4</v>
      </c>
      <c r="AJ916">
        <v>8</v>
      </c>
      <c r="AK916">
        <v>30</v>
      </c>
      <c r="AL916" t="s">
        <v>1165</v>
      </c>
      <c r="AM916" t="s">
        <v>1166</v>
      </c>
      <c r="AN916" t="s">
        <v>1167</v>
      </c>
      <c r="AO916" t="s">
        <v>14200</v>
      </c>
      <c r="AP916" t="s">
        <v>14201</v>
      </c>
      <c r="AQ916" t="s">
        <v>72</v>
      </c>
      <c r="AR916" t="s">
        <v>14202</v>
      </c>
      <c r="AS916" t="s">
        <v>14203</v>
      </c>
      <c r="AT916" t="s">
        <v>72</v>
      </c>
      <c r="AU916">
        <v>2021</v>
      </c>
      <c r="AV916">
        <v>33</v>
      </c>
      <c r="AW916">
        <v>8</v>
      </c>
      <c r="AX916" t="s">
        <v>72</v>
      </c>
      <c r="AY916" t="s">
        <v>72</v>
      </c>
      <c r="AZ916" t="s">
        <v>72</v>
      </c>
      <c r="BA916" t="s">
        <v>72</v>
      </c>
      <c r="BB916">
        <v>2773</v>
      </c>
      <c r="BC916">
        <v>2798</v>
      </c>
      <c r="BD916" t="s">
        <v>72</v>
      </c>
      <c r="BE916" t="s">
        <v>16861</v>
      </c>
      <c r="BF916" t="str">
        <f>HYPERLINK("http://dx.doi.org/10.1108/IJCHM-11-2020-1329","http://dx.doi.org/10.1108/IJCHM-11-2020-1329")</f>
        <v>http://dx.doi.org/10.1108/IJCHM-11-2020-1329</v>
      </c>
      <c r="BG916" t="s">
        <v>72</v>
      </c>
      <c r="BH916" t="s">
        <v>3011</v>
      </c>
      <c r="BI916">
        <v>26</v>
      </c>
      <c r="BJ916" t="s">
        <v>8227</v>
      </c>
      <c r="BK916" t="s">
        <v>8228</v>
      </c>
      <c r="BL916" t="s">
        <v>16862</v>
      </c>
      <c r="BM916" t="s">
        <v>72</v>
      </c>
      <c r="BN916" t="s">
        <v>280</v>
      </c>
      <c r="BO916" t="s">
        <v>72</v>
      </c>
      <c r="BP916" t="s">
        <v>72</v>
      </c>
      <c r="BQ916" t="s">
        <v>100</v>
      </c>
      <c r="BR916" t="s">
        <v>16863</v>
      </c>
      <c r="BS916" t="str">
        <f>HYPERLINK("https%3A%2F%2Fwww.webofscience.com%2Fwos%2Fwoscc%2Ffull-record%2FWOS:000680302900001","View Full Record in Web of Science")</f>
        <v>View Full Record in Web of Science</v>
      </c>
    </row>
    <row r="917" spans="1:71" x14ac:dyDescent="0.2">
      <c r="A917" t="s">
        <v>70</v>
      </c>
      <c r="B917" t="s">
        <v>1854</v>
      </c>
      <c r="C917" t="s">
        <v>72</v>
      </c>
      <c r="D917" t="s">
        <v>72</v>
      </c>
      <c r="E917" t="s">
        <v>72</v>
      </c>
      <c r="F917" t="s">
        <v>1855</v>
      </c>
      <c r="G917" t="s">
        <v>72</v>
      </c>
      <c r="H917" t="s">
        <v>72</v>
      </c>
      <c r="I917" t="s">
        <v>1856</v>
      </c>
      <c r="J917" t="s">
        <v>1857</v>
      </c>
      <c r="K917" t="s">
        <v>72</v>
      </c>
      <c r="L917" t="s">
        <v>72</v>
      </c>
      <c r="M917" t="s">
        <v>76</v>
      </c>
      <c r="N917" t="s">
        <v>77</v>
      </c>
      <c r="O917" t="s">
        <v>72</v>
      </c>
      <c r="P917" t="s">
        <v>72</v>
      </c>
      <c r="Q917" t="s">
        <v>72</v>
      </c>
      <c r="R917" t="s">
        <v>72</v>
      </c>
      <c r="S917" t="s">
        <v>72</v>
      </c>
      <c r="T917" t="s">
        <v>1858</v>
      </c>
      <c r="U917" t="s">
        <v>1859</v>
      </c>
      <c r="V917" t="s">
        <v>1860</v>
      </c>
      <c r="W917" t="s">
        <v>1861</v>
      </c>
      <c r="X917" t="s">
        <v>1862</v>
      </c>
      <c r="Y917" t="s">
        <v>1863</v>
      </c>
      <c r="Z917" t="s">
        <v>1864</v>
      </c>
      <c r="AA917" t="s">
        <v>72</v>
      </c>
      <c r="AB917" t="s">
        <v>72</v>
      </c>
      <c r="AC917" t="s">
        <v>1865</v>
      </c>
      <c r="AD917" t="s">
        <v>1866</v>
      </c>
      <c r="AE917" t="s">
        <v>1867</v>
      </c>
      <c r="AF917" t="s">
        <v>72</v>
      </c>
      <c r="AG917">
        <v>87</v>
      </c>
      <c r="AH917">
        <v>2</v>
      </c>
      <c r="AI917">
        <v>2</v>
      </c>
      <c r="AJ917">
        <v>2</v>
      </c>
      <c r="AK917">
        <v>20</v>
      </c>
      <c r="AL917" t="s">
        <v>88</v>
      </c>
      <c r="AM917" t="s">
        <v>89</v>
      </c>
      <c r="AN917" t="s">
        <v>90</v>
      </c>
      <c r="AO917" t="s">
        <v>1868</v>
      </c>
      <c r="AP917" t="s">
        <v>1869</v>
      </c>
      <c r="AQ917" t="s">
        <v>72</v>
      </c>
      <c r="AR917" t="s">
        <v>1870</v>
      </c>
      <c r="AS917" t="s">
        <v>1871</v>
      </c>
      <c r="AT917" t="s">
        <v>299</v>
      </c>
      <c r="AU917">
        <v>2017</v>
      </c>
      <c r="AV917">
        <v>23</v>
      </c>
      <c r="AW917">
        <v>3</v>
      </c>
      <c r="AX917" t="s">
        <v>72</v>
      </c>
      <c r="AY917" t="s">
        <v>72</v>
      </c>
      <c r="AZ917" t="s">
        <v>72</v>
      </c>
      <c r="BA917" t="s">
        <v>72</v>
      </c>
      <c r="BB917">
        <v>913</v>
      </c>
      <c r="BC917">
        <v>939</v>
      </c>
      <c r="BD917" t="s">
        <v>72</v>
      </c>
      <c r="BE917" t="s">
        <v>1872</v>
      </c>
      <c r="BF917" t="str">
        <f>HYPERLINK("http://dx.doi.org/10.1007/s11948-016-9799-5","http://dx.doi.org/10.1007/s11948-016-9799-5")</f>
        <v>http://dx.doi.org/10.1007/s11948-016-9799-5</v>
      </c>
      <c r="BG917" t="s">
        <v>72</v>
      </c>
      <c r="BH917" t="s">
        <v>72</v>
      </c>
      <c r="BI917">
        <v>27</v>
      </c>
      <c r="BJ917" t="s">
        <v>1873</v>
      </c>
      <c r="BK917" t="s">
        <v>1874</v>
      </c>
      <c r="BL917" t="s">
        <v>1875</v>
      </c>
      <c r="BM917">
        <v>27405936</v>
      </c>
      <c r="BN917" t="s">
        <v>72</v>
      </c>
      <c r="BO917" t="s">
        <v>72</v>
      </c>
      <c r="BP917" t="s">
        <v>72</v>
      </c>
      <c r="BQ917" t="s">
        <v>100</v>
      </c>
      <c r="BR917" t="s">
        <v>1876</v>
      </c>
      <c r="BS917" t="str">
        <f>HYPERLINK("https%3A%2F%2Fwww.webofscience.com%2Fwos%2Fwoscc%2Ffull-record%2FWOS:000403065800014","View Full Record in Web of Science")</f>
        <v>View Full Record in Web of Science</v>
      </c>
    </row>
    <row r="918" spans="1:71" x14ac:dyDescent="0.2">
      <c r="A918" t="s">
        <v>70</v>
      </c>
      <c r="B918" t="s">
        <v>71</v>
      </c>
      <c r="C918" t="s">
        <v>72</v>
      </c>
      <c r="D918" t="s">
        <v>72</v>
      </c>
      <c r="E918" t="s">
        <v>72</v>
      </c>
      <c r="F918" t="s">
        <v>73</v>
      </c>
      <c r="G918" t="s">
        <v>72</v>
      </c>
      <c r="H918" t="s">
        <v>72</v>
      </c>
      <c r="I918" t="s">
        <v>74</v>
      </c>
      <c r="J918" t="s">
        <v>75</v>
      </c>
      <c r="K918" t="s">
        <v>72</v>
      </c>
      <c r="L918" t="s">
        <v>72</v>
      </c>
      <c r="M918" t="s">
        <v>76</v>
      </c>
      <c r="N918" t="s">
        <v>77</v>
      </c>
      <c r="O918" t="s">
        <v>72</v>
      </c>
      <c r="P918" t="s">
        <v>72</v>
      </c>
      <c r="Q918" t="s">
        <v>72</v>
      </c>
      <c r="R918" t="s">
        <v>72</v>
      </c>
      <c r="S918" t="s">
        <v>72</v>
      </c>
      <c r="T918" t="s">
        <v>78</v>
      </c>
      <c r="U918" t="s">
        <v>79</v>
      </c>
      <c r="V918" t="s">
        <v>80</v>
      </c>
      <c r="W918" t="s">
        <v>81</v>
      </c>
      <c r="X918" t="s">
        <v>82</v>
      </c>
      <c r="Y918" t="s">
        <v>83</v>
      </c>
      <c r="Z918" t="s">
        <v>84</v>
      </c>
      <c r="AA918" t="s">
        <v>72</v>
      </c>
      <c r="AB918" t="s">
        <v>85</v>
      </c>
      <c r="AC918" t="s">
        <v>86</v>
      </c>
      <c r="AD918" t="s">
        <v>86</v>
      </c>
      <c r="AE918" t="s">
        <v>87</v>
      </c>
      <c r="AF918" t="s">
        <v>72</v>
      </c>
      <c r="AG918">
        <v>47</v>
      </c>
      <c r="AH918">
        <v>0</v>
      </c>
      <c r="AI918">
        <v>0</v>
      </c>
      <c r="AJ918">
        <v>1</v>
      </c>
      <c r="AK918">
        <v>11</v>
      </c>
      <c r="AL918" t="s">
        <v>88</v>
      </c>
      <c r="AM918" t="s">
        <v>89</v>
      </c>
      <c r="AN918" t="s">
        <v>90</v>
      </c>
      <c r="AO918" t="s">
        <v>91</v>
      </c>
      <c r="AP918" t="s">
        <v>92</v>
      </c>
      <c r="AQ918" t="s">
        <v>72</v>
      </c>
      <c r="AR918" t="s">
        <v>93</v>
      </c>
      <c r="AS918" t="s">
        <v>94</v>
      </c>
      <c r="AT918" t="s">
        <v>95</v>
      </c>
      <c r="AU918">
        <v>2018</v>
      </c>
      <c r="AV918">
        <v>52</v>
      </c>
      <c r="AW918">
        <v>5</v>
      </c>
      <c r="AX918" t="s">
        <v>72</v>
      </c>
      <c r="AY918" t="s">
        <v>72</v>
      </c>
      <c r="AZ918" t="s">
        <v>72</v>
      </c>
      <c r="BA918" t="s">
        <v>72</v>
      </c>
      <c r="BB918">
        <v>2151</v>
      </c>
      <c r="BC918">
        <v>2162</v>
      </c>
      <c r="BD918" t="s">
        <v>72</v>
      </c>
      <c r="BE918" t="s">
        <v>96</v>
      </c>
      <c r="BF918" t="str">
        <f>HYPERLINK("http://dx.doi.org/10.1007/s11135-017-0650-0","http://dx.doi.org/10.1007/s11135-017-0650-0")</f>
        <v>http://dx.doi.org/10.1007/s11135-017-0650-0</v>
      </c>
      <c r="BG918" t="s">
        <v>72</v>
      </c>
      <c r="BH918" t="s">
        <v>72</v>
      </c>
      <c r="BI918">
        <v>12</v>
      </c>
      <c r="BJ918" t="s">
        <v>97</v>
      </c>
      <c r="BK918" t="s">
        <v>98</v>
      </c>
      <c r="BL918" t="s">
        <v>99</v>
      </c>
      <c r="BM918" t="s">
        <v>72</v>
      </c>
      <c r="BN918" t="s">
        <v>72</v>
      </c>
      <c r="BO918" t="s">
        <v>72</v>
      </c>
      <c r="BP918" t="s">
        <v>72</v>
      </c>
      <c r="BQ918" t="s">
        <v>100</v>
      </c>
      <c r="BR918" t="s">
        <v>101</v>
      </c>
      <c r="BS918" t="str">
        <f>HYPERLINK("https%3A%2F%2Fwww.webofscience.com%2Fwos%2Fwoscc%2Ffull-record%2FWOS:000440115300012","View Full Record in Web of Science")</f>
        <v>View Full Record in Web of Science</v>
      </c>
    </row>
    <row r="919" spans="1:71" x14ac:dyDescent="0.2">
      <c r="A919" t="s">
        <v>70</v>
      </c>
      <c r="B919" t="s">
        <v>630</v>
      </c>
      <c r="C919" t="s">
        <v>72</v>
      </c>
      <c r="D919" t="s">
        <v>72</v>
      </c>
      <c r="E919" t="s">
        <v>72</v>
      </c>
      <c r="F919" t="s">
        <v>630</v>
      </c>
      <c r="G919" t="s">
        <v>72</v>
      </c>
      <c r="H919" t="s">
        <v>72</v>
      </c>
      <c r="I919" t="s">
        <v>631</v>
      </c>
      <c r="J919" t="s">
        <v>75</v>
      </c>
      <c r="K919" t="s">
        <v>72</v>
      </c>
      <c r="L919" t="s">
        <v>72</v>
      </c>
      <c r="M919" t="s">
        <v>76</v>
      </c>
      <c r="N919" t="s">
        <v>77</v>
      </c>
      <c r="O919" t="s">
        <v>72</v>
      </c>
      <c r="P919" t="s">
        <v>72</v>
      </c>
      <c r="Q919" t="s">
        <v>72</v>
      </c>
      <c r="R919" t="s">
        <v>72</v>
      </c>
      <c r="S919" t="s">
        <v>72</v>
      </c>
      <c r="T919" t="s">
        <v>632</v>
      </c>
      <c r="U919" t="s">
        <v>72</v>
      </c>
      <c r="V919" t="s">
        <v>633</v>
      </c>
      <c r="W919" t="s">
        <v>634</v>
      </c>
      <c r="X919" t="s">
        <v>635</v>
      </c>
      <c r="Y919" t="s">
        <v>636</v>
      </c>
      <c r="Z919" t="s">
        <v>72</v>
      </c>
      <c r="AA919" t="s">
        <v>72</v>
      </c>
      <c r="AB919" t="s">
        <v>72</v>
      </c>
      <c r="AC919" t="s">
        <v>72</v>
      </c>
      <c r="AD919" t="s">
        <v>72</v>
      </c>
      <c r="AE919" t="s">
        <v>72</v>
      </c>
      <c r="AF919" t="s">
        <v>72</v>
      </c>
      <c r="AG919">
        <v>62</v>
      </c>
      <c r="AH919">
        <v>84</v>
      </c>
      <c r="AI919">
        <v>85</v>
      </c>
      <c r="AJ919">
        <v>1</v>
      </c>
      <c r="AK919">
        <v>32</v>
      </c>
      <c r="AL919" t="s">
        <v>637</v>
      </c>
      <c r="AM919" t="s">
        <v>89</v>
      </c>
      <c r="AN919" t="s">
        <v>638</v>
      </c>
      <c r="AO919" t="s">
        <v>91</v>
      </c>
      <c r="AP919" t="s">
        <v>72</v>
      </c>
      <c r="AQ919" t="s">
        <v>72</v>
      </c>
      <c r="AR919" t="s">
        <v>93</v>
      </c>
      <c r="AS919" t="s">
        <v>94</v>
      </c>
      <c r="AT919" t="s">
        <v>639</v>
      </c>
      <c r="AU919">
        <v>2000</v>
      </c>
      <c r="AV919">
        <v>34</v>
      </c>
      <c r="AW919">
        <v>3</v>
      </c>
      <c r="AX919" t="s">
        <v>72</v>
      </c>
      <c r="AY919" t="s">
        <v>72</v>
      </c>
      <c r="AZ919" t="s">
        <v>72</v>
      </c>
      <c r="BA919" t="s">
        <v>72</v>
      </c>
      <c r="BB919">
        <v>259</v>
      </c>
      <c r="BC919">
        <v>274</v>
      </c>
      <c r="BD919" t="s">
        <v>72</v>
      </c>
      <c r="BE919" t="s">
        <v>640</v>
      </c>
      <c r="BF919" t="str">
        <f>HYPERLINK("http://dx.doi.org/10.1023/A:1004780007748","http://dx.doi.org/10.1023/A:1004780007748")</f>
        <v>http://dx.doi.org/10.1023/A:1004780007748</v>
      </c>
      <c r="BG919" t="s">
        <v>72</v>
      </c>
      <c r="BH919" t="s">
        <v>72</v>
      </c>
      <c r="BI919">
        <v>16</v>
      </c>
      <c r="BJ919" t="s">
        <v>97</v>
      </c>
      <c r="BK919" t="s">
        <v>98</v>
      </c>
      <c r="BL919" t="s">
        <v>641</v>
      </c>
      <c r="BM919" t="s">
        <v>72</v>
      </c>
      <c r="BN919" t="s">
        <v>72</v>
      </c>
      <c r="BO919" t="s">
        <v>72</v>
      </c>
      <c r="BP919" t="s">
        <v>72</v>
      </c>
      <c r="BQ919" t="s">
        <v>100</v>
      </c>
      <c r="BR919" t="s">
        <v>642</v>
      </c>
      <c r="BS919" t="str">
        <f>HYPERLINK("https%3A%2F%2Fwww.webofscience.com%2Fwos%2Fwoscc%2Ffull-record%2FWOS:000087605100003","View Full Record in Web of Science")</f>
        <v>View Full Record in Web of Science</v>
      </c>
    </row>
    <row r="920" spans="1:71" x14ac:dyDescent="0.2">
      <c r="A920" t="s">
        <v>70</v>
      </c>
      <c r="B920" t="s">
        <v>6176</v>
      </c>
      <c r="C920" t="s">
        <v>72</v>
      </c>
      <c r="D920" t="s">
        <v>72</v>
      </c>
      <c r="E920" t="s">
        <v>72</v>
      </c>
      <c r="F920" t="s">
        <v>6177</v>
      </c>
      <c r="G920" t="s">
        <v>72</v>
      </c>
      <c r="H920" t="s">
        <v>72</v>
      </c>
      <c r="I920" t="s">
        <v>6178</v>
      </c>
      <c r="J920" t="s">
        <v>75</v>
      </c>
      <c r="K920" t="s">
        <v>72</v>
      </c>
      <c r="L920" t="s">
        <v>72</v>
      </c>
      <c r="M920" t="s">
        <v>76</v>
      </c>
      <c r="N920" t="s">
        <v>77</v>
      </c>
      <c r="O920" t="s">
        <v>72</v>
      </c>
      <c r="P920" t="s">
        <v>72</v>
      </c>
      <c r="Q920" t="s">
        <v>72</v>
      </c>
      <c r="R920" t="s">
        <v>72</v>
      </c>
      <c r="S920" t="s">
        <v>72</v>
      </c>
      <c r="T920" t="s">
        <v>6179</v>
      </c>
      <c r="U920" t="s">
        <v>6180</v>
      </c>
      <c r="V920" t="s">
        <v>6181</v>
      </c>
      <c r="W920" t="s">
        <v>6182</v>
      </c>
      <c r="X920" t="s">
        <v>2622</v>
      </c>
      <c r="Y920" t="s">
        <v>6183</v>
      </c>
      <c r="Z920" t="s">
        <v>6184</v>
      </c>
      <c r="AA920" t="s">
        <v>6185</v>
      </c>
      <c r="AB920" t="s">
        <v>6186</v>
      </c>
      <c r="AC920" t="s">
        <v>6187</v>
      </c>
      <c r="AD920" t="s">
        <v>6188</v>
      </c>
      <c r="AE920" t="s">
        <v>6189</v>
      </c>
      <c r="AF920" t="s">
        <v>72</v>
      </c>
      <c r="AG920">
        <v>86</v>
      </c>
      <c r="AH920">
        <v>66</v>
      </c>
      <c r="AI920">
        <v>67</v>
      </c>
      <c r="AJ920">
        <v>4</v>
      </c>
      <c r="AK920">
        <v>35</v>
      </c>
      <c r="AL920" t="s">
        <v>88</v>
      </c>
      <c r="AM920" t="s">
        <v>89</v>
      </c>
      <c r="AN920" t="s">
        <v>90</v>
      </c>
      <c r="AO920" t="s">
        <v>91</v>
      </c>
      <c r="AP920" t="s">
        <v>92</v>
      </c>
      <c r="AQ920" t="s">
        <v>72</v>
      </c>
      <c r="AR920" t="s">
        <v>93</v>
      </c>
      <c r="AS920" t="s">
        <v>94</v>
      </c>
      <c r="AT920" t="s">
        <v>951</v>
      </c>
      <c r="AU920">
        <v>2017</v>
      </c>
      <c r="AV920">
        <v>51</v>
      </c>
      <c r="AW920">
        <v>6</v>
      </c>
      <c r="AX920" t="s">
        <v>72</v>
      </c>
      <c r="AY920" t="s">
        <v>72</v>
      </c>
      <c r="AZ920" t="s">
        <v>72</v>
      </c>
      <c r="BA920" t="s">
        <v>72</v>
      </c>
      <c r="BB920">
        <v>2623</v>
      </c>
      <c r="BC920">
        <v>2646</v>
      </c>
      <c r="BD920" t="s">
        <v>72</v>
      </c>
      <c r="BE920" t="s">
        <v>6190</v>
      </c>
      <c r="BF920" t="str">
        <f>HYPERLINK("http://dx.doi.org/10.1007/s11135-016-0412-4","http://dx.doi.org/10.1007/s11135-016-0412-4")</f>
        <v>http://dx.doi.org/10.1007/s11135-016-0412-4</v>
      </c>
      <c r="BG920" t="s">
        <v>72</v>
      </c>
      <c r="BH920" t="s">
        <v>72</v>
      </c>
      <c r="BI920">
        <v>24</v>
      </c>
      <c r="BJ920" t="s">
        <v>97</v>
      </c>
      <c r="BK920" t="s">
        <v>98</v>
      </c>
      <c r="BL920" t="s">
        <v>6191</v>
      </c>
      <c r="BM920">
        <v>29070915</v>
      </c>
      <c r="BN920" t="s">
        <v>2403</v>
      </c>
      <c r="BO920" t="s">
        <v>72</v>
      </c>
      <c r="BP920" t="s">
        <v>72</v>
      </c>
      <c r="BQ920" t="s">
        <v>100</v>
      </c>
      <c r="BR920" t="s">
        <v>6192</v>
      </c>
      <c r="BS920" t="str">
        <f>HYPERLINK("https%3A%2F%2Fwww.webofscience.com%2Fwos%2Fwoscc%2Ffull-record%2FWOS:000412810400013","View Full Record in Web of Science")</f>
        <v>View Full Record in Web of Science</v>
      </c>
    </row>
    <row r="921" spans="1:71" x14ac:dyDescent="0.2">
      <c r="A921" t="s">
        <v>70</v>
      </c>
      <c r="B921" t="s">
        <v>3204</v>
      </c>
      <c r="C921" t="s">
        <v>72</v>
      </c>
      <c r="D921" t="s">
        <v>72</v>
      </c>
      <c r="E921" t="s">
        <v>72</v>
      </c>
      <c r="F921" t="s">
        <v>3205</v>
      </c>
      <c r="G921" t="s">
        <v>72</v>
      </c>
      <c r="H921" t="s">
        <v>72</v>
      </c>
      <c r="I921" t="s">
        <v>3206</v>
      </c>
      <c r="J921" t="s">
        <v>3207</v>
      </c>
      <c r="K921" t="s">
        <v>72</v>
      </c>
      <c r="L921" t="s">
        <v>72</v>
      </c>
      <c r="M921" t="s">
        <v>76</v>
      </c>
      <c r="N921" t="s">
        <v>77</v>
      </c>
      <c r="O921" t="s">
        <v>72</v>
      </c>
      <c r="P921" t="s">
        <v>72</v>
      </c>
      <c r="Q921" t="s">
        <v>72</v>
      </c>
      <c r="R921" t="s">
        <v>72</v>
      </c>
      <c r="S921" t="s">
        <v>72</v>
      </c>
      <c r="T921" t="s">
        <v>3208</v>
      </c>
      <c r="U921" t="s">
        <v>3209</v>
      </c>
      <c r="V921" t="s">
        <v>3210</v>
      </c>
      <c r="W921" t="s">
        <v>3211</v>
      </c>
      <c r="X921" t="s">
        <v>3212</v>
      </c>
      <c r="Y921" t="s">
        <v>3213</v>
      </c>
      <c r="Z921" t="s">
        <v>3214</v>
      </c>
      <c r="AA921" t="s">
        <v>72</v>
      </c>
      <c r="AB921" t="s">
        <v>72</v>
      </c>
      <c r="AC921" t="s">
        <v>72</v>
      </c>
      <c r="AD921" t="s">
        <v>72</v>
      </c>
      <c r="AE921" t="s">
        <v>72</v>
      </c>
      <c r="AF921" t="s">
        <v>72</v>
      </c>
      <c r="AG921">
        <v>29</v>
      </c>
      <c r="AH921">
        <v>10</v>
      </c>
      <c r="AI921">
        <v>10</v>
      </c>
      <c r="AJ921">
        <v>0</v>
      </c>
      <c r="AK921">
        <v>14</v>
      </c>
      <c r="AL921" t="s">
        <v>336</v>
      </c>
      <c r="AM921" t="s">
        <v>337</v>
      </c>
      <c r="AN921" t="s">
        <v>338</v>
      </c>
      <c r="AO921" t="s">
        <v>3215</v>
      </c>
      <c r="AP921" t="s">
        <v>3216</v>
      </c>
      <c r="AQ921" t="s">
        <v>72</v>
      </c>
      <c r="AR921" t="s">
        <v>3217</v>
      </c>
      <c r="AS921" t="s">
        <v>3218</v>
      </c>
      <c r="AT921" t="s">
        <v>395</v>
      </c>
      <c r="AU921">
        <v>2011</v>
      </c>
      <c r="AV921">
        <v>11</v>
      </c>
      <c r="AW921">
        <v>5</v>
      </c>
      <c r="AX921" t="s">
        <v>72</v>
      </c>
      <c r="AY921" t="s">
        <v>72</v>
      </c>
      <c r="AZ921" t="s">
        <v>72</v>
      </c>
      <c r="BA921" t="s">
        <v>72</v>
      </c>
      <c r="BB921">
        <v>570</v>
      </c>
      <c r="BC921">
        <v>586</v>
      </c>
      <c r="BD921" t="s">
        <v>72</v>
      </c>
      <c r="BE921" t="s">
        <v>3219</v>
      </c>
      <c r="BF921" t="str">
        <f>HYPERLINK("http://dx.doi.org/10.1177/1468794111413242","http://dx.doi.org/10.1177/1468794111413242")</f>
        <v>http://dx.doi.org/10.1177/1468794111413242</v>
      </c>
      <c r="BG921" t="s">
        <v>72</v>
      </c>
      <c r="BH921" t="s">
        <v>72</v>
      </c>
      <c r="BI921">
        <v>17</v>
      </c>
      <c r="BJ921" t="s">
        <v>3220</v>
      </c>
      <c r="BK921" t="s">
        <v>3221</v>
      </c>
      <c r="BL921" t="s">
        <v>3222</v>
      </c>
      <c r="BM921" t="s">
        <v>72</v>
      </c>
      <c r="BN921" t="s">
        <v>72</v>
      </c>
      <c r="BO921" t="s">
        <v>72</v>
      </c>
      <c r="BP921" t="s">
        <v>72</v>
      </c>
      <c r="BQ921" t="s">
        <v>100</v>
      </c>
      <c r="BR921" t="s">
        <v>3223</v>
      </c>
      <c r="BS921" t="str">
        <f>HYPERLINK("https%3A%2F%2Fwww.webofscience.com%2Fwos%2Fwoscc%2Ffull-record%2FWOS:000296104400006","View Full Record in Web of Science")</f>
        <v>View Full Record in Web of Science</v>
      </c>
    </row>
    <row r="922" spans="1:71" x14ac:dyDescent="0.2">
      <c r="A922" t="s">
        <v>70</v>
      </c>
      <c r="B922" t="s">
        <v>11315</v>
      </c>
      <c r="C922" t="s">
        <v>72</v>
      </c>
      <c r="D922" t="s">
        <v>72</v>
      </c>
      <c r="E922" t="s">
        <v>72</v>
      </c>
      <c r="F922" t="s">
        <v>11316</v>
      </c>
      <c r="G922" t="s">
        <v>72</v>
      </c>
      <c r="H922" t="s">
        <v>72</v>
      </c>
      <c r="I922" t="s">
        <v>11317</v>
      </c>
      <c r="J922" t="s">
        <v>11318</v>
      </c>
      <c r="K922" t="s">
        <v>72</v>
      </c>
      <c r="L922" t="s">
        <v>72</v>
      </c>
      <c r="M922" t="s">
        <v>76</v>
      </c>
      <c r="N922" t="s">
        <v>77</v>
      </c>
      <c r="O922" t="s">
        <v>72</v>
      </c>
      <c r="P922" t="s">
        <v>72</v>
      </c>
      <c r="Q922" t="s">
        <v>72</v>
      </c>
      <c r="R922" t="s">
        <v>72</v>
      </c>
      <c r="S922" t="s">
        <v>72</v>
      </c>
      <c r="T922" t="s">
        <v>11319</v>
      </c>
      <c r="U922" t="s">
        <v>11320</v>
      </c>
      <c r="V922" t="s">
        <v>11321</v>
      </c>
      <c r="W922" t="s">
        <v>11322</v>
      </c>
      <c r="X922" t="s">
        <v>11323</v>
      </c>
      <c r="Y922" t="s">
        <v>11324</v>
      </c>
      <c r="Z922" t="s">
        <v>11325</v>
      </c>
      <c r="AA922" t="s">
        <v>11326</v>
      </c>
      <c r="AB922" t="s">
        <v>11327</v>
      </c>
      <c r="AC922" t="s">
        <v>72</v>
      </c>
      <c r="AD922" t="s">
        <v>72</v>
      </c>
      <c r="AE922" t="s">
        <v>72</v>
      </c>
      <c r="AF922" t="s">
        <v>72</v>
      </c>
      <c r="AG922">
        <v>95</v>
      </c>
      <c r="AH922">
        <v>38</v>
      </c>
      <c r="AI922">
        <v>39</v>
      </c>
      <c r="AJ922">
        <v>2</v>
      </c>
      <c r="AK922">
        <v>63</v>
      </c>
      <c r="AL922" t="s">
        <v>450</v>
      </c>
      <c r="AM922" t="s">
        <v>451</v>
      </c>
      <c r="AN922" t="s">
        <v>452</v>
      </c>
      <c r="AO922" t="s">
        <v>11328</v>
      </c>
      <c r="AP922" t="s">
        <v>11329</v>
      </c>
      <c r="AQ922" t="s">
        <v>72</v>
      </c>
      <c r="AR922" t="s">
        <v>11330</v>
      </c>
      <c r="AS922" t="s">
        <v>11331</v>
      </c>
      <c r="AT922" t="s">
        <v>197</v>
      </c>
      <c r="AU922">
        <v>2017</v>
      </c>
      <c r="AV922">
        <v>64</v>
      </c>
      <c r="AW922" t="s">
        <v>72</v>
      </c>
      <c r="AX922" t="s">
        <v>72</v>
      </c>
      <c r="AY922" t="s">
        <v>72</v>
      </c>
      <c r="AZ922" t="s">
        <v>72</v>
      </c>
      <c r="BA922" t="s">
        <v>72</v>
      </c>
      <c r="BB922">
        <v>87</v>
      </c>
      <c r="BC922">
        <v>101</v>
      </c>
      <c r="BD922" t="s">
        <v>72</v>
      </c>
      <c r="BE922" t="s">
        <v>11332</v>
      </c>
      <c r="BF922" t="str">
        <f>HYPERLINK("http://dx.doi.org/10.1016/j.annals.2017.02.007","http://dx.doi.org/10.1016/j.annals.2017.02.007")</f>
        <v>http://dx.doi.org/10.1016/j.annals.2017.02.007</v>
      </c>
      <c r="BG922" t="s">
        <v>72</v>
      </c>
      <c r="BH922" t="s">
        <v>72</v>
      </c>
      <c r="BI922">
        <v>15</v>
      </c>
      <c r="BJ922" t="s">
        <v>11333</v>
      </c>
      <c r="BK922" t="s">
        <v>3221</v>
      </c>
      <c r="BL922" t="s">
        <v>11334</v>
      </c>
      <c r="BM922" t="s">
        <v>72</v>
      </c>
      <c r="BN922" t="s">
        <v>11335</v>
      </c>
      <c r="BO922" t="s">
        <v>72</v>
      </c>
      <c r="BP922" t="s">
        <v>72</v>
      </c>
      <c r="BQ922" t="s">
        <v>100</v>
      </c>
      <c r="BR922" t="s">
        <v>11336</v>
      </c>
      <c r="BS922" t="str">
        <f>HYPERLINK("https%3A%2F%2Fwww.webofscience.com%2Fwos%2Fwoscc%2Ffull-record%2FWOS:000401675900008","View Full Record in Web of Science")</f>
        <v>View Full Record in Web of Science</v>
      </c>
    </row>
    <row r="923" spans="1:71" hidden="1" x14ac:dyDescent="0.2">
      <c r="A923" t="s">
        <v>70</v>
      </c>
      <c r="B923" t="s">
        <v>6416</v>
      </c>
      <c r="C923" t="s">
        <v>72</v>
      </c>
      <c r="D923" t="s">
        <v>72</v>
      </c>
      <c r="E923" t="s">
        <v>72</v>
      </c>
      <c r="F923" t="s">
        <v>6417</v>
      </c>
      <c r="G923" t="s">
        <v>72</v>
      </c>
      <c r="H923" t="s">
        <v>72</v>
      </c>
      <c r="I923" t="s">
        <v>6418</v>
      </c>
      <c r="J923" t="s">
        <v>6419</v>
      </c>
      <c r="K923" t="s">
        <v>72</v>
      </c>
      <c r="L923" t="s">
        <v>72</v>
      </c>
      <c r="M923" t="s">
        <v>76</v>
      </c>
      <c r="N923" t="s">
        <v>77</v>
      </c>
      <c r="O923" t="s">
        <v>72</v>
      </c>
      <c r="P923" t="s">
        <v>72</v>
      </c>
      <c r="Q923" t="s">
        <v>72</v>
      </c>
      <c r="R923" t="s">
        <v>72</v>
      </c>
      <c r="S923" t="s">
        <v>72</v>
      </c>
      <c r="T923" t="s">
        <v>6420</v>
      </c>
      <c r="U923" t="s">
        <v>6421</v>
      </c>
      <c r="V923" t="s">
        <v>6422</v>
      </c>
      <c r="W923" t="s">
        <v>6423</v>
      </c>
      <c r="X923" t="s">
        <v>6424</v>
      </c>
      <c r="Y923" t="s">
        <v>6425</v>
      </c>
      <c r="Z923" t="s">
        <v>6426</v>
      </c>
      <c r="AA923" t="s">
        <v>6427</v>
      </c>
      <c r="AB923" t="s">
        <v>6428</v>
      </c>
      <c r="AC923" t="s">
        <v>72</v>
      </c>
      <c r="AD923" t="s">
        <v>72</v>
      </c>
      <c r="AE923" t="s">
        <v>72</v>
      </c>
      <c r="AF923" t="s">
        <v>72</v>
      </c>
      <c r="AG923">
        <v>72</v>
      </c>
      <c r="AH923">
        <v>4</v>
      </c>
      <c r="AI923">
        <v>4</v>
      </c>
      <c r="AJ923">
        <v>1</v>
      </c>
      <c r="AK923">
        <v>6</v>
      </c>
      <c r="AL923" t="s">
        <v>336</v>
      </c>
      <c r="AM923" t="s">
        <v>337</v>
      </c>
      <c r="AN923" t="s">
        <v>338</v>
      </c>
      <c r="AO923" t="s">
        <v>6429</v>
      </c>
      <c r="AP923" t="s">
        <v>6430</v>
      </c>
      <c r="AQ923" t="s">
        <v>72</v>
      </c>
      <c r="AR923" t="s">
        <v>6431</v>
      </c>
      <c r="AS923" t="s">
        <v>6432</v>
      </c>
      <c r="AT923" t="s">
        <v>776</v>
      </c>
      <c r="AU923">
        <v>2021</v>
      </c>
      <c r="AV923">
        <v>64</v>
      </c>
      <c r="AW923">
        <v>4</v>
      </c>
      <c r="AX923" t="s">
        <v>72</v>
      </c>
      <c r="AY923" t="s">
        <v>72</v>
      </c>
      <c r="AZ923" t="s">
        <v>72</v>
      </c>
      <c r="BA923" t="s">
        <v>72</v>
      </c>
      <c r="BB923">
        <v>539</v>
      </c>
      <c r="BC923">
        <v>555</v>
      </c>
      <c r="BD923" t="s">
        <v>72</v>
      </c>
      <c r="BE923" t="s">
        <v>6433</v>
      </c>
      <c r="BF923" t="str">
        <f>HYPERLINK("http://dx.doi.org/10.1177/0020872818819736","http://dx.doi.org/10.1177/0020872818819736")</f>
        <v>http://dx.doi.org/10.1177/0020872818819736</v>
      </c>
      <c r="BG923" t="s">
        <v>72</v>
      </c>
      <c r="BH923" t="s">
        <v>72</v>
      </c>
      <c r="BI923">
        <v>17</v>
      </c>
      <c r="BJ923" t="s">
        <v>6434</v>
      </c>
      <c r="BK923" t="s">
        <v>6434</v>
      </c>
      <c r="BL923" t="s">
        <v>6435</v>
      </c>
      <c r="BM923" t="s">
        <v>72</v>
      </c>
      <c r="BN923" t="s">
        <v>72</v>
      </c>
      <c r="BO923" t="s">
        <v>72</v>
      </c>
      <c r="BP923" t="s">
        <v>72</v>
      </c>
      <c r="BQ923" t="s">
        <v>100</v>
      </c>
      <c r="BR923" t="s">
        <v>6436</v>
      </c>
      <c r="BS923" t="str">
        <f>HYPERLINK("https%3A%2F%2Fwww.webofscience.com%2Fwos%2Fwoscc%2Ffull-record%2FWOS:000668232500004","View Full Record in Web of Science")</f>
        <v>View Full Record in Web of Science</v>
      </c>
    </row>
    <row r="924" spans="1:71" hidden="1" x14ac:dyDescent="0.2">
      <c r="A924" t="s">
        <v>70</v>
      </c>
      <c r="B924" t="s">
        <v>6228</v>
      </c>
      <c r="C924" t="s">
        <v>72</v>
      </c>
      <c r="D924" t="s">
        <v>72</v>
      </c>
      <c r="E924" t="s">
        <v>72</v>
      </c>
      <c r="F924" t="s">
        <v>6229</v>
      </c>
      <c r="G924" t="s">
        <v>72</v>
      </c>
      <c r="H924" t="s">
        <v>72</v>
      </c>
      <c r="I924" t="s">
        <v>6230</v>
      </c>
      <c r="J924" t="s">
        <v>6231</v>
      </c>
      <c r="K924" t="s">
        <v>72</v>
      </c>
      <c r="L924" t="s">
        <v>72</v>
      </c>
      <c r="M924" t="s">
        <v>76</v>
      </c>
      <c r="N924" t="s">
        <v>77</v>
      </c>
      <c r="O924" t="s">
        <v>72</v>
      </c>
      <c r="P924" t="s">
        <v>72</v>
      </c>
      <c r="Q924" t="s">
        <v>72</v>
      </c>
      <c r="R924" t="s">
        <v>72</v>
      </c>
      <c r="S924" t="s">
        <v>72</v>
      </c>
      <c r="T924" t="s">
        <v>6232</v>
      </c>
      <c r="U924" t="s">
        <v>6233</v>
      </c>
      <c r="V924" t="s">
        <v>6234</v>
      </c>
      <c r="W924" t="s">
        <v>6235</v>
      </c>
      <c r="X924" t="s">
        <v>6236</v>
      </c>
      <c r="Y924" t="s">
        <v>6237</v>
      </c>
      <c r="Z924" t="s">
        <v>6238</v>
      </c>
      <c r="AA924" t="s">
        <v>6239</v>
      </c>
      <c r="AB924" t="s">
        <v>6240</v>
      </c>
      <c r="AC924" t="s">
        <v>72</v>
      </c>
      <c r="AD924" t="s">
        <v>72</v>
      </c>
      <c r="AE924" t="s">
        <v>72</v>
      </c>
      <c r="AF924" t="s">
        <v>72</v>
      </c>
      <c r="AG924">
        <v>62</v>
      </c>
      <c r="AH924">
        <v>18</v>
      </c>
      <c r="AI924">
        <v>19</v>
      </c>
      <c r="AJ924">
        <v>1</v>
      </c>
      <c r="AK924">
        <v>10</v>
      </c>
      <c r="AL924" t="s">
        <v>336</v>
      </c>
      <c r="AM924" t="s">
        <v>337</v>
      </c>
      <c r="AN924" t="s">
        <v>338</v>
      </c>
      <c r="AO924" t="s">
        <v>6241</v>
      </c>
      <c r="AP924" t="s">
        <v>6242</v>
      </c>
      <c r="AQ924" t="s">
        <v>72</v>
      </c>
      <c r="AR924" t="s">
        <v>6243</v>
      </c>
      <c r="AS924" t="s">
        <v>6244</v>
      </c>
      <c r="AT924" t="s">
        <v>1602</v>
      </c>
      <c r="AU924">
        <v>2020</v>
      </c>
      <c r="AV924">
        <v>54</v>
      </c>
      <c r="AW924">
        <v>1</v>
      </c>
      <c r="AX924" t="s">
        <v>72</v>
      </c>
      <c r="AY924" t="s">
        <v>72</v>
      </c>
      <c r="AZ924" t="s">
        <v>72</v>
      </c>
      <c r="BA924" t="s">
        <v>72</v>
      </c>
      <c r="BB924">
        <v>3</v>
      </c>
      <c r="BC924">
        <v>21</v>
      </c>
      <c r="BD924" t="s">
        <v>72</v>
      </c>
      <c r="BE924" t="s">
        <v>6245</v>
      </c>
      <c r="BF924" t="str">
        <f>HYPERLINK("http://dx.doi.org/10.1177/0038038519853146","http://dx.doi.org/10.1177/0038038519853146")</f>
        <v>http://dx.doi.org/10.1177/0038038519853146</v>
      </c>
      <c r="BG924" t="s">
        <v>72</v>
      </c>
      <c r="BH924" t="s">
        <v>72</v>
      </c>
      <c r="BI924">
        <v>19</v>
      </c>
      <c r="BJ924" t="s">
        <v>6246</v>
      </c>
      <c r="BK924" t="s">
        <v>6246</v>
      </c>
      <c r="BL924" t="s">
        <v>6247</v>
      </c>
      <c r="BM924" t="s">
        <v>72</v>
      </c>
      <c r="BN924" t="s">
        <v>4811</v>
      </c>
      <c r="BO924" t="s">
        <v>72</v>
      </c>
      <c r="BP924" t="s">
        <v>72</v>
      </c>
      <c r="BQ924" t="s">
        <v>100</v>
      </c>
      <c r="BR924" t="s">
        <v>6248</v>
      </c>
      <c r="BS924" t="str">
        <f>HYPERLINK("https%3A%2F%2Fwww.webofscience.com%2Fwos%2Fwoscc%2Ffull-record%2FWOS:000508978500001","View Full Record in Web of Science")</f>
        <v>View Full Record in Web of Science</v>
      </c>
    </row>
    <row r="925" spans="1:71" hidden="1" x14ac:dyDescent="0.2">
      <c r="A925" t="s">
        <v>70</v>
      </c>
      <c r="B925" t="s">
        <v>8033</v>
      </c>
      <c r="C925" t="s">
        <v>72</v>
      </c>
      <c r="D925" t="s">
        <v>72</v>
      </c>
      <c r="E925" t="s">
        <v>72</v>
      </c>
      <c r="F925" t="s">
        <v>8034</v>
      </c>
      <c r="G925" t="s">
        <v>72</v>
      </c>
      <c r="H925" t="s">
        <v>72</v>
      </c>
      <c r="I925" t="s">
        <v>8035</v>
      </c>
      <c r="J925" t="s">
        <v>8036</v>
      </c>
      <c r="K925" t="s">
        <v>72</v>
      </c>
      <c r="L925" t="s">
        <v>72</v>
      </c>
      <c r="M925" t="s">
        <v>76</v>
      </c>
      <c r="N925" t="s">
        <v>77</v>
      </c>
      <c r="O925" t="s">
        <v>72</v>
      </c>
      <c r="P925" t="s">
        <v>72</v>
      </c>
      <c r="Q925" t="s">
        <v>72</v>
      </c>
      <c r="R925" t="s">
        <v>72</v>
      </c>
      <c r="S925" t="s">
        <v>72</v>
      </c>
      <c r="T925" t="s">
        <v>8037</v>
      </c>
      <c r="U925" t="s">
        <v>8038</v>
      </c>
      <c r="V925" t="s">
        <v>8039</v>
      </c>
      <c r="W925" t="s">
        <v>8040</v>
      </c>
      <c r="X925" t="s">
        <v>8041</v>
      </c>
      <c r="Y925" t="s">
        <v>8042</v>
      </c>
      <c r="Z925" t="s">
        <v>8043</v>
      </c>
      <c r="AA925" t="s">
        <v>72</v>
      </c>
      <c r="AB925" t="s">
        <v>72</v>
      </c>
      <c r="AC925" t="s">
        <v>72</v>
      </c>
      <c r="AD925" t="s">
        <v>72</v>
      </c>
      <c r="AE925" t="s">
        <v>72</v>
      </c>
      <c r="AF925" t="s">
        <v>72</v>
      </c>
      <c r="AG925">
        <v>39</v>
      </c>
      <c r="AH925">
        <v>17</v>
      </c>
      <c r="AI925">
        <v>18</v>
      </c>
      <c r="AJ925">
        <v>3</v>
      </c>
      <c r="AK925">
        <v>9</v>
      </c>
      <c r="AL925" t="s">
        <v>190</v>
      </c>
      <c r="AM925" t="s">
        <v>191</v>
      </c>
      <c r="AN925" t="s">
        <v>192</v>
      </c>
      <c r="AO925" t="s">
        <v>8044</v>
      </c>
      <c r="AP925" t="s">
        <v>8045</v>
      </c>
      <c r="AQ925" t="s">
        <v>72</v>
      </c>
      <c r="AR925" t="s">
        <v>8046</v>
      </c>
      <c r="AS925" t="s">
        <v>8047</v>
      </c>
      <c r="AT925" t="s">
        <v>639</v>
      </c>
      <c r="AU925">
        <v>2019</v>
      </c>
      <c r="AV925">
        <v>6</v>
      </c>
      <c r="AW925">
        <v>4</v>
      </c>
      <c r="AX925" t="s">
        <v>72</v>
      </c>
      <c r="AY925" t="s">
        <v>72</v>
      </c>
      <c r="AZ925" t="s">
        <v>72</v>
      </c>
      <c r="BA925" t="s">
        <v>72</v>
      </c>
      <c r="BB925">
        <v>307</v>
      </c>
      <c r="BC925">
        <v>318</v>
      </c>
      <c r="BD925" t="s">
        <v>72</v>
      </c>
      <c r="BE925" t="s">
        <v>8048</v>
      </c>
      <c r="BF925" t="str">
        <f>HYPERLINK("http://dx.doi.org/10.1177/2329496519846505","http://dx.doi.org/10.1177/2329496519846505")</f>
        <v>http://dx.doi.org/10.1177/2329496519846505</v>
      </c>
      <c r="BG925" t="s">
        <v>72</v>
      </c>
      <c r="BH925" t="s">
        <v>72</v>
      </c>
      <c r="BI925">
        <v>12</v>
      </c>
      <c r="BJ925" t="s">
        <v>6246</v>
      </c>
      <c r="BK925" t="s">
        <v>6246</v>
      </c>
      <c r="BL925" t="s">
        <v>8049</v>
      </c>
      <c r="BM925" t="s">
        <v>72</v>
      </c>
      <c r="BN925" t="s">
        <v>72</v>
      </c>
      <c r="BO925" t="s">
        <v>72</v>
      </c>
      <c r="BP925" t="s">
        <v>72</v>
      </c>
      <c r="BQ925" t="s">
        <v>100</v>
      </c>
      <c r="BR925" t="s">
        <v>8050</v>
      </c>
      <c r="BS925" t="str">
        <f>HYPERLINK("https%3A%2F%2Fwww.webofscience.com%2Fwos%2Fwoscc%2Ffull-record%2FWOS:000509961500001","View Full Record in Web of Science")</f>
        <v>View Full Record in Web of Science</v>
      </c>
    </row>
    <row r="926" spans="1:71" hidden="1" x14ac:dyDescent="0.2">
      <c r="A926" t="s">
        <v>715</v>
      </c>
      <c r="B926" t="s">
        <v>8635</v>
      </c>
      <c r="C926" t="s">
        <v>72</v>
      </c>
      <c r="D926" t="s">
        <v>8636</v>
      </c>
      <c r="E926" t="s">
        <v>72</v>
      </c>
      <c r="F926" t="s">
        <v>8637</v>
      </c>
      <c r="G926" t="s">
        <v>72</v>
      </c>
      <c r="H926" t="s">
        <v>72</v>
      </c>
      <c r="I926" t="s">
        <v>8638</v>
      </c>
      <c r="J926" t="s">
        <v>8639</v>
      </c>
      <c r="K926" t="s">
        <v>8640</v>
      </c>
      <c r="L926" t="s">
        <v>72</v>
      </c>
      <c r="M926" t="s">
        <v>76</v>
      </c>
      <c r="N926" t="s">
        <v>567</v>
      </c>
      <c r="O926" t="s">
        <v>72</v>
      </c>
      <c r="P926" t="s">
        <v>72</v>
      </c>
      <c r="Q926" t="s">
        <v>72</v>
      </c>
      <c r="R926" t="s">
        <v>72</v>
      </c>
      <c r="S926" t="s">
        <v>72</v>
      </c>
      <c r="T926" t="s">
        <v>8641</v>
      </c>
      <c r="U926" t="s">
        <v>8642</v>
      </c>
      <c r="V926" t="s">
        <v>8643</v>
      </c>
      <c r="W926" t="s">
        <v>8644</v>
      </c>
      <c r="X926" t="s">
        <v>3919</v>
      </c>
      <c r="Y926" t="s">
        <v>8645</v>
      </c>
      <c r="Z926" t="s">
        <v>8646</v>
      </c>
      <c r="AA926" t="s">
        <v>72</v>
      </c>
      <c r="AB926" t="s">
        <v>72</v>
      </c>
      <c r="AC926" t="s">
        <v>72</v>
      </c>
      <c r="AD926" t="s">
        <v>72</v>
      </c>
      <c r="AE926" t="s">
        <v>72</v>
      </c>
      <c r="AF926" t="s">
        <v>72</v>
      </c>
      <c r="AG926">
        <v>178</v>
      </c>
      <c r="AH926">
        <v>322</v>
      </c>
      <c r="AI926">
        <v>331</v>
      </c>
      <c r="AJ926">
        <v>7</v>
      </c>
      <c r="AK926">
        <v>264</v>
      </c>
      <c r="AL926" t="s">
        <v>1091</v>
      </c>
      <c r="AM926" t="s">
        <v>1092</v>
      </c>
      <c r="AN926" t="s">
        <v>1093</v>
      </c>
      <c r="AO926" t="s">
        <v>8647</v>
      </c>
      <c r="AP926" t="s">
        <v>8648</v>
      </c>
      <c r="AQ926" t="s">
        <v>8649</v>
      </c>
      <c r="AR926" t="s">
        <v>8650</v>
      </c>
      <c r="AS926" t="s">
        <v>8651</v>
      </c>
      <c r="AT926" t="s">
        <v>72</v>
      </c>
      <c r="AU926">
        <v>2011</v>
      </c>
      <c r="AV926">
        <v>37</v>
      </c>
      <c r="AW926" t="s">
        <v>72</v>
      </c>
      <c r="AX926" t="s">
        <v>72</v>
      </c>
      <c r="AY926" t="s">
        <v>72</v>
      </c>
      <c r="AZ926" t="s">
        <v>72</v>
      </c>
      <c r="BA926" t="s">
        <v>72</v>
      </c>
      <c r="BB926">
        <v>57</v>
      </c>
      <c r="BC926">
        <v>86</v>
      </c>
      <c r="BD926" t="s">
        <v>72</v>
      </c>
      <c r="BE926" t="s">
        <v>8652</v>
      </c>
      <c r="BF926" t="str">
        <f>HYPERLINK("http://dx.doi.org/10.1146/annurev.soc.012809.102657","http://dx.doi.org/10.1146/annurev.soc.012809.102657")</f>
        <v>http://dx.doi.org/10.1146/annurev.soc.012809.102657</v>
      </c>
      <c r="BG926" t="s">
        <v>72</v>
      </c>
      <c r="BH926" t="s">
        <v>72</v>
      </c>
      <c r="BI926">
        <v>30</v>
      </c>
      <c r="BJ926" t="s">
        <v>6246</v>
      </c>
      <c r="BK926" t="s">
        <v>6246</v>
      </c>
      <c r="BL926" t="s">
        <v>8653</v>
      </c>
      <c r="BM926" t="s">
        <v>72</v>
      </c>
      <c r="BN926" t="s">
        <v>72</v>
      </c>
      <c r="BO926" t="s">
        <v>72</v>
      </c>
      <c r="BP926" t="s">
        <v>72</v>
      </c>
      <c r="BQ926" t="s">
        <v>100</v>
      </c>
      <c r="BR926" t="s">
        <v>8654</v>
      </c>
      <c r="BS926" t="str">
        <f>HYPERLINK("https%3A%2F%2Fwww.webofscience.com%2Fwos%2Fwoscc%2Ffull-record%2FWOS:000293761700004","View Full Record in Web of Science")</f>
        <v>View Full Record in Web of Science</v>
      </c>
    </row>
    <row r="927" spans="1:71" hidden="1" x14ac:dyDescent="0.2">
      <c r="A927" t="s">
        <v>70</v>
      </c>
      <c r="B927" t="s">
        <v>8937</v>
      </c>
      <c r="C927" t="s">
        <v>72</v>
      </c>
      <c r="D927" t="s">
        <v>72</v>
      </c>
      <c r="E927" t="s">
        <v>72</v>
      </c>
      <c r="F927" t="s">
        <v>8938</v>
      </c>
      <c r="G927" t="s">
        <v>72</v>
      </c>
      <c r="H927" t="s">
        <v>72</v>
      </c>
      <c r="I927" t="s">
        <v>8939</v>
      </c>
      <c r="J927" t="s">
        <v>8940</v>
      </c>
      <c r="K927" t="s">
        <v>72</v>
      </c>
      <c r="L927" t="s">
        <v>72</v>
      </c>
      <c r="M927" t="s">
        <v>76</v>
      </c>
      <c r="N927" t="s">
        <v>77</v>
      </c>
      <c r="O927" t="s">
        <v>72</v>
      </c>
      <c r="P927" t="s">
        <v>72</v>
      </c>
      <c r="Q927" t="s">
        <v>72</v>
      </c>
      <c r="R927" t="s">
        <v>72</v>
      </c>
      <c r="S927" t="s">
        <v>72</v>
      </c>
      <c r="T927" t="s">
        <v>8941</v>
      </c>
      <c r="U927" t="s">
        <v>8942</v>
      </c>
      <c r="V927" t="s">
        <v>8943</v>
      </c>
      <c r="W927" t="s">
        <v>8944</v>
      </c>
      <c r="X927" t="s">
        <v>8945</v>
      </c>
      <c r="Y927" t="s">
        <v>8946</v>
      </c>
      <c r="Z927" t="s">
        <v>6793</v>
      </c>
      <c r="AA927" t="s">
        <v>72</v>
      </c>
      <c r="AB927" t="s">
        <v>8947</v>
      </c>
      <c r="AC927" t="s">
        <v>72</v>
      </c>
      <c r="AD927" t="s">
        <v>72</v>
      </c>
      <c r="AE927" t="s">
        <v>72</v>
      </c>
      <c r="AF927" t="s">
        <v>72</v>
      </c>
      <c r="AG927">
        <v>63</v>
      </c>
      <c r="AH927">
        <v>14</v>
      </c>
      <c r="AI927">
        <v>14</v>
      </c>
      <c r="AJ927">
        <v>2</v>
      </c>
      <c r="AK927">
        <v>12</v>
      </c>
      <c r="AL927" t="s">
        <v>8940</v>
      </c>
      <c r="AM927" t="s">
        <v>8948</v>
      </c>
      <c r="AN927" t="s">
        <v>8949</v>
      </c>
      <c r="AO927" t="s">
        <v>8950</v>
      </c>
      <c r="AP927" t="s">
        <v>72</v>
      </c>
      <c r="AQ927" t="s">
        <v>72</v>
      </c>
      <c r="AR927" t="s">
        <v>8951</v>
      </c>
      <c r="AS927" t="s">
        <v>8952</v>
      </c>
      <c r="AT927" t="s">
        <v>72</v>
      </c>
      <c r="AU927">
        <v>2018</v>
      </c>
      <c r="AV927">
        <v>55</v>
      </c>
      <c r="AW927" t="s">
        <v>7443</v>
      </c>
      <c r="AX927" t="s">
        <v>72</v>
      </c>
      <c r="AY927" t="s">
        <v>72</v>
      </c>
      <c r="AZ927" t="s">
        <v>72</v>
      </c>
      <c r="BA927" t="s">
        <v>72</v>
      </c>
      <c r="BB927">
        <v>267</v>
      </c>
      <c r="BC927">
        <v>292</v>
      </c>
      <c r="BD927" t="s">
        <v>72</v>
      </c>
      <c r="BE927" t="s">
        <v>72</v>
      </c>
      <c r="BF927" t="s">
        <v>72</v>
      </c>
      <c r="BG927" t="s">
        <v>72</v>
      </c>
      <c r="BH927" t="s">
        <v>72</v>
      </c>
      <c r="BI927">
        <v>26</v>
      </c>
      <c r="BJ927" t="s">
        <v>6246</v>
      </c>
      <c r="BK927" t="s">
        <v>6246</v>
      </c>
      <c r="BL927" t="s">
        <v>8953</v>
      </c>
      <c r="BM927" t="s">
        <v>72</v>
      </c>
      <c r="BN927" t="s">
        <v>72</v>
      </c>
      <c r="BO927" t="s">
        <v>72</v>
      </c>
      <c r="BP927" t="s">
        <v>72</v>
      </c>
      <c r="BQ927" t="s">
        <v>100</v>
      </c>
      <c r="BR927" t="s">
        <v>8954</v>
      </c>
      <c r="BS927" t="str">
        <f>HYPERLINK("https%3A%2F%2Fwww.webofscience.com%2Fwos%2Fwoscc%2Ffull-record%2FWOS:000437926900009","View Full Record in Web of Science")</f>
        <v>View Full Record in Web of Science</v>
      </c>
    </row>
    <row r="928" spans="1:71" hidden="1" x14ac:dyDescent="0.2">
      <c r="A928" t="s">
        <v>70</v>
      </c>
      <c r="B928" t="s">
        <v>8999</v>
      </c>
      <c r="C928" t="s">
        <v>72</v>
      </c>
      <c r="D928" t="s">
        <v>72</v>
      </c>
      <c r="E928" t="s">
        <v>72</v>
      </c>
      <c r="F928" t="s">
        <v>9000</v>
      </c>
      <c r="G928" t="s">
        <v>72</v>
      </c>
      <c r="H928" t="s">
        <v>72</v>
      </c>
      <c r="I928" t="s">
        <v>9001</v>
      </c>
      <c r="J928" t="s">
        <v>9002</v>
      </c>
      <c r="K928" t="s">
        <v>72</v>
      </c>
      <c r="L928" t="s">
        <v>72</v>
      </c>
      <c r="M928" t="s">
        <v>76</v>
      </c>
      <c r="N928" t="s">
        <v>77</v>
      </c>
      <c r="O928" t="s">
        <v>72</v>
      </c>
      <c r="P928" t="s">
        <v>72</v>
      </c>
      <c r="Q928" t="s">
        <v>72</v>
      </c>
      <c r="R928" t="s">
        <v>72</v>
      </c>
      <c r="S928" t="s">
        <v>72</v>
      </c>
      <c r="T928" t="s">
        <v>72</v>
      </c>
      <c r="U928" t="s">
        <v>9003</v>
      </c>
      <c r="V928" t="s">
        <v>9004</v>
      </c>
      <c r="W928" t="s">
        <v>9005</v>
      </c>
      <c r="X928" t="s">
        <v>9006</v>
      </c>
      <c r="Y928" t="s">
        <v>9007</v>
      </c>
      <c r="Z928" t="s">
        <v>9008</v>
      </c>
      <c r="AA928" t="s">
        <v>72</v>
      </c>
      <c r="AB928" t="s">
        <v>72</v>
      </c>
      <c r="AC928" t="s">
        <v>72</v>
      </c>
      <c r="AD928" t="s">
        <v>72</v>
      </c>
      <c r="AE928" t="s">
        <v>72</v>
      </c>
      <c r="AF928" t="s">
        <v>72</v>
      </c>
      <c r="AG928">
        <v>59</v>
      </c>
      <c r="AH928">
        <v>2</v>
      </c>
      <c r="AI928">
        <v>2</v>
      </c>
      <c r="AJ928">
        <v>1</v>
      </c>
      <c r="AK928">
        <v>1</v>
      </c>
      <c r="AL928" t="s">
        <v>879</v>
      </c>
      <c r="AM928" t="s">
        <v>451</v>
      </c>
      <c r="AN928" t="s">
        <v>880</v>
      </c>
      <c r="AO928" t="s">
        <v>9009</v>
      </c>
      <c r="AP928" t="s">
        <v>9010</v>
      </c>
      <c r="AQ928" t="s">
        <v>72</v>
      </c>
      <c r="AR928" t="s">
        <v>9011</v>
      </c>
      <c r="AS928" t="s">
        <v>9012</v>
      </c>
      <c r="AT928" t="s">
        <v>9013</v>
      </c>
      <c r="AU928">
        <v>2022</v>
      </c>
      <c r="AV928">
        <v>38</v>
      </c>
      <c r="AW928">
        <v>5</v>
      </c>
      <c r="AX928" t="s">
        <v>72</v>
      </c>
      <c r="AY928" t="s">
        <v>72</v>
      </c>
      <c r="AZ928" t="s">
        <v>72</v>
      </c>
      <c r="BA928" t="s">
        <v>72</v>
      </c>
      <c r="BB928">
        <v>694</v>
      </c>
      <c r="BC928">
        <v>706</v>
      </c>
      <c r="BD928" t="s">
        <v>72</v>
      </c>
      <c r="BE928" t="s">
        <v>9014</v>
      </c>
      <c r="BF928" t="str">
        <f>HYPERLINK("http://dx.doi.org/10.1093/esr/jcac006","http://dx.doi.org/10.1093/esr/jcac006")</f>
        <v>http://dx.doi.org/10.1093/esr/jcac006</v>
      </c>
      <c r="BG928" t="s">
        <v>72</v>
      </c>
      <c r="BH928" t="s">
        <v>1212</v>
      </c>
      <c r="BI928">
        <v>13</v>
      </c>
      <c r="BJ928" t="s">
        <v>6246</v>
      </c>
      <c r="BK928" t="s">
        <v>6246</v>
      </c>
      <c r="BL928" t="s">
        <v>9015</v>
      </c>
      <c r="BM928" t="s">
        <v>72</v>
      </c>
      <c r="BN928" t="s">
        <v>2403</v>
      </c>
      <c r="BO928" t="s">
        <v>72</v>
      </c>
      <c r="BP928" t="s">
        <v>72</v>
      </c>
      <c r="BQ928" t="s">
        <v>100</v>
      </c>
      <c r="BR928" t="s">
        <v>9016</v>
      </c>
      <c r="BS928" t="str">
        <f>HYPERLINK("https%3A%2F%2Fwww.webofscience.com%2Fwos%2Fwoscc%2Ffull-record%2FWOS:000792139600001","View Full Record in Web of Science")</f>
        <v>View Full Record in Web of Science</v>
      </c>
    </row>
    <row r="929" spans="1:71" hidden="1" x14ac:dyDescent="0.2">
      <c r="A929" t="s">
        <v>70</v>
      </c>
      <c r="B929" t="s">
        <v>9017</v>
      </c>
      <c r="C929" t="s">
        <v>72</v>
      </c>
      <c r="D929" t="s">
        <v>72</v>
      </c>
      <c r="E929" t="s">
        <v>72</v>
      </c>
      <c r="F929" t="s">
        <v>9018</v>
      </c>
      <c r="G929" t="s">
        <v>72</v>
      </c>
      <c r="H929" t="s">
        <v>72</v>
      </c>
      <c r="I929" t="s">
        <v>9019</v>
      </c>
      <c r="J929" t="s">
        <v>9020</v>
      </c>
      <c r="K929" t="s">
        <v>72</v>
      </c>
      <c r="L929" t="s">
        <v>72</v>
      </c>
      <c r="M929" t="s">
        <v>76</v>
      </c>
      <c r="N929" t="s">
        <v>77</v>
      </c>
      <c r="O929" t="s">
        <v>72</v>
      </c>
      <c r="P929" t="s">
        <v>72</v>
      </c>
      <c r="Q929" t="s">
        <v>72</v>
      </c>
      <c r="R929" t="s">
        <v>72</v>
      </c>
      <c r="S929" t="s">
        <v>72</v>
      </c>
      <c r="T929" t="s">
        <v>9021</v>
      </c>
      <c r="U929" t="s">
        <v>9022</v>
      </c>
      <c r="V929" t="s">
        <v>9023</v>
      </c>
      <c r="W929" t="s">
        <v>9024</v>
      </c>
      <c r="X929" t="s">
        <v>9025</v>
      </c>
      <c r="Y929" t="s">
        <v>9026</v>
      </c>
      <c r="Z929" t="s">
        <v>9027</v>
      </c>
      <c r="AA929" t="s">
        <v>72</v>
      </c>
      <c r="AB929" t="s">
        <v>72</v>
      </c>
      <c r="AC929" t="s">
        <v>9028</v>
      </c>
      <c r="AD929" t="s">
        <v>9029</v>
      </c>
      <c r="AE929" t="s">
        <v>9030</v>
      </c>
      <c r="AF929" t="s">
        <v>72</v>
      </c>
      <c r="AG929">
        <v>139</v>
      </c>
      <c r="AH929">
        <v>31</v>
      </c>
      <c r="AI929">
        <v>31</v>
      </c>
      <c r="AJ929">
        <v>5</v>
      </c>
      <c r="AK929">
        <v>69</v>
      </c>
      <c r="AL929" t="s">
        <v>190</v>
      </c>
      <c r="AM929" t="s">
        <v>191</v>
      </c>
      <c r="AN929" t="s">
        <v>192</v>
      </c>
      <c r="AO929" t="s">
        <v>9031</v>
      </c>
      <c r="AP929" t="s">
        <v>9032</v>
      </c>
      <c r="AQ929" t="s">
        <v>72</v>
      </c>
      <c r="AR929" t="s">
        <v>9033</v>
      </c>
      <c r="AS929" t="s">
        <v>9034</v>
      </c>
      <c r="AT929" t="s">
        <v>929</v>
      </c>
      <c r="AU929">
        <v>2017</v>
      </c>
      <c r="AV929">
        <v>82</v>
      </c>
      <c r="AW929">
        <v>6</v>
      </c>
      <c r="AX929" t="s">
        <v>72</v>
      </c>
      <c r="AY929" t="s">
        <v>72</v>
      </c>
      <c r="AZ929" t="s">
        <v>72</v>
      </c>
      <c r="BA929" t="s">
        <v>72</v>
      </c>
      <c r="BB929">
        <v>1188</v>
      </c>
      <c r="BC929">
        <v>1213</v>
      </c>
      <c r="BD929" t="s">
        <v>72</v>
      </c>
      <c r="BE929" t="s">
        <v>9035</v>
      </c>
      <c r="BF929" t="str">
        <f>HYPERLINK("http://dx.doi.org/10.1177/0003122417733673","http://dx.doi.org/10.1177/0003122417733673")</f>
        <v>http://dx.doi.org/10.1177/0003122417733673</v>
      </c>
      <c r="BG929" t="s">
        <v>72</v>
      </c>
      <c r="BH929" t="s">
        <v>72</v>
      </c>
      <c r="BI929">
        <v>26</v>
      </c>
      <c r="BJ929" t="s">
        <v>6246</v>
      </c>
      <c r="BK929" t="s">
        <v>6246</v>
      </c>
      <c r="BL929" t="s">
        <v>9036</v>
      </c>
      <c r="BM929" t="s">
        <v>72</v>
      </c>
      <c r="BN929" t="s">
        <v>72</v>
      </c>
      <c r="BO929" t="s">
        <v>72</v>
      </c>
      <c r="BP929" t="s">
        <v>72</v>
      </c>
      <c r="BQ929" t="s">
        <v>100</v>
      </c>
      <c r="BR929" t="s">
        <v>9037</v>
      </c>
      <c r="BS929" t="str">
        <f>HYPERLINK("https%3A%2F%2Fwww.webofscience.com%2Fwos%2Fwoscc%2Ffull-record%2FWOS:000415161300004","View Full Record in Web of Science")</f>
        <v>View Full Record in Web of Science</v>
      </c>
    </row>
    <row r="930" spans="1:71" hidden="1" x14ac:dyDescent="0.2">
      <c r="A930" t="s">
        <v>70</v>
      </c>
      <c r="B930" t="s">
        <v>9050</v>
      </c>
      <c r="C930" t="s">
        <v>72</v>
      </c>
      <c r="D930" t="s">
        <v>72</v>
      </c>
      <c r="E930" t="s">
        <v>72</v>
      </c>
      <c r="F930" t="s">
        <v>9051</v>
      </c>
      <c r="G930" t="s">
        <v>72</v>
      </c>
      <c r="H930" t="s">
        <v>72</v>
      </c>
      <c r="I930" t="s">
        <v>9052</v>
      </c>
      <c r="J930" t="s">
        <v>9002</v>
      </c>
      <c r="K930" t="s">
        <v>72</v>
      </c>
      <c r="L930" t="s">
        <v>72</v>
      </c>
      <c r="M930" t="s">
        <v>76</v>
      </c>
      <c r="N930" t="s">
        <v>352</v>
      </c>
      <c r="O930" t="s">
        <v>72</v>
      </c>
      <c r="P930" t="s">
        <v>72</v>
      </c>
      <c r="Q930" t="s">
        <v>72</v>
      </c>
      <c r="R930" t="s">
        <v>72</v>
      </c>
      <c r="S930" t="s">
        <v>72</v>
      </c>
      <c r="T930" t="s">
        <v>72</v>
      </c>
      <c r="U930" t="s">
        <v>9053</v>
      </c>
      <c r="V930" t="s">
        <v>9054</v>
      </c>
      <c r="W930" t="s">
        <v>9055</v>
      </c>
      <c r="X930" t="s">
        <v>9056</v>
      </c>
      <c r="Y930" t="s">
        <v>9057</v>
      </c>
      <c r="Z930" t="s">
        <v>9058</v>
      </c>
      <c r="AA930" t="s">
        <v>72</v>
      </c>
      <c r="AB930" t="s">
        <v>72</v>
      </c>
      <c r="AC930" t="s">
        <v>72</v>
      </c>
      <c r="AD930" t="s">
        <v>72</v>
      </c>
      <c r="AE930" t="s">
        <v>72</v>
      </c>
      <c r="AF930" t="s">
        <v>72</v>
      </c>
      <c r="AG930">
        <v>107</v>
      </c>
      <c r="AH930">
        <v>0</v>
      </c>
      <c r="AI930">
        <v>0</v>
      </c>
      <c r="AJ930">
        <v>6</v>
      </c>
      <c r="AK930">
        <v>6</v>
      </c>
      <c r="AL930" t="s">
        <v>879</v>
      </c>
      <c r="AM930" t="s">
        <v>451</v>
      </c>
      <c r="AN930" t="s">
        <v>880</v>
      </c>
      <c r="AO930" t="s">
        <v>9009</v>
      </c>
      <c r="AP930" t="s">
        <v>9010</v>
      </c>
      <c r="AQ930" t="s">
        <v>72</v>
      </c>
      <c r="AR930" t="s">
        <v>9011</v>
      </c>
      <c r="AS930" t="s">
        <v>9012</v>
      </c>
      <c r="AT930" t="s">
        <v>72</v>
      </c>
      <c r="AU930" t="s">
        <v>72</v>
      </c>
      <c r="AV930" t="s">
        <v>72</v>
      </c>
      <c r="AW930" t="s">
        <v>72</v>
      </c>
      <c r="AX930" t="s">
        <v>72</v>
      </c>
      <c r="AY930" t="s">
        <v>72</v>
      </c>
      <c r="AZ930" t="s">
        <v>72</v>
      </c>
      <c r="BA930" t="s">
        <v>72</v>
      </c>
      <c r="BB930" t="s">
        <v>72</v>
      </c>
      <c r="BC930" t="s">
        <v>72</v>
      </c>
      <c r="BD930" t="s">
        <v>72</v>
      </c>
      <c r="BE930" t="s">
        <v>9059</v>
      </c>
      <c r="BF930" t="str">
        <f>HYPERLINK("http://dx.doi.org/10.1093/esr/jcac047","http://dx.doi.org/10.1093/esr/jcac047")</f>
        <v>http://dx.doi.org/10.1093/esr/jcac047</v>
      </c>
      <c r="BG930" t="s">
        <v>72</v>
      </c>
      <c r="BH930" t="s">
        <v>2868</v>
      </c>
      <c r="BI930">
        <v>24</v>
      </c>
      <c r="BJ930" t="s">
        <v>6246</v>
      </c>
      <c r="BK930" t="s">
        <v>6246</v>
      </c>
      <c r="BL930" t="s">
        <v>9060</v>
      </c>
      <c r="BM930" t="s">
        <v>72</v>
      </c>
      <c r="BN930" t="s">
        <v>72</v>
      </c>
      <c r="BO930" t="s">
        <v>72</v>
      </c>
      <c r="BP930" t="s">
        <v>72</v>
      </c>
      <c r="BQ930" t="s">
        <v>100</v>
      </c>
      <c r="BR930" t="s">
        <v>9061</v>
      </c>
      <c r="BS930" t="str">
        <f>HYPERLINK("https%3A%2F%2Fwww.webofscience.com%2Fwos%2Fwoscc%2Ffull-record%2FWOS:000871580200001","View Full Record in Web of Science")</f>
        <v>View Full Record in Web of Science</v>
      </c>
    </row>
    <row r="931" spans="1:71" hidden="1" x14ac:dyDescent="0.2">
      <c r="A931" t="s">
        <v>715</v>
      </c>
      <c r="B931" t="s">
        <v>9558</v>
      </c>
      <c r="C931" t="s">
        <v>72</v>
      </c>
      <c r="D931" t="s">
        <v>9559</v>
      </c>
      <c r="E931" t="s">
        <v>72</v>
      </c>
      <c r="F931" t="s">
        <v>9560</v>
      </c>
      <c r="G931" t="s">
        <v>72</v>
      </c>
      <c r="H931" t="s">
        <v>72</v>
      </c>
      <c r="I931" t="s">
        <v>9561</v>
      </c>
      <c r="J931" t="s">
        <v>9562</v>
      </c>
      <c r="K931" t="s">
        <v>721</v>
      </c>
      <c r="L931" t="s">
        <v>72</v>
      </c>
      <c r="M931" t="s">
        <v>76</v>
      </c>
      <c r="N931" t="s">
        <v>567</v>
      </c>
      <c r="O931" t="s">
        <v>72</v>
      </c>
      <c r="P931" t="s">
        <v>72</v>
      </c>
      <c r="Q931" t="s">
        <v>72</v>
      </c>
      <c r="R931" t="s">
        <v>72</v>
      </c>
      <c r="S931" t="s">
        <v>72</v>
      </c>
      <c r="T931" t="s">
        <v>9563</v>
      </c>
      <c r="U931" t="s">
        <v>9564</v>
      </c>
      <c r="V931" t="s">
        <v>9565</v>
      </c>
      <c r="W931" t="s">
        <v>9566</v>
      </c>
      <c r="X931" t="s">
        <v>855</v>
      </c>
      <c r="Y931" t="s">
        <v>9567</v>
      </c>
      <c r="Z931" t="s">
        <v>9568</v>
      </c>
      <c r="AA931" t="s">
        <v>9569</v>
      </c>
      <c r="AB931" t="s">
        <v>9570</v>
      </c>
      <c r="AC931" t="s">
        <v>9571</v>
      </c>
      <c r="AD931" t="s">
        <v>9572</v>
      </c>
      <c r="AE931" t="s">
        <v>9573</v>
      </c>
      <c r="AF931" t="s">
        <v>72</v>
      </c>
      <c r="AG931">
        <v>120</v>
      </c>
      <c r="AH931">
        <v>10</v>
      </c>
      <c r="AI931">
        <v>10</v>
      </c>
      <c r="AJ931">
        <v>8</v>
      </c>
      <c r="AK931">
        <v>24</v>
      </c>
      <c r="AL931" t="s">
        <v>190</v>
      </c>
      <c r="AM931" t="s">
        <v>727</v>
      </c>
      <c r="AN931" t="s">
        <v>728</v>
      </c>
      <c r="AO931" t="s">
        <v>729</v>
      </c>
      <c r="AP931" t="s">
        <v>72</v>
      </c>
      <c r="AQ931" t="s">
        <v>72</v>
      </c>
      <c r="AR931" t="s">
        <v>731</v>
      </c>
      <c r="AS931" t="s">
        <v>732</v>
      </c>
      <c r="AT931" t="s">
        <v>72</v>
      </c>
      <c r="AU931">
        <v>2019</v>
      </c>
      <c r="AV931">
        <v>49</v>
      </c>
      <c r="AW931" t="s">
        <v>72</v>
      </c>
      <c r="AX931" t="s">
        <v>72</v>
      </c>
      <c r="AY931" t="s">
        <v>72</v>
      </c>
      <c r="AZ931" t="s">
        <v>72</v>
      </c>
      <c r="BA931" t="s">
        <v>72</v>
      </c>
      <c r="BB931">
        <v>83</v>
      </c>
      <c r="BC931">
        <v>131</v>
      </c>
      <c r="BD931" t="s">
        <v>72</v>
      </c>
      <c r="BE931" t="s">
        <v>9574</v>
      </c>
      <c r="BF931" t="str">
        <f>HYPERLINK("http://dx.doi.org/10.1177/0081175019852762","http://dx.doi.org/10.1177/0081175019852762")</f>
        <v>http://dx.doi.org/10.1177/0081175019852762</v>
      </c>
      <c r="BG931" t="s">
        <v>72</v>
      </c>
      <c r="BH931" t="s">
        <v>72</v>
      </c>
      <c r="BI931">
        <v>49</v>
      </c>
      <c r="BJ931" t="s">
        <v>6246</v>
      </c>
      <c r="BK931" t="s">
        <v>6246</v>
      </c>
      <c r="BL931" t="s">
        <v>9575</v>
      </c>
      <c r="BM931" t="s">
        <v>72</v>
      </c>
      <c r="BN931" t="s">
        <v>1497</v>
      </c>
      <c r="BO931" t="s">
        <v>72</v>
      </c>
      <c r="BP931" t="s">
        <v>72</v>
      </c>
      <c r="BQ931" t="s">
        <v>100</v>
      </c>
      <c r="BR931" t="s">
        <v>9576</v>
      </c>
      <c r="BS931" t="str">
        <f>HYPERLINK("https%3A%2F%2Fwww.webofscience.com%2Fwos%2Fwoscc%2Ffull-record%2FWOS:000501594000010","View Full Record in Web of Science")</f>
        <v>View Full Record in Web of Science</v>
      </c>
    </row>
    <row r="932" spans="1:71" hidden="1" x14ac:dyDescent="0.2">
      <c r="A932" t="s">
        <v>70</v>
      </c>
      <c r="B932" t="s">
        <v>10240</v>
      </c>
      <c r="C932" t="s">
        <v>72</v>
      </c>
      <c r="D932" t="s">
        <v>72</v>
      </c>
      <c r="E932" t="s">
        <v>72</v>
      </c>
      <c r="F932" t="s">
        <v>10241</v>
      </c>
      <c r="G932" t="s">
        <v>72</v>
      </c>
      <c r="H932" t="s">
        <v>72</v>
      </c>
      <c r="I932" t="s">
        <v>10242</v>
      </c>
      <c r="J932" t="s">
        <v>10243</v>
      </c>
      <c r="K932" t="s">
        <v>72</v>
      </c>
      <c r="L932" t="s">
        <v>72</v>
      </c>
      <c r="M932" t="s">
        <v>76</v>
      </c>
      <c r="N932" t="s">
        <v>77</v>
      </c>
      <c r="O932" t="s">
        <v>72</v>
      </c>
      <c r="P932" t="s">
        <v>72</v>
      </c>
      <c r="Q932" t="s">
        <v>72</v>
      </c>
      <c r="R932" t="s">
        <v>72</v>
      </c>
      <c r="S932" t="s">
        <v>72</v>
      </c>
      <c r="T932" t="s">
        <v>10244</v>
      </c>
      <c r="U932" t="s">
        <v>10245</v>
      </c>
      <c r="V932" t="s">
        <v>10246</v>
      </c>
      <c r="W932" t="s">
        <v>10247</v>
      </c>
      <c r="X932" t="s">
        <v>10248</v>
      </c>
      <c r="Y932" t="s">
        <v>10249</v>
      </c>
      <c r="Z932" t="s">
        <v>10250</v>
      </c>
      <c r="AA932" t="s">
        <v>72</v>
      </c>
      <c r="AB932" t="s">
        <v>72</v>
      </c>
      <c r="AC932" t="s">
        <v>72</v>
      </c>
      <c r="AD932" t="s">
        <v>72</v>
      </c>
      <c r="AE932" t="s">
        <v>72</v>
      </c>
      <c r="AF932" t="s">
        <v>72</v>
      </c>
      <c r="AG932">
        <v>56</v>
      </c>
      <c r="AH932">
        <v>0</v>
      </c>
      <c r="AI932">
        <v>0</v>
      </c>
      <c r="AJ932">
        <v>1</v>
      </c>
      <c r="AK932">
        <v>1</v>
      </c>
      <c r="AL932" t="s">
        <v>901</v>
      </c>
      <c r="AM932" t="s">
        <v>902</v>
      </c>
      <c r="AN932" t="s">
        <v>903</v>
      </c>
      <c r="AO932" t="s">
        <v>72</v>
      </c>
      <c r="AP932" t="s">
        <v>10251</v>
      </c>
      <c r="AQ932" t="s">
        <v>72</v>
      </c>
      <c r="AR932" t="s">
        <v>10252</v>
      </c>
      <c r="AS932" t="s">
        <v>10253</v>
      </c>
      <c r="AT932" t="s">
        <v>10254</v>
      </c>
      <c r="AU932">
        <v>2022</v>
      </c>
      <c r="AV932">
        <v>7</v>
      </c>
      <c r="AW932" t="s">
        <v>72</v>
      </c>
      <c r="AX932" t="s">
        <v>72</v>
      </c>
      <c r="AY932" t="s">
        <v>72</v>
      </c>
      <c r="AZ932" t="s">
        <v>72</v>
      </c>
      <c r="BA932" t="s">
        <v>72</v>
      </c>
      <c r="BB932" t="s">
        <v>72</v>
      </c>
      <c r="BC932" t="s">
        <v>72</v>
      </c>
      <c r="BD932">
        <v>787450</v>
      </c>
      <c r="BE932" t="s">
        <v>10255</v>
      </c>
      <c r="BF932" t="str">
        <f>HYPERLINK("http://dx.doi.org/10.3389/fsoc.2022.787450","http://dx.doi.org/10.3389/fsoc.2022.787450")</f>
        <v>http://dx.doi.org/10.3389/fsoc.2022.787450</v>
      </c>
      <c r="BG932" t="s">
        <v>72</v>
      </c>
      <c r="BH932" t="s">
        <v>72</v>
      </c>
      <c r="BI932">
        <v>16</v>
      </c>
      <c r="BJ932" t="s">
        <v>6246</v>
      </c>
      <c r="BK932" t="s">
        <v>6246</v>
      </c>
      <c r="BL932" t="s">
        <v>10256</v>
      </c>
      <c r="BM932">
        <v>36033980</v>
      </c>
      <c r="BN932" t="s">
        <v>910</v>
      </c>
      <c r="BO932" t="s">
        <v>72</v>
      </c>
      <c r="BP932" t="s">
        <v>72</v>
      </c>
      <c r="BQ932" t="s">
        <v>100</v>
      </c>
      <c r="BR932" t="s">
        <v>10257</v>
      </c>
      <c r="BS932" t="str">
        <f>HYPERLINK("https%3A%2F%2Fwww.webofscience.com%2Fwos%2Fwoscc%2Ffull-record%2FWOS:000844366600001","View Full Record in Web of Science")</f>
        <v>View Full Record in Web of Science</v>
      </c>
    </row>
    <row r="933" spans="1:71" hidden="1" x14ac:dyDescent="0.2">
      <c r="A933" t="s">
        <v>70</v>
      </c>
      <c r="B933" t="s">
        <v>10421</v>
      </c>
      <c r="C933" t="s">
        <v>72</v>
      </c>
      <c r="D933" t="s">
        <v>72</v>
      </c>
      <c r="E933" t="s">
        <v>72</v>
      </c>
      <c r="F933" t="s">
        <v>10422</v>
      </c>
      <c r="G933" t="s">
        <v>72</v>
      </c>
      <c r="H933" t="s">
        <v>72</v>
      </c>
      <c r="I933" t="s">
        <v>10423</v>
      </c>
      <c r="J933" t="s">
        <v>10424</v>
      </c>
      <c r="K933" t="s">
        <v>72</v>
      </c>
      <c r="L933" t="s">
        <v>72</v>
      </c>
      <c r="M933" t="s">
        <v>76</v>
      </c>
      <c r="N933" t="s">
        <v>77</v>
      </c>
      <c r="O933" t="s">
        <v>72</v>
      </c>
      <c r="P933" t="s">
        <v>72</v>
      </c>
      <c r="Q933" t="s">
        <v>72</v>
      </c>
      <c r="R933" t="s">
        <v>72</v>
      </c>
      <c r="S933" t="s">
        <v>72</v>
      </c>
      <c r="T933" t="s">
        <v>10425</v>
      </c>
      <c r="U933" t="s">
        <v>10426</v>
      </c>
      <c r="V933" t="s">
        <v>10427</v>
      </c>
      <c r="W933" t="s">
        <v>10428</v>
      </c>
      <c r="X933" t="s">
        <v>1885</v>
      </c>
      <c r="Y933" t="s">
        <v>10429</v>
      </c>
      <c r="Z933" t="s">
        <v>10430</v>
      </c>
      <c r="AA933" t="s">
        <v>72</v>
      </c>
      <c r="AB933" t="s">
        <v>10431</v>
      </c>
      <c r="AC933" t="s">
        <v>10432</v>
      </c>
      <c r="AD933" t="s">
        <v>10433</v>
      </c>
      <c r="AE933" t="s">
        <v>10434</v>
      </c>
      <c r="AF933" t="s">
        <v>72</v>
      </c>
      <c r="AG933">
        <v>69</v>
      </c>
      <c r="AH933">
        <v>2</v>
      </c>
      <c r="AI933">
        <v>2</v>
      </c>
      <c r="AJ933">
        <v>0</v>
      </c>
      <c r="AK933">
        <v>9</v>
      </c>
      <c r="AL933" t="s">
        <v>1260</v>
      </c>
      <c r="AM933" t="s">
        <v>964</v>
      </c>
      <c r="AN933" t="s">
        <v>965</v>
      </c>
      <c r="AO933" t="s">
        <v>10435</v>
      </c>
      <c r="AP933" t="s">
        <v>10436</v>
      </c>
      <c r="AQ933" t="s">
        <v>72</v>
      </c>
      <c r="AR933" t="s">
        <v>10437</v>
      </c>
      <c r="AS933" t="s">
        <v>10438</v>
      </c>
      <c r="AT933" t="s">
        <v>555</v>
      </c>
      <c r="AU933">
        <v>2021</v>
      </c>
      <c r="AV933">
        <v>72</v>
      </c>
      <c r="AW933">
        <v>2</v>
      </c>
      <c r="AX933" t="s">
        <v>72</v>
      </c>
      <c r="AY933" t="s">
        <v>72</v>
      </c>
      <c r="AZ933" t="s">
        <v>72</v>
      </c>
      <c r="BA933" t="s">
        <v>72</v>
      </c>
      <c r="BB933">
        <v>360</v>
      </c>
      <c r="BC933">
        <v>378</v>
      </c>
      <c r="BD933" t="s">
        <v>72</v>
      </c>
      <c r="BE933" t="s">
        <v>10439</v>
      </c>
      <c r="BF933" t="str">
        <f>HYPERLINK("http://dx.doi.org/10.1111/1468-4446.12816","http://dx.doi.org/10.1111/1468-4446.12816")</f>
        <v>http://dx.doi.org/10.1111/1468-4446.12816</v>
      </c>
      <c r="BG933" t="s">
        <v>72</v>
      </c>
      <c r="BH933" t="s">
        <v>3201</v>
      </c>
      <c r="BI933">
        <v>19</v>
      </c>
      <c r="BJ933" t="s">
        <v>6246</v>
      </c>
      <c r="BK933" t="s">
        <v>6246</v>
      </c>
      <c r="BL933" t="s">
        <v>10440</v>
      </c>
      <c r="BM933">
        <v>33421105</v>
      </c>
      <c r="BN933" t="s">
        <v>346</v>
      </c>
      <c r="BO933" t="s">
        <v>72</v>
      </c>
      <c r="BP933" t="s">
        <v>72</v>
      </c>
      <c r="BQ933" t="s">
        <v>100</v>
      </c>
      <c r="BR933" t="s">
        <v>10441</v>
      </c>
      <c r="BS933" t="str">
        <f>HYPERLINK("https%3A%2F%2Fwww.webofscience.com%2Fwos%2Fwoscc%2Ffull-record%2FWOS:000605998700001","View Full Record in Web of Science")</f>
        <v>View Full Record in Web of Science</v>
      </c>
    </row>
    <row r="934" spans="1:71" hidden="1" x14ac:dyDescent="0.2">
      <c r="A934" t="s">
        <v>715</v>
      </c>
      <c r="B934" t="s">
        <v>630</v>
      </c>
      <c r="C934" t="s">
        <v>72</v>
      </c>
      <c r="D934" t="s">
        <v>10976</v>
      </c>
      <c r="E934" t="s">
        <v>72</v>
      </c>
      <c r="F934" t="s">
        <v>630</v>
      </c>
      <c r="G934" t="s">
        <v>72</v>
      </c>
      <c r="H934" t="s">
        <v>72</v>
      </c>
      <c r="I934" t="s">
        <v>10977</v>
      </c>
      <c r="J934" t="s">
        <v>10978</v>
      </c>
      <c r="K934" t="s">
        <v>721</v>
      </c>
      <c r="L934" t="s">
        <v>72</v>
      </c>
      <c r="M934" t="s">
        <v>76</v>
      </c>
      <c r="N934" t="s">
        <v>77</v>
      </c>
      <c r="O934" t="s">
        <v>72</v>
      </c>
      <c r="P934" t="s">
        <v>72</v>
      </c>
      <c r="Q934" t="s">
        <v>72</v>
      </c>
      <c r="R934" t="s">
        <v>72</v>
      </c>
      <c r="S934" t="s">
        <v>72</v>
      </c>
      <c r="T934" t="s">
        <v>72</v>
      </c>
      <c r="U934" t="s">
        <v>3508</v>
      </c>
      <c r="V934" t="s">
        <v>10979</v>
      </c>
      <c r="W934" t="s">
        <v>72</v>
      </c>
      <c r="X934" t="s">
        <v>72</v>
      </c>
      <c r="Y934" t="s">
        <v>10980</v>
      </c>
      <c r="Z934" t="s">
        <v>72</v>
      </c>
      <c r="AA934" t="s">
        <v>72</v>
      </c>
      <c r="AB934" t="s">
        <v>72</v>
      </c>
      <c r="AC934" t="s">
        <v>72</v>
      </c>
      <c r="AD934" t="s">
        <v>72</v>
      </c>
      <c r="AE934" t="s">
        <v>72</v>
      </c>
      <c r="AF934" t="s">
        <v>72</v>
      </c>
      <c r="AG934">
        <v>45</v>
      </c>
      <c r="AH934">
        <v>10</v>
      </c>
      <c r="AI934">
        <v>11</v>
      </c>
      <c r="AJ934">
        <v>0</v>
      </c>
      <c r="AK934">
        <v>2</v>
      </c>
      <c r="AL934" t="s">
        <v>10981</v>
      </c>
      <c r="AM934" t="s">
        <v>2805</v>
      </c>
      <c r="AN934" t="s">
        <v>10982</v>
      </c>
      <c r="AO934" t="s">
        <v>729</v>
      </c>
      <c r="AP934" t="s">
        <v>72</v>
      </c>
      <c r="AQ934" t="s">
        <v>10983</v>
      </c>
      <c r="AR934" t="s">
        <v>731</v>
      </c>
      <c r="AS934" t="s">
        <v>732</v>
      </c>
      <c r="AT934" t="s">
        <v>72</v>
      </c>
      <c r="AU934">
        <v>1997</v>
      </c>
      <c r="AV934">
        <v>27</v>
      </c>
      <c r="AW934" t="s">
        <v>72</v>
      </c>
      <c r="AX934" t="s">
        <v>72</v>
      </c>
      <c r="AY934" t="s">
        <v>72</v>
      </c>
      <c r="AZ934" t="s">
        <v>72</v>
      </c>
      <c r="BA934" t="s">
        <v>72</v>
      </c>
      <c r="BB934">
        <v>89</v>
      </c>
      <c r="BC934">
        <v>129</v>
      </c>
      <c r="BD934" t="s">
        <v>72</v>
      </c>
      <c r="BE934" t="s">
        <v>10984</v>
      </c>
      <c r="BF934" t="str">
        <f>HYPERLINK("http://dx.doi.org/10.1111/1467-9531.271020","http://dx.doi.org/10.1111/1467-9531.271020")</f>
        <v>http://dx.doi.org/10.1111/1467-9531.271020</v>
      </c>
      <c r="BG934" t="s">
        <v>72</v>
      </c>
      <c r="BH934" t="s">
        <v>72</v>
      </c>
      <c r="BI934">
        <v>41</v>
      </c>
      <c r="BJ934" t="s">
        <v>6246</v>
      </c>
      <c r="BK934" t="s">
        <v>6246</v>
      </c>
      <c r="BL934" t="s">
        <v>10985</v>
      </c>
      <c r="BM934" t="s">
        <v>72</v>
      </c>
      <c r="BN934" t="s">
        <v>72</v>
      </c>
      <c r="BO934" t="s">
        <v>72</v>
      </c>
      <c r="BP934" t="s">
        <v>72</v>
      </c>
      <c r="BQ934" t="s">
        <v>100</v>
      </c>
      <c r="BR934" t="s">
        <v>10986</v>
      </c>
      <c r="BS934" t="str">
        <f>HYPERLINK("https%3A%2F%2Fwww.webofscience.com%2Fwos%2Fwoscc%2Ffull-record%2FWOS:A1997BJ45J00003","View Full Record in Web of Science")</f>
        <v>View Full Record in Web of Science</v>
      </c>
    </row>
    <row r="935" spans="1:71" hidden="1" x14ac:dyDescent="0.2">
      <c r="A935" t="s">
        <v>70</v>
      </c>
      <c r="B935" t="s">
        <v>11599</v>
      </c>
      <c r="C935" t="s">
        <v>72</v>
      </c>
      <c r="D935" t="s">
        <v>72</v>
      </c>
      <c r="E935" t="s">
        <v>72</v>
      </c>
      <c r="F935" t="s">
        <v>11600</v>
      </c>
      <c r="G935" t="s">
        <v>72</v>
      </c>
      <c r="H935" t="s">
        <v>72</v>
      </c>
      <c r="I935" t="s">
        <v>11601</v>
      </c>
      <c r="J935" t="s">
        <v>11602</v>
      </c>
      <c r="K935" t="s">
        <v>72</v>
      </c>
      <c r="L935" t="s">
        <v>72</v>
      </c>
      <c r="M935" t="s">
        <v>76</v>
      </c>
      <c r="N935" t="s">
        <v>77</v>
      </c>
      <c r="O935" t="s">
        <v>72</v>
      </c>
      <c r="P935" t="s">
        <v>72</v>
      </c>
      <c r="Q935" t="s">
        <v>72</v>
      </c>
      <c r="R935" t="s">
        <v>72</v>
      </c>
      <c r="S935" t="s">
        <v>72</v>
      </c>
      <c r="T935" t="s">
        <v>72</v>
      </c>
      <c r="U935" t="s">
        <v>11603</v>
      </c>
      <c r="V935" t="s">
        <v>11604</v>
      </c>
      <c r="W935" t="s">
        <v>11605</v>
      </c>
      <c r="X935" t="s">
        <v>9668</v>
      </c>
      <c r="Y935" t="s">
        <v>11606</v>
      </c>
      <c r="Z935" t="s">
        <v>11607</v>
      </c>
      <c r="AA935" t="s">
        <v>11608</v>
      </c>
      <c r="AB935" t="s">
        <v>11609</v>
      </c>
      <c r="AC935" t="s">
        <v>11610</v>
      </c>
      <c r="AD935" t="s">
        <v>11610</v>
      </c>
      <c r="AE935" t="s">
        <v>11611</v>
      </c>
      <c r="AF935" t="s">
        <v>72</v>
      </c>
      <c r="AG935">
        <v>59</v>
      </c>
      <c r="AH935">
        <v>134</v>
      </c>
      <c r="AI935">
        <v>136</v>
      </c>
      <c r="AJ935">
        <v>8</v>
      </c>
      <c r="AK935">
        <v>64</v>
      </c>
      <c r="AL935" t="s">
        <v>142</v>
      </c>
      <c r="AM935" t="s">
        <v>143</v>
      </c>
      <c r="AN935" t="s">
        <v>144</v>
      </c>
      <c r="AO935" t="s">
        <v>11612</v>
      </c>
      <c r="AP935" t="s">
        <v>11613</v>
      </c>
      <c r="AQ935" t="s">
        <v>72</v>
      </c>
      <c r="AR935" t="s">
        <v>11614</v>
      </c>
      <c r="AS935" t="s">
        <v>11615</v>
      </c>
      <c r="AT935" t="s">
        <v>299</v>
      </c>
      <c r="AU935">
        <v>2016</v>
      </c>
      <c r="AV935">
        <v>94</v>
      </c>
      <c r="AW935">
        <v>4</v>
      </c>
      <c r="AX935" t="s">
        <v>72</v>
      </c>
      <c r="AY935" t="s">
        <v>72</v>
      </c>
      <c r="AZ935" t="s">
        <v>72</v>
      </c>
      <c r="BA935" t="s">
        <v>72</v>
      </c>
      <c r="BB935">
        <v>1593</v>
      </c>
      <c r="BC935">
        <v>1621</v>
      </c>
      <c r="BD935" t="s">
        <v>72</v>
      </c>
      <c r="BE935" t="s">
        <v>11616</v>
      </c>
      <c r="BF935" t="str">
        <f>HYPERLINK("http://dx.doi.org/10.1093/sf/sov120","http://dx.doi.org/10.1093/sf/sov120")</f>
        <v>http://dx.doi.org/10.1093/sf/sov120</v>
      </c>
      <c r="BG935" t="s">
        <v>72</v>
      </c>
      <c r="BH935" t="s">
        <v>72</v>
      </c>
      <c r="BI935">
        <v>29</v>
      </c>
      <c r="BJ935" t="s">
        <v>6246</v>
      </c>
      <c r="BK935" t="s">
        <v>6246</v>
      </c>
      <c r="BL935" t="s">
        <v>11617</v>
      </c>
      <c r="BM935" t="s">
        <v>72</v>
      </c>
      <c r="BN935" t="s">
        <v>72</v>
      </c>
      <c r="BO935" t="s">
        <v>72</v>
      </c>
      <c r="BP935" t="s">
        <v>72</v>
      </c>
      <c r="BQ935" t="s">
        <v>100</v>
      </c>
      <c r="BR935" t="s">
        <v>11618</v>
      </c>
      <c r="BS935" t="str">
        <f>HYPERLINK("https%3A%2F%2Fwww.webofscience.com%2Fwos%2Fwoscc%2Ffull-record%2FWOS:000377430900037","View Full Record in Web of Science")</f>
        <v>View Full Record in Web of Science</v>
      </c>
    </row>
    <row r="936" spans="1:71" hidden="1" x14ac:dyDescent="0.2">
      <c r="A936" t="s">
        <v>70</v>
      </c>
      <c r="B936" t="s">
        <v>11772</v>
      </c>
      <c r="C936" t="s">
        <v>72</v>
      </c>
      <c r="D936" t="s">
        <v>72</v>
      </c>
      <c r="E936" t="s">
        <v>72</v>
      </c>
      <c r="F936" t="s">
        <v>11773</v>
      </c>
      <c r="G936" t="s">
        <v>72</v>
      </c>
      <c r="H936" t="s">
        <v>72</v>
      </c>
      <c r="I936" t="s">
        <v>11774</v>
      </c>
      <c r="J936" t="s">
        <v>11602</v>
      </c>
      <c r="K936" t="s">
        <v>72</v>
      </c>
      <c r="L936" t="s">
        <v>72</v>
      </c>
      <c r="M936" t="s">
        <v>76</v>
      </c>
      <c r="N936" t="s">
        <v>77</v>
      </c>
      <c r="O936" t="s">
        <v>72</v>
      </c>
      <c r="P936" t="s">
        <v>72</v>
      </c>
      <c r="Q936" t="s">
        <v>72</v>
      </c>
      <c r="R936" t="s">
        <v>72</v>
      </c>
      <c r="S936" t="s">
        <v>72</v>
      </c>
      <c r="T936" t="s">
        <v>72</v>
      </c>
      <c r="U936" t="s">
        <v>11775</v>
      </c>
      <c r="V936" t="s">
        <v>11776</v>
      </c>
      <c r="W936" t="s">
        <v>11777</v>
      </c>
      <c r="X936" t="s">
        <v>11778</v>
      </c>
      <c r="Y936" t="s">
        <v>11779</v>
      </c>
      <c r="Z936" t="s">
        <v>11780</v>
      </c>
      <c r="AA936" t="s">
        <v>72</v>
      </c>
      <c r="AB936" t="s">
        <v>72</v>
      </c>
      <c r="AC936" t="s">
        <v>72</v>
      </c>
      <c r="AD936" t="s">
        <v>72</v>
      </c>
      <c r="AE936" t="s">
        <v>72</v>
      </c>
      <c r="AF936" t="s">
        <v>72</v>
      </c>
      <c r="AG936">
        <v>75</v>
      </c>
      <c r="AH936">
        <v>15</v>
      </c>
      <c r="AI936">
        <v>15</v>
      </c>
      <c r="AJ936">
        <v>2</v>
      </c>
      <c r="AK936">
        <v>21</v>
      </c>
      <c r="AL936" t="s">
        <v>142</v>
      </c>
      <c r="AM936" t="s">
        <v>143</v>
      </c>
      <c r="AN936" t="s">
        <v>144</v>
      </c>
      <c r="AO936" t="s">
        <v>11612</v>
      </c>
      <c r="AP936" t="s">
        <v>11613</v>
      </c>
      <c r="AQ936" t="s">
        <v>72</v>
      </c>
      <c r="AR936" t="s">
        <v>11614</v>
      </c>
      <c r="AS936" t="s">
        <v>11615</v>
      </c>
      <c r="AT936" t="s">
        <v>555</v>
      </c>
      <c r="AU936">
        <v>2020</v>
      </c>
      <c r="AV936">
        <v>98</v>
      </c>
      <c r="AW936">
        <v>3</v>
      </c>
      <c r="AX936" t="s">
        <v>72</v>
      </c>
      <c r="AY936" t="s">
        <v>72</v>
      </c>
      <c r="AZ936" t="s">
        <v>72</v>
      </c>
      <c r="BA936" t="s">
        <v>72</v>
      </c>
      <c r="BB936">
        <v>1339</v>
      </c>
      <c r="BC936">
        <v>1369</v>
      </c>
      <c r="BD936" t="s">
        <v>72</v>
      </c>
      <c r="BE936" t="s">
        <v>11781</v>
      </c>
      <c r="BF936" t="str">
        <f>HYPERLINK("http://dx.doi.org/10.1093/sf/soz027","http://dx.doi.org/10.1093/sf/soz027")</f>
        <v>http://dx.doi.org/10.1093/sf/soz027</v>
      </c>
      <c r="BG936" t="s">
        <v>72</v>
      </c>
      <c r="BH936" t="s">
        <v>72</v>
      </c>
      <c r="BI936">
        <v>31</v>
      </c>
      <c r="BJ936" t="s">
        <v>6246</v>
      </c>
      <c r="BK936" t="s">
        <v>6246</v>
      </c>
      <c r="BL936" t="s">
        <v>11782</v>
      </c>
      <c r="BM936" t="s">
        <v>72</v>
      </c>
      <c r="BN936" t="s">
        <v>72</v>
      </c>
      <c r="BO936" t="s">
        <v>72</v>
      </c>
      <c r="BP936" t="s">
        <v>72</v>
      </c>
      <c r="BQ936" t="s">
        <v>100</v>
      </c>
      <c r="BR936" t="s">
        <v>11783</v>
      </c>
      <c r="BS936" t="str">
        <f>HYPERLINK("https%3A%2F%2Fwww.webofscience.com%2Fwos%2Fwoscc%2Ffull-record%2FWOS:000518533200015","View Full Record in Web of Science")</f>
        <v>View Full Record in Web of Science</v>
      </c>
    </row>
    <row r="937" spans="1:71" hidden="1" x14ac:dyDescent="0.2">
      <c r="A937" t="s">
        <v>70</v>
      </c>
      <c r="B937" t="s">
        <v>12804</v>
      </c>
      <c r="C937" t="s">
        <v>72</v>
      </c>
      <c r="D937" t="s">
        <v>72</v>
      </c>
      <c r="E937" t="s">
        <v>72</v>
      </c>
      <c r="F937" t="s">
        <v>12805</v>
      </c>
      <c r="G937" t="s">
        <v>72</v>
      </c>
      <c r="H937" t="s">
        <v>72</v>
      </c>
      <c r="I937" t="s">
        <v>12806</v>
      </c>
      <c r="J937" t="s">
        <v>10243</v>
      </c>
      <c r="K937" t="s">
        <v>72</v>
      </c>
      <c r="L937" t="s">
        <v>72</v>
      </c>
      <c r="M937" t="s">
        <v>76</v>
      </c>
      <c r="N937" t="s">
        <v>77</v>
      </c>
      <c r="O937" t="s">
        <v>72</v>
      </c>
      <c r="P937" t="s">
        <v>72</v>
      </c>
      <c r="Q937" t="s">
        <v>72</v>
      </c>
      <c r="R937" t="s">
        <v>72</v>
      </c>
      <c r="S937" t="s">
        <v>72</v>
      </c>
      <c r="T937" t="s">
        <v>12807</v>
      </c>
      <c r="U937" t="s">
        <v>12808</v>
      </c>
      <c r="V937" t="s">
        <v>12809</v>
      </c>
      <c r="W937" t="s">
        <v>12810</v>
      </c>
      <c r="X937" t="s">
        <v>12811</v>
      </c>
      <c r="Y937" t="s">
        <v>12812</v>
      </c>
      <c r="Z937" t="s">
        <v>12813</v>
      </c>
      <c r="AA937" t="s">
        <v>12814</v>
      </c>
      <c r="AB937" t="s">
        <v>12815</v>
      </c>
      <c r="AC937" t="s">
        <v>12816</v>
      </c>
      <c r="AD937" t="s">
        <v>12817</v>
      </c>
      <c r="AE937" t="s">
        <v>12818</v>
      </c>
      <c r="AF937" t="s">
        <v>72</v>
      </c>
      <c r="AG937">
        <v>58</v>
      </c>
      <c r="AH937">
        <v>3</v>
      </c>
      <c r="AI937">
        <v>3</v>
      </c>
      <c r="AJ937">
        <v>2</v>
      </c>
      <c r="AK937">
        <v>5</v>
      </c>
      <c r="AL937" t="s">
        <v>901</v>
      </c>
      <c r="AM937" t="s">
        <v>902</v>
      </c>
      <c r="AN937" t="s">
        <v>903</v>
      </c>
      <c r="AO937" t="s">
        <v>72</v>
      </c>
      <c r="AP937" t="s">
        <v>10251</v>
      </c>
      <c r="AQ937" t="s">
        <v>72</v>
      </c>
      <c r="AR937" t="s">
        <v>10252</v>
      </c>
      <c r="AS937" t="s">
        <v>10253</v>
      </c>
      <c r="AT937" t="s">
        <v>12819</v>
      </c>
      <c r="AU937">
        <v>2022</v>
      </c>
      <c r="AV937">
        <v>6</v>
      </c>
      <c r="AW937" t="s">
        <v>72</v>
      </c>
      <c r="AX937" t="s">
        <v>72</v>
      </c>
      <c r="AY937" t="s">
        <v>72</v>
      </c>
      <c r="AZ937" t="s">
        <v>72</v>
      </c>
      <c r="BA937" t="s">
        <v>72</v>
      </c>
      <c r="BB937" t="s">
        <v>72</v>
      </c>
      <c r="BC937" t="s">
        <v>72</v>
      </c>
      <c r="BD937">
        <v>785201</v>
      </c>
      <c r="BE937" t="s">
        <v>12820</v>
      </c>
      <c r="BF937" t="str">
        <f>HYPERLINK("http://dx.doi.org/10.3389/fsoc.2021.785201","http://dx.doi.org/10.3389/fsoc.2021.785201")</f>
        <v>http://dx.doi.org/10.3389/fsoc.2021.785201</v>
      </c>
      <c r="BG937" t="s">
        <v>72</v>
      </c>
      <c r="BH937" t="s">
        <v>72</v>
      </c>
      <c r="BI937">
        <v>14</v>
      </c>
      <c r="BJ937" t="s">
        <v>6246</v>
      </c>
      <c r="BK937" t="s">
        <v>6246</v>
      </c>
      <c r="BL937" t="s">
        <v>12821</v>
      </c>
      <c r="BM937">
        <v>35087905</v>
      </c>
      <c r="BN937" t="s">
        <v>910</v>
      </c>
      <c r="BO937" t="s">
        <v>72</v>
      </c>
      <c r="BP937" t="s">
        <v>72</v>
      </c>
      <c r="BQ937" t="s">
        <v>100</v>
      </c>
      <c r="BR937" t="s">
        <v>12822</v>
      </c>
      <c r="BS937" t="str">
        <f>HYPERLINK("https%3A%2F%2Fwww.webofscience.com%2Fwos%2Fwoscc%2Ffull-record%2FWOS:000748014200001","View Full Record in Web of Science")</f>
        <v>View Full Record in Web of Science</v>
      </c>
    </row>
    <row r="938" spans="1:71" hidden="1" x14ac:dyDescent="0.2">
      <c r="A938" t="s">
        <v>70</v>
      </c>
      <c r="B938" t="s">
        <v>13933</v>
      </c>
      <c r="C938" t="s">
        <v>72</v>
      </c>
      <c r="D938" t="s">
        <v>72</v>
      </c>
      <c r="E938" t="s">
        <v>72</v>
      </c>
      <c r="F938" t="s">
        <v>13934</v>
      </c>
      <c r="G938" t="s">
        <v>72</v>
      </c>
      <c r="H938" t="s">
        <v>72</v>
      </c>
      <c r="I938" t="s">
        <v>13935</v>
      </c>
      <c r="J938" t="s">
        <v>6231</v>
      </c>
      <c r="K938" t="s">
        <v>72</v>
      </c>
      <c r="L938" t="s">
        <v>72</v>
      </c>
      <c r="M938" t="s">
        <v>76</v>
      </c>
      <c r="N938" t="s">
        <v>77</v>
      </c>
      <c r="O938" t="s">
        <v>72</v>
      </c>
      <c r="P938" t="s">
        <v>72</v>
      </c>
      <c r="Q938" t="s">
        <v>72</v>
      </c>
      <c r="R938" t="s">
        <v>72</v>
      </c>
      <c r="S938" t="s">
        <v>72</v>
      </c>
      <c r="T938" t="s">
        <v>13936</v>
      </c>
      <c r="U938" t="s">
        <v>72</v>
      </c>
      <c r="V938" t="s">
        <v>13937</v>
      </c>
      <c r="W938" t="s">
        <v>13938</v>
      </c>
      <c r="X938" t="s">
        <v>13939</v>
      </c>
      <c r="Y938" t="s">
        <v>13940</v>
      </c>
      <c r="Z938" t="s">
        <v>13941</v>
      </c>
      <c r="AA938" t="s">
        <v>72</v>
      </c>
      <c r="AB938" t="s">
        <v>72</v>
      </c>
      <c r="AC938" t="s">
        <v>72</v>
      </c>
      <c r="AD938" t="s">
        <v>72</v>
      </c>
      <c r="AE938" t="s">
        <v>72</v>
      </c>
      <c r="AF938" t="s">
        <v>72</v>
      </c>
      <c r="AG938">
        <v>37</v>
      </c>
      <c r="AH938">
        <v>57</v>
      </c>
      <c r="AI938">
        <v>57</v>
      </c>
      <c r="AJ938">
        <v>0</v>
      </c>
      <c r="AK938">
        <v>13</v>
      </c>
      <c r="AL938" t="s">
        <v>336</v>
      </c>
      <c r="AM938" t="s">
        <v>337</v>
      </c>
      <c r="AN938" t="s">
        <v>338</v>
      </c>
      <c r="AO938" t="s">
        <v>6241</v>
      </c>
      <c r="AP938" t="s">
        <v>6242</v>
      </c>
      <c r="AQ938" t="s">
        <v>72</v>
      </c>
      <c r="AR938" t="s">
        <v>6243</v>
      </c>
      <c r="AS938" t="s">
        <v>6244</v>
      </c>
      <c r="AT938" t="s">
        <v>639</v>
      </c>
      <c r="AU938">
        <v>2009</v>
      </c>
      <c r="AV938">
        <v>43</v>
      </c>
      <c r="AW938">
        <v>4</v>
      </c>
      <c r="AX938" t="s">
        <v>72</v>
      </c>
      <c r="AY938" t="s">
        <v>72</v>
      </c>
      <c r="AZ938" t="s">
        <v>72</v>
      </c>
      <c r="BA938" t="s">
        <v>72</v>
      </c>
      <c r="BB938">
        <v>685</v>
      </c>
      <c r="BC938">
        <v>698</v>
      </c>
      <c r="BD938" t="s">
        <v>72</v>
      </c>
      <c r="BE938" t="s">
        <v>13942</v>
      </c>
      <c r="BF938" t="str">
        <f>HYPERLINK("http://dx.doi.org/10.1177/0038038509105415","http://dx.doi.org/10.1177/0038038509105415")</f>
        <v>http://dx.doi.org/10.1177/0038038509105415</v>
      </c>
      <c r="BG938" t="s">
        <v>72</v>
      </c>
      <c r="BH938" t="s">
        <v>72</v>
      </c>
      <c r="BI938">
        <v>14</v>
      </c>
      <c r="BJ938" t="s">
        <v>6246</v>
      </c>
      <c r="BK938" t="s">
        <v>6246</v>
      </c>
      <c r="BL938" t="s">
        <v>13943</v>
      </c>
      <c r="BM938" t="s">
        <v>72</v>
      </c>
      <c r="BN938" t="s">
        <v>72</v>
      </c>
      <c r="BO938" t="s">
        <v>72</v>
      </c>
      <c r="BP938" t="s">
        <v>72</v>
      </c>
      <c r="BQ938" t="s">
        <v>100</v>
      </c>
      <c r="BR938" t="s">
        <v>13944</v>
      </c>
      <c r="BS938" t="str">
        <f>HYPERLINK("https%3A%2F%2Fwww.webofscience.com%2Fwos%2Fwoscc%2Ffull-record%2FWOS:000268681300005","View Full Record in Web of Science")</f>
        <v>View Full Record in Web of Science</v>
      </c>
    </row>
    <row r="939" spans="1:71" hidden="1" x14ac:dyDescent="0.2">
      <c r="A939" t="s">
        <v>70</v>
      </c>
      <c r="B939" t="s">
        <v>738</v>
      </c>
      <c r="C939" t="s">
        <v>72</v>
      </c>
      <c r="D939" t="s">
        <v>72</v>
      </c>
      <c r="E939" t="s">
        <v>72</v>
      </c>
      <c r="F939" t="s">
        <v>739</v>
      </c>
      <c r="G939" t="s">
        <v>72</v>
      </c>
      <c r="H939" t="s">
        <v>72</v>
      </c>
      <c r="I939" t="s">
        <v>740</v>
      </c>
      <c r="J939" t="s">
        <v>741</v>
      </c>
      <c r="K939" t="s">
        <v>72</v>
      </c>
      <c r="L939" t="s">
        <v>72</v>
      </c>
      <c r="M939" t="s">
        <v>76</v>
      </c>
      <c r="N939" t="s">
        <v>77</v>
      </c>
      <c r="O939" t="s">
        <v>72</v>
      </c>
      <c r="P939" t="s">
        <v>72</v>
      </c>
      <c r="Q939" t="s">
        <v>72</v>
      </c>
      <c r="R939" t="s">
        <v>72</v>
      </c>
      <c r="S939" t="s">
        <v>72</v>
      </c>
      <c r="T939" t="s">
        <v>742</v>
      </c>
      <c r="U939" t="s">
        <v>743</v>
      </c>
      <c r="V939" t="s">
        <v>744</v>
      </c>
      <c r="W939" t="s">
        <v>745</v>
      </c>
      <c r="X939" t="s">
        <v>72</v>
      </c>
      <c r="Y939" t="s">
        <v>746</v>
      </c>
      <c r="Z939" t="s">
        <v>747</v>
      </c>
      <c r="AA939" t="s">
        <v>72</v>
      </c>
      <c r="AB939" t="s">
        <v>72</v>
      </c>
      <c r="AC939" t="s">
        <v>72</v>
      </c>
      <c r="AD939" t="s">
        <v>72</v>
      </c>
      <c r="AE939" t="s">
        <v>72</v>
      </c>
      <c r="AF939" t="s">
        <v>72</v>
      </c>
      <c r="AG939">
        <v>48</v>
      </c>
      <c r="AH939">
        <v>11</v>
      </c>
      <c r="AI939">
        <v>11</v>
      </c>
      <c r="AJ939">
        <v>0</v>
      </c>
      <c r="AK939">
        <v>13</v>
      </c>
      <c r="AL939" t="s">
        <v>364</v>
      </c>
      <c r="AM939" t="s">
        <v>365</v>
      </c>
      <c r="AN939" t="s">
        <v>366</v>
      </c>
      <c r="AO939" t="s">
        <v>748</v>
      </c>
      <c r="AP939" t="s">
        <v>749</v>
      </c>
      <c r="AQ939" t="s">
        <v>72</v>
      </c>
      <c r="AR939" t="s">
        <v>750</v>
      </c>
      <c r="AS939" t="s">
        <v>751</v>
      </c>
      <c r="AT939" t="s">
        <v>149</v>
      </c>
      <c r="AU939">
        <v>2015</v>
      </c>
      <c r="AV939">
        <v>15</v>
      </c>
      <c r="AW939">
        <v>1</v>
      </c>
      <c r="AX939" t="s">
        <v>72</v>
      </c>
      <c r="AY939" t="s">
        <v>72</v>
      </c>
      <c r="AZ939" t="s">
        <v>72</v>
      </c>
      <c r="BA939" t="s">
        <v>72</v>
      </c>
      <c r="BB939">
        <v>23</v>
      </c>
      <c r="BC939">
        <v>38</v>
      </c>
      <c r="BD939" t="s">
        <v>72</v>
      </c>
      <c r="BE939" t="s">
        <v>752</v>
      </c>
      <c r="BF939" t="str">
        <f>HYPERLINK("http://dx.doi.org/10.1080/14459795.2014.980297","http://dx.doi.org/10.1080/14459795.2014.980297")</f>
        <v>http://dx.doi.org/10.1080/14459795.2014.980297</v>
      </c>
      <c r="BG939" t="s">
        <v>72</v>
      </c>
      <c r="BH939" t="s">
        <v>72</v>
      </c>
      <c r="BI939">
        <v>16</v>
      </c>
      <c r="BJ939" t="s">
        <v>753</v>
      </c>
      <c r="BK939" t="s">
        <v>753</v>
      </c>
      <c r="BL939" t="s">
        <v>754</v>
      </c>
      <c r="BM939" t="s">
        <v>72</v>
      </c>
      <c r="BN939" t="s">
        <v>72</v>
      </c>
      <c r="BO939" t="s">
        <v>72</v>
      </c>
      <c r="BP939" t="s">
        <v>72</v>
      </c>
      <c r="BQ939" t="s">
        <v>100</v>
      </c>
      <c r="BR939" t="s">
        <v>755</v>
      </c>
      <c r="BS939" t="str">
        <f>HYPERLINK("https%3A%2F%2Fwww.webofscience.com%2Fwos%2Fwoscc%2Ffull-record%2FWOS:000353171700008","View Full Record in Web of Science")</f>
        <v>View Full Record in Web of Science</v>
      </c>
    </row>
    <row r="940" spans="1:71" hidden="1" x14ac:dyDescent="0.2">
      <c r="A940" t="s">
        <v>70</v>
      </c>
      <c r="B940" t="s">
        <v>2303</v>
      </c>
      <c r="C940" t="s">
        <v>72</v>
      </c>
      <c r="D940" t="s">
        <v>72</v>
      </c>
      <c r="E940" t="s">
        <v>72</v>
      </c>
      <c r="F940" t="s">
        <v>2304</v>
      </c>
      <c r="G940" t="s">
        <v>72</v>
      </c>
      <c r="H940" t="s">
        <v>72</v>
      </c>
      <c r="I940" t="s">
        <v>2305</v>
      </c>
      <c r="J940" t="s">
        <v>2306</v>
      </c>
      <c r="K940" t="s">
        <v>72</v>
      </c>
      <c r="L940" t="s">
        <v>72</v>
      </c>
      <c r="M940" t="s">
        <v>76</v>
      </c>
      <c r="N940" t="s">
        <v>77</v>
      </c>
      <c r="O940" t="s">
        <v>72</v>
      </c>
      <c r="P940" t="s">
        <v>72</v>
      </c>
      <c r="Q940" t="s">
        <v>72</v>
      </c>
      <c r="R940" t="s">
        <v>72</v>
      </c>
      <c r="S940" t="s">
        <v>72</v>
      </c>
      <c r="T940" t="s">
        <v>2307</v>
      </c>
      <c r="U940" t="s">
        <v>2308</v>
      </c>
      <c r="V940" t="s">
        <v>2309</v>
      </c>
      <c r="W940" t="s">
        <v>2310</v>
      </c>
      <c r="X940" t="s">
        <v>2311</v>
      </c>
      <c r="Y940" t="s">
        <v>2312</v>
      </c>
      <c r="Z940" t="s">
        <v>2313</v>
      </c>
      <c r="AA940" t="s">
        <v>2314</v>
      </c>
      <c r="AB940" t="s">
        <v>2315</v>
      </c>
      <c r="AC940" t="s">
        <v>72</v>
      </c>
      <c r="AD940" t="s">
        <v>72</v>
      </c>
      <c r="AE940" t="s">
        <v>72</v>
      </c>
      <c r="AF940" t="s">
        <v>72</v>
      </c>
      <c r="AG940">
        <v>58</v>
      </c>
      <c r="AH940">
        <v>2</v>
      </c>
      <c r="AI940">
        <v>2</v>
      </c>
      <c r="AJ940">
        <v>0</v>
      </c>
      <c r="AK940">
        <v>0</v>
      </c>
      <c r="AL940" t="s">
        <v>2316</v>
      </c>
      <c r="AM940" t="s">
        <v>2317</v>
      </c>
      <c r="AN940" t="s">
        <v>2318</v>
      </c>
      <c r="AO940" t="s">
        <v>2319</v>
      </c>
      <c r="AP940" t="s">
        <v>72</v>
      </c>
      <c r="AQ940" t="s">
        <v>72</v>
      </c>
      <c r="AR940" t="s">
        <v>2320</v>
      </c>
      <c r="AS940" t="s">
        <v>2321</v>
      </c>
      <c r="AT940" t="s">
        <v>2322</v>
      </c>
      <c r="AU940">
        <v>2021</v>
      </c>
      <c r="AV940">
        <v>47</v>
      </c>
      <c r="AW940" t="s">
        <v>72</v>
      </c>
      <c r="AX940" t="s">
        <v>72</v>
      </c>
      <c r="AY940" t="s">
        <v>72</v>
      </c>
      <c r="AZ940" t="s">
        <v>72</v>
      </c>
      <c r="BA940" t="s">
        <v>72</v>
      </c>
      <c r="BB940">
        <v>121</v>
      </c>
      <c r="BC940">
        <v>142</v>
      </c>
      <c r="BD940" t="s">
        <v>72</v>
      </c>
      <c r="BE940" t="s">
        <v>2323</v>
      </c>
      <c r="BF940" t="str">
        <f>HYPERLINK("http://dx.doi.org/10.4309/jgi.2021.47.5","http://dx.doi.org/10.4309/jgi.2021.47.5")</f>
        <v>http://dx.doi.org/10.4309/jgi.2021.47.5</v>
      </c>
      <c r="BG940" t="s">
        <v>72</v>
      </c>
      <c r="BH940" t="s">
        <v>72</v>
      </c>
      <c r="BI940">
        <v>22</v>
      </c>
      <c r="BJ940" t="s">
        <v>753</v>
      </c>
      <c r="BK940" t="s">
        <v>753</v>
      </c>
      <c r="BL940" t="s">
        <v>2324</v>
      </c>
      <c r="BM940" t="s">
        <v>72</v>
      </c>
      <c r="BN940" t="s">
        <v>222</v>
      </c>
      <c r="BO940" t="s">
        <v>72</v>
      </c>
      <c r="BP940" t="s">
        <v>72</v>
      </c>
      <c r="BQ940" t="s">
        <v>100</v>
      </c>
      <c r="BR940" t="s">
        <v>2325</v>
      </c>
      <c r="BS940" t="str">
        <f>HYPERLINK("https%3A%2F%2Fwww.webofscience.com%2Fwos%2Fwoscc%2Ffull-record%2FWOS:000657744300005","View Full Record in Web of Science")</f>
        <v>View Full Record in Web of Science</v>
      </c>
    </row>
    <row r="941" spans="1:71" hidden="1" x14ac:dyDescent="0.2">
      <c r="A941" t="s">
        <v>70</v>
      </c>
      <c r="B941" t="s">
        <v>3037</v>
      </c>
      <c r="C941" t="s">
        <v>72</v>
      </c>
      <c r="D941" t="s">
        <v>72</v>
      </c>
      <c r="E941" t="s">
        <v>72</v>
      </c>
      <c r="F941" t="s">
        <v>3038</v>
      </c>
      <c r="G941" t="s">
        <v>72</v>
      </c>
      <c r="H941" t="s">
        <v>72</v>
      </c>
      <c r="I941" t="s">
        <v>3039</v>
      </c>
      <c r="J941" t="s">
        <v>3040</v>
      </c>
      <c r="K941" t="s">
        <v>72</v>
      </c>
      <c r="L941" t="s">
        <v>72</v>
      </c>
      <c r="M941" t="s">
        <v>76</v>
      </c>
      <c r="N941" t="s">
        <v>352</v>
      </c>
      <c r="O941" t="s">
        <v>72</v>
      </c>
      <c r="P941" t="s">
        <v>72</v>
      </c>
      <c r="Q941" t="s">
        <v>72</v>
      </c>
      <c r="R941" t="s">
        <v>72</v>
      </c>
      <c r="S941" t="s">
        <v>72</v>
      </c>
      <c r="T941" t="s">
        <v>3041</v>
      </c>
      <c r="U941" t="s">
        <v>3042</v>
      </c>
      <c r="V941" t="s">
        <v>3043</v>
      </c>
      <c r="W941" t="s">
        <v>3044</v>
      </c>
      <c r="X941" t="s">
        <v>72</v>
      </c>
      <c r="Y941" t="s">
        <v>3045</v>
      </c>
      <c r="Z941" t="s">
        <v>3046</v>
      </c>
      <c r="AA941" t="s">
        <v>72</v>
      </c>
      <c r="AB941" t="s">
        <v>3047</v>
      </c>
      <c r="AC941" t="s">
        <v>3048</v>
      </c>
      <c r="AD941" t="s">
        <v>3048</v>
      </c>
      <c r="AE941" t="s">
        <v>3049</v>
      </c>
      <c r="AF941" t="s">
        <v>72</v>
      </c>
      <c r="AG941">
        <v>50</v>
      </c>
      <c r="AH941">
        <v>0</v>
      </c>
      <c r="AI941">
        <v>0</v>
      </c>
      <c r="AJ941">
        <v>0</v>
      </c>
      <c r="AK941">
        <v>0</v>
      </c>
      <c r="AL941" t="s">
        <v>336</v>
      </c>
      <c r="AM941" t="s">
        <v>337</v>
      </c>
      <c r="AN941" t="s">
        <v>338</v>
      </c>
      <c r="AO941" t="s">
        <v>3050</v>
      </c>
      <c r="AP941" t="s">
        <v>3051</v>
      </c>
      <c r="AQ941" t="s">
        <v>72</v>
      </c>
      <c r="AR941" t="s">
        <v>3052</v>
      </c>
      <c r="AS941" t="s">
        <v>3053</v>
      </c>
      <c r="AT941" t="s">
        <v>72</v>
      </c>
      <c r="AU941" t="s">
        <v>72</v>
      </c>
      <c r="AV941" t="s">
        <v>72</v>
      </c>
      <c r="AW941" t="s">
        <v>72</v>
      </c>
      <c r="AX941" t="s">
        <v>72</v>
      </c>
      <c r="AY941" t="s">
        <v>72</v>
      </c>
      <c r="AZ941" t="s">
        <v>72</v>
      </c>
      <c r="BA941" t="s">
        <v>72</v>
      </c>
      <c r="BB941" t="s">
        <v>72</v>
      </c>
      <c r="BC941" t="s">
        <v>72</v>
      </c>
      <c r="BD941" t="s">
        <v>72</v>
      </c>
      <c r="BE941" t="s">
        <v>3054</v>
      </c>
      <c r="BF941" t="str">
        <f>HYPERLINK("http://dx.doi.org/10.1177/14550725221083438","http://dx.doi.org/10.1177/14550725221083438")</f>
        <v>http://dx.doi.org/10.1177/14550725221083438</v>
      </c>
      <c r="BG941" t="s">
        <v>72</v>
      </c>
      <c r="BH941" t="s">
        <v>1072</v>
      </c>
      <c r="BI941">
        <v>18</v>
      </c>
      <c r="BJ941" t="s">
        <v>753</v>
      </c>
      <c r="BK941" t="s">
        <v>753</v>
      </c>
      <c r="BL941" t="s">
        <v>3055</v>
      </c>
      <c r="BM941" t="s">
        <v>72</v>
      </c>
      <c r="BN941" t="s">
        <v>222</v>
      </c>
      <c r="BO941" t="s">
        <v>72</v>
      </c>
      <c r="BP941" t="s">
        <v>72</v>
      </c>
      <c r="BQ941" t="s">
        <v>100</v>
      </c>
      <c r="BR941" t="s">
        <v>3056</v>
      </c>
      <c r="BS941" t="str">
        <f>HYPERLINK("https%3A%2F%2Fwww.webofscience.com%2Fwos%2Fwoscc%2Ffull-record%2FWOS:000839890900001","View Full Record in Web of Science")</f>
        <v>View Full Record in Web of Science</v>
      </c>
    </row>
    <row r="942" spans="1:71" hidden="1" x14ac:dyDescent="0.2">
      <c r="A942" t="s">
        <v>70</v>
      </c>
      <c r="B942" t="s">
        <v>16823</v>
      </c>
      <c r="C942" t="s">
        <v>72</v>
      </c>
      <c r="D942" t="s">
        <v>72</v>
      </c>
      <c r="E942" t="s">
        <v>72</v>
      </c>
      <c r="F942" t="s">
        <v>16824</v>
      </c>
      <c r="G942" t="s">
        <v>72</v>
      </c>
      <c r="H942" t="s">
        <v>72</v>
      </c>
      <c r="I942" t="s">
        <v>16825</v>
      </c>
      <c r="J942" t="s">
        <v>16826</v>
      </c>
      <c r="K942" t="s">
        <v>72</v>
      </c>
      <c r="L942" t="s">
        <v>72</v>
      </c>
      <c r="M942" t="s">
        <v>76</v>
      </c>
      <c r="N942" t="s">
        <v>77</v>
      </c>
      <c r="O942" t="s">
        <v>72</v>
      </c>
      <c r="P942" t="s">
        <v>72</v>
      </c>
      <c r="Q942" t="s">
        <v>72</v>
      </c>
      <c r="R942" t="s">
        <v>72</v>
      </c>
      <c r="S942" t="s">
        <v>72</v>
      </c>
      <c r="T942" t="s">
        <v>16827</v>
      </c>
      <c r="U942" t="s">
        <v>16828</v>
      </c>
      <c r="V942" t="s">
        <v>16829</v>
      </c>
      <c r="W942" t="s">
        <v>16830</v>
      </c>
      <c r="X942" t="s">
        <v>16831</v>
      </c>
      <c r="Y942" t="s">
        <v>16832</v>
      </c>
      <c r="Z942" t="s">
        <v>16833</v>
      </c>
      <c r="AA942" t="s">
        <v>16834</v>
      </c>
      <c r="AB942" t="s">
        <v>16835</v>
      </c>
      <c r="AC942" t="s">
        <v>16836</v>
      </c>
      <c r="AD942" t="s">
        <v>16837</v>
      </c>
      <c r="AE942" t="s">
        <v>16838</v>
      </c>
      <c r="AF942" t="s">
        <v>72</v>
      </c>
      <c r="AG942">
        <v>99</v>
      </c>
      <c r="AH942">
        <v>21</v>
      </c>
      <c r="AI942">
        <v>22</v>
      </c>
      <c r="AJ942">
        <v>0</v>
      </c>
      <c r="AK942">
        <v>8</v>
      </c>
      <c r="AL942" t="s">
        <v>10376</v>
      </c>
      <c r="AM942" t="s">
        <v>168</v>
      </c>
      <c r="AN942" t="s">
        <v>10377</v>
      </c>
      <c r="AO942" t="s">
        <v>16839</v>
      </c>
      <c r="AP942" t="s">
        <v>16840</v>
      </c>
      <c r="AQ942" t="s">
        <v>72</v>
      </c>
      <c r="AR942" t="s">
        <v>16841</v>
      </c>
      <c r="AS942" t="s">
        <v>16842</v>
      </c>
      <c r="AT942" t="s">
        <v>299</v>
      </c>
      <c r="AU942">
        <v>2017</v>
      </c>
      <c r="AV942">
        <v>44</v>
      </c>
      <c r="AW942" t="s">
        <v>72</v>
      </c>
      <c r="AX942" t="s">
        <v>72</v>
      </c>
      <c r="AY942" t="s">
        <v>72</v>
      </c>
      <c r="AZ942" t="s">
        <v>72</v>
      </c>
      <c r="BA942" t="s">
        <v>72</v>
      </c>
      <c r="BB942">
        <v>121</v>
      </c>
      <c r="BC942">
        <v>129</v>
      </c>
      <c r="BD942" t="s">
        <v>72</v>
      </c>
      <c r="BE942" t="s">
        <v>16843</v>
      </c>
      <c r="BF942" t="str">
        <f>HYPERLINK("http://dx.doi.org/10.1016/j.drugpo.2017.05.007","http://dx.doi.org/10.1016/j.drugpo.2017.05.007")</f>
        <v>http://dx.doi.org/10.1016/j.drugpo.2017.05.007</v>
      </c>
      <c r="BG942" t="s">
        <v>72</v>
      </c>
      <c r="BH942" t="s">
        <v>72</v>
      </c>
      <c r="BI942">
        <v>9</v>
      </c>
      <c r="BJ942" t="s">
        <v>753</v>
      </c>
      <c r="BK942" t="s">
        <v>753</v>
      </c>
      <c r="BL942" t="s">
        <v>16844</v>
      </c>
      <c r="BM942">
        <v>28578250</v>
      </c>
      <c r="BN942" t="s">
        <v>559</v>
      </c>
      <c r="BO942" t="s">
        <v>72</v>
      </c>
      <c r="BP942" t="s">
        <v>72</v>
      </c>
      <c r="BQ942" t="s">
        <v>100</v>
      </c>
      <c r="BR942" t="s">
        <v>16845</v>
      </c>
      <c r="BS942" t="str">
        <f>HYPERLINK("https%3A%2F%2Fwww.webofscience.com%2Fwos%2Fwoscc%2Ffull-record%2FWOS:000407870700014","View Full Record in Web of Science")</f>
        <v>View Full Record in Web of Science</v>
      </c>
    </row>
    <row r="943" spans="1:71" hidden="1" x14ac:dyDescent="0.2">
      <c r="A943" t="s">
        <v>70</v>
      </c>
      <c r="B943" t="s">
        <v>15802</v>
      </c>
      <c r="C943" t="s">
        <v>72</v>
      </c>
      <c r="D943" t="s">
        <v>72</v>
      </c>
      <c r="E943" t="s">
        <v>72</v>
      </c>
      <c r="F943" t="s">
        <v>15803</v>
      </c>
      <c r="G943" t="s">
        <v>72</v>
      </c>
      <c r="H943" t="s">
        <v>72</v>
      </c>
      <c r="I943" t="s">
        <v>15804</v>
      </c>
      <c r="J943" t="s">
        <v>15805</v>
      </c>
      <c r="K943" t="s">
        <v>72</v>
      </c>
      <c r="L943" t="s">
        <v>72</v>
      </c>
      <c r="M943" t="s">
        <v>76</v>
      </c>
      <c r="N943" t="s">
        <v>77</v>
      </c>
      <c r="O943" t="s">
        <v>72</v>
      </c>
      <c r="P943" t="s">
        <v>72</v>
      </c>
      <c r="Q943" t="s">
        <v>72</v>
      </c>
      <c r="R943" t="s">
        <v>72</v>
      </c>
      <c r="S943" t="s">
        <v>72</v>
      </c>
      <c r="T943" t="s">
        <v>72</v>
      </c>
      <c r="U943" t="s">
        <v>15806</v>
      </c>
      <c r="V943" t="s">
        <v>15807</v>
      </c>
      <c r="W943" t="s">
        <v>15808</v>
      </c>
      <c r="X943" t="s">
        <v>15809</v>
      </c>
      <c r="Y943" t="s">
        <v>15810</v>
      </c>
      <c r="Z943" t="s">
        <v>15811</v>
      </c>
      <c r="AA943" t="s">
        <v>72</v>
      </c>
      <c r="AB943" t="s">
        <v>15812</v>
      </c>
      <c r="AC943" t="s">
        <v>15813</v>
      </c>
      <c r="AD943" t="s">
        <v>15814</v>
      </c>
      <c r="AE943" t="s">
        <v>15815</v>
      </c>
      <c r="AF943" t="s">
        <v>72</v>
      </c>
      <c r="AG943">
        <v>28</v>
      </c>
      <c r="AH943">
        <v>10</v>
      </c>
      <c r="AI943">
        <v>10</v>
      </c>
      <c r="AJ943">
        <v>0</v>
      </c>
      <c r="AK943">
        <v>4</v>
      </c>
      <c r="AL943" t="s">
        <v>879</v>
      </c>
      <c r="AM943" t="s">
        <v>451</v>
      </c>
      <c r="AN943" t="s">
        <v>880</v>
      </c>
      <c r="AO943" t="s">
        <v>15816</v>
      </c>
      <c r="AP943" t="s">
        <v>15817</v>
      </c>
      <c r="AQ943" t="s">
        <v>72</v>
      </c>
      <c r="AR943" t="s">
        <v>15818</v>
      </c>
      <c r="AS943" t="s">
        <v>15819</v>
      </c>
      <c r="AT943" t="s">
        <v>395</v>
      </c>
      <c r="AU943">
        <v>2020</v>
      </c>
      <c r="AV943">
        <v>22</v>
      </c>
      <c r="AW943">
        <v>10</v>
      </c>
      <c r="AX943" t="s">
        <v>72</v>
      </c>
      <c r="AY943" t="s">
        <v>72</v>
      </c>
      <c r="AZ943" t="s">
        <v>72</v>
      </c>
      <c r="BA943" t="s">
        <v>72</v>
      </c>
      <c r="BB943">
        <v>1891</v>
      </c>
      <c r="BC943">
        <v>1900</v>
      </c>
      <c r="BD943" t="s">
        <v>72</v>
      </c>
      <c r="BE943" t="s">
        <v>15820</v>
      </c>
      <c r="BF943" t="str">
        <f>HYPERLINK("http://dx.doi.org/10.1093/ntr/ntaa090","http://dx.doi.org/10.1093/ntr/ntaa090")</f>
        <v>http://dx.doi.org/10.1093/ntr/ntaa090</v>
      </c>
      <c r="BG943" t="s">
        <v>72</v>
      </c>
      <c r="BH943" t="s">
        <v>72</v>
      </c>
      <c r="BI943">
        <v>10</v>
      </c>
      <c r="BJ943" t="s">
        <v>15821</v>
      </c>
      <c r="BK943" t="s">
        <v>15821</v>
      </c>
      <c r="BL943" t="s">
        <v>15822</v>
      </c>
      <c r="BM943">
        <v>32428214</v>
      </c>
      <c r="BN943" t="s">
        <v>1128</v>
      </c>
      <c r="BO943" t="s">
        <v>72</v>
      </c>
      <c r="BP943" t="s">
        <v>72</v>
      </c>
      <c r="BQ943" t="s">
        <v>100</v>
      </c>
      <c r="BR943" t="s">
        <v>15823</v>
      </c>
      <c r="BS943" t="str">
        <f>HYPERLINK("https%3A%2F%2Fwww.webofscience.com%2Fwos%2Fwoscc%2Ffull-record%2FWOS:000606062400027","View Full Record in Web of Science")</f>
        <v>View Full Record in Web of Science</v>
      </c>
    </row>
    <row r="944" spans="1:71" hidden="1" x14ac:dyDescent="0.2">
      <c r="A944" t="s">
        <v>70</v>
      </c>
      <c r="B944" t="s">
        <v>16595</v>
      </c>
      <c r="C944" t="s">
        <v>72</v>
      </c>
      <c r="D944" t="s">
        <v>72</v>
      </c>
      <c r="E944" t="s">
        <v>72</v>
      </c>
      <c r="F944" t="s">
        <v>16596</v>
      </c>
      <c r="G944" t="s">
        <v>72</v>
      </c>
      <c r="H944" t="s">
        <v>72</v>
      </c>
      <c r="I944" t="s">
        <v>16597</v>
      </c>
      <c r="J944" t="s">
        <v>16598</v>
      </c>
      <c r="K944" t="s">
        <v>72</v>
      </c>
      <c r="L944" t="s">
        <v>72</v>
      </c>
      <c r="M944" t="s">
        <v>76</v>
      </c>
      <c r="N944" t="s">
        <v>77</v>
      </c>
      <c r="O944" t="s">
        <v>72</v>
      </c>
      <c r="P944" t="s">
        <v>72</v>
      </c>
      <c r="Q944" t="s">
        <v>72</v>
      </c>
      <c r="R944" t="s">
        <v>72</v>
      </c>
      <c r="S944" t="s">
        <v>72</v>
      </c>
      <c r="T944" t="s">
        <v>72</v>
      </c>
      <c r="U944" t="s">
        <v>16599</v>
      </c>
      <c r="V944" t="s">
        <v>16600</v>
      </c>
      <c r="W944" t="s">
        <v>16601</v>
      </c>
      <c r="X944" t="s">
        <v>16602</v>
      </c>
      <c r="Y944" t="s">
        <v>16603</v>
      </c>
      <c r="Z944" t="s">
        <v>16604</v>
      </c>
      <c r="AA944" t="s">
        <v>16605</v>
      </c>
      <c r="AB944" t="s">
        <v>16606</v>
      </c>
      <c r="AC944" t="s">
        <v>16607</v>
      </c>
      <c r="AD944" t="s">
        <v>16608</v>
      </c>
      <c r="AE944" t="s">
        <v>16609</v>
      </c>
      <c r="AF944" t="s">
        <v>72</v>
      </c>
      <c r="AG944">
        <v>19</v>
      </c>
      <c r="AH944">
        <v>34</v>
      </c>
      <c r="AI944">
        <v>34</v>
      </c>
      <c r="AJ944">
        <v>1</v>
      </c>
      <c r="AK944">
        <v>28</v>
      </c>
      <c r="AL944" t="s">
        <v>16610</v>
      </c>
      <c r="AM944" t="s">
        <v>337</v>
      </c>
      <c r="AN944" t="s">
        <v>16611</v>
      </c>
      <c r="AO944" t="s">
        <v>16612</v>
      </c>
      <c r="AP944" t="s">
        <v>16613</v>
      </c>
      <c r="AQ944" t="s">
        <v>72</v>
      </c>
      <c r="AR944" t="s">
        <v>16614</v>
      </c>
      <c r="AS944" t="s">
        <v>16615</v>
      </c>
      <c r="AT944" t="s">
        <v>951</v>
      </c>
      <c r="AU944">
        <v>2014</v>
      </c>
      <c r="AV944">
        <v>23</v>
      </c>
      <c r="AW944">
        <v>6</v>
      </c>
      <c r="AX944" t="s">
        <v>72</v>
      </c>
      <c r="AY944" t="s">
        <v>72</v>
      </c>
      <c r="AZ944" t="s">
        <v>72</v>
      </c>
      <c r="BA944" t="s">
        <v>72</v>
      </c>
      <c r="BB944">
        <v>473</v>
      </c>
      <c r="BC944">
        <v>478</v>
      </c>
      <c r="BD944" t="s">
        <v>72</v>
      </c>
      <c r="BE944" t="s">
        <v>16616</v>
      </c>
      <c r="BF944" t="str">
        <f>HYPERLINK("http://dx.doi.org/10.1136/tobaccocontrol-2014-051822","http://dx.doi.org/10.1136/tobaccocontrol-2014-051822")</f>
        <v>http://dx.doi.org/10.1136/tobaccocontrol-2014-051822</v>
      </c>
      <c r="BG944" t="s">
        <v>72</v>
      </c>
      <c r="BH944" t="s">
        <v>72</v>
      </c>
      <c r="BI944">
        <v>6</v>
      </c>
      <c r="BJ944" t="s">
        <v>15821</v>
      </c>
      <c r="BK944" t="s">
        <v>15821</v>
      </c>
      <c r="BL944" t="s">
        <v>16617</v>
      </c>
      <c r="BM944">
        <v>25124165</v>
      </c>
      <c r="BN944" t="s">
        <v>13080</v>
      </c>
      <c r="BO944" t="s">
        <v>72</v>
      </c>
      <c r="BP944" t="s">
        <v>72</v>
      </c>
      <c r="BQ944" t="s">
        <v>100</v>
      </c>
      <c r="BR944" t="s">
        <v>16618</v>
      </c>
      <c r="BS944" t="str">
        <f>HYPERLINK("https%3A%2F%2Fwww.webofscience.com%2Fwos%2Fwoscc%2Ffull-record%2FWOS:000343931700011","View Full Record in Web of Science")</f>
        <v>View Full Record in Web of Science</v>
      </c>
    </row>
    <row r="945" spans="1:71" hidden="1" x14ac:dyDescent="0.2">
      <c r="A945" t="s">
        <v>70</v>
      </c>
      <c r="B945" t="s">
        <v>7925</v>
      </c>
      <c r="C945" t="s">
        <v>72</v>
      </c>
      <c r="D945" t="s">
        <v>72</v>
      </c>
      <c r="E945" t="s">
        <v>72</v>
      </c>
      <c r="F945" t="s">
        <v>7926</v>
      </c>
      <c r="G945" t="s">
        <v>72</v>
      </c>
      <c r="H945" t="s">
        <v>72</v>
      </c>
      <c r="I945" t="s">
        <v>7927</v>
      </c>
      <c r="J945" t="s">
        <v>7928</v>
      </c>
      <c r="K945" t="s">
        <v>72</v>
      </c>
      <c r="L945" t="s">
        <v>72</v>
      </c>
      <c r="M945" t="s">
        <v>76</v>
      </c>
      <c r="N945" t="s">
        <v>77</v>
      </c>
      <c r="O945" t="s">
        <v>72</v>
      </c>
      <c r="P945" t="s">
        <v>72</v>
      </c>
      <c r="Q945" t="s">
        <v>72</v>
      </c>
      <c r="R945" t="s">
        <v>72</v>
      </c>
      <c r="S945" t="s">
        <v>72</v>
      </c>
      <c r="T945" t="s">
        <v>7929</v>
      </c>
      <c r="U945" t="s">
        <v>7930</v>
      </c>
      <c r="V945" t="s">
        <v>7931</v>
      </c>
      <c r="W945" t="s">
        <v>7932</v>
      </c>
      <c r="X945" t="s">
        <v>7933</v>
      </c>
      <c r="Y945" t="s">
        <v>7934</v>
      </c>
      <c r="Z945" t="s">
        <v>7935</v>
      </c>
      <c r="AA945" t="s">
        <v>72</v>
      </c>
      <c r="AB945" t="s">
        <v>72</v>
      </c>
      <c r="AC945" t="s">
        <v>72</v>
      </c>
      <c r="AD945" t="s">
        <v>72</v>
      </c>
      <c r="AE945" t="s">
        <v>72</v>
      </c>
      <c r="AF945" t="s">
        <v>72</v>
      </c>
      <c r="AG945">
        <v>38</v>
      </c>
      <c r="AH945">
        <v>1</v>
      </c>
      <c r="AI945">
        <v>1</v>
      </c>
      <c r="AJ945">
        <v>1</v>
      </c>
      <c r="AK945">
        <v>10</v>
      </c>
      <c r="AL945" t="s">
        <v>924</v>
      </c>
      <c r="AM945" t="s">
        <v>168</v>
      </c>
      <c r="AN945" t="s">
        <v>925</v>
      </c>
      <c r="AO945" t="s">
        <v>7936</v>
      </c>
      <c r="AP945" t="s">
        <v>7937</v>
      </c>
      <c r="AQ945" t="s">
        <v>72</v>
      </c>
      <c r="AR945" t="s">
        <v>7938</v>
      </c>
      <c r="AS945" t="s">
        <v>7939</v>
      </c>
      <c r="AT945" t="s">
        <v>299</v>
      </c>
      <c r="AU945">
        <v>2020</v>
      </c>
      <c r="AV945">
        <v>9</v>
      </c>
      <c r="AW945">
        <v>2</v>
      </c>
      <c r="AX945" t="s">
        <v>72</v>
      </c>
      <c r="AY945" t="s">
        <v>72</v>
      </c>
      <c r="AZ945" t="s">
        <v>72</v>
      </c>
      <c r="BA945" t="s">
        <v>72</v>
      </c>
      <c r="BB945">
        <v>228</v>
      </c>
      <c r="BC945">
        <v>237</v>
      </c>
      <c r="BD945" t="s">
        <v>72</v>
      </c>
      <c r="BE945" t="s">
        <v>7940</v>
      </c>
      <c r="BF945" t="str">
        <f>HYPERLINK("http://dx.doi.org/10.1016/j.jum.2019.11.006","http://dx.doi.org/10.1016/j.jum.2019.11.006")</f>
        <v>http://dx.doi.org/10.1016/j.jum.2019.11.006</v>
      </c>
      <c r="BG945" t="s">
        <v>72</v>
      </c>
      <c r="BH945" t="s">
        <v>72</v>
      </c>
      <c r="BI945">
        <v>10</v>
      </c>
      <c r="BJ945" t="s">
        <v>7941</v>
      </c>
      <c r="BK945" t="s">
        <v>7941</v>
      </c>
      <c r="BL945" t="s">
        <v>7942</v>
      </c>
      <c r="BM945" t="s">
        <v>72</v>
      </c>
      <c r="BN945" t="s">
        <v>222</v>
      </c>
      <c r="BO945" t="s">
        <v>72</v>
      </c>
      <c r="BP945" t="s">
        <v>72</v>
      </c>
      <c r="BQ945" t="s">
        <v>100</v>
      </c>
      <c r="BR945" t="s">
        <v>7943</v>
      </c>
      <c r="BS945" t="str">
        <f>HYPERLINK("https%3A%2F%2Fwww.webofscience.com%2Fwos%2Fwoscc%2Ffull-record%2FWOS:000539275100009","View Full Record in Web of Science")</f>
        <v>View Full Record in Web of Science</v>
      </c>
    </row>
  </sheetData>
  <autoFilter ref="A1:BS945" xr:uid="{00000000-0009-0000-0000-000000000000}">
    <filterColumn colId="62">
      <filters>
        <filter val="Business &amp; Economics; Social Sciences - Other Topics"/>
        <filter val="Communication; Social Sciences - Other Topics; Business &amp; Economics"/>
        <filter val="Computer Science; Information Science &amp; Library Science; Social Sciences - Other Topics"/>
        <filter val="Computer Science; Mathematical Methods In Social Sciences; Social Sciences - Other Topics"/>
        <filter val="Computer Science; Mathematics; Mathematical Methods In Social Sciences"/>
        <filter val="Environmental Sciences &amp; Ecology; Social Sciences - Other Topics; Business &amp; Economics"/>
        <filter val="Geography; Social Sciences - Other Topics"/>
        <filter val="History; Social Sciences - Other Topics; Business &amp; Economics"/>
        <filter val="Mathematical Methods In Social Sciences"/>
        <filter val="Mathematical Methods In Social Sciences; Sociology"/>
        <filter val="Mathematics; Mathematical Methods In Social Sciences"/>
        <filter val="Psychology; Biomedical Social Sciences"/>
        <filter val="Psychology; Social Sciences - Other Topics"/>
        <filter val="Public Administration; Social Sciences - Other Topics"/>
        <filter val="Social Sciences"/>
        <filter val="Social Sciences - Other Topics"/>
        <filter val="Social Sciences - Other Topics; Business &amp; Economics"/>
        <filter val="Social Sciences - Other Topics; Engineering; History &amp; Philosophy of Science; Science &amp; Technology - Other Topics; Philosophy"/>
        <filter val="Social Sciences - Other Topics; Mathematics"/>
        <filter val="Social Sciences - Other Topics; Sociology"/>
      </filters>
    </filterColumn>
    <sortState xmlns:xlrd2="http://schemas.microsoft.com/office/spreadsheetml/2017/richdata2" ref="A2:BS947">
      <sortCondition ref="BK1"/>
    </sortState>
  </autoFilter>
  <pageMargins left="0.75" right="0.75" top="1" bottom="1" header="0.5" footer="0.5"/>
  <pageSetup orientation="portrait" horizontalDpi="300" verticalDpi="300"/>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77"/>
  <sheetViews>
    <sheetView topLeftCell="A22" workbookViewId="0">
      <selection activeCell="D22" sqref="D22"/>
    </sheetView>
  </sheetViews>
  <sheetFormatPr defaultRowHeight="12.75" x14ac:dyDescent="0.2"/>
  <sheetData>
    <row r="1" spans="1:5" ht="68.25" thickBot="1" x14ac:dyDescent="0.25">
      <c r="A1" s="5" t="s">
        <v>17616</v>
      </c>
      <c r="B1" s="5" t="s">
        <v>17617</v>
      </c>
      <c r="C1" s="5" t="s">
        <v>17618</v>
      </c>
      <c r="D1" s="5" t="s">
        <v>17619</v>
      </c>
      <c r="E1" s="5" t="s">
        <v>17620</v>
      </c>
    </row>
    <row r="2" spans="1:5" ht="54.75" thickBot="1" x14ac:dyDescent="0.25">
      <c r="A2" s="3" t="s">
        <v>17510</v>
      </c>
      <c r="B2" s="3" t="s">
        <v>15193</v>
      </c>
      <c r="C2" s="3" t="s">
        <v>17511</v>
      </c>
      <c r="D2" s="3" t="s">
        <v>17512</v>
      </c>
      <c r="E2" s="3" t="s">
        <v>17513</v>
      </c>
    </row>
    <row r="3" spans="1:5" ht="54.75" thickBot="1" x14ac:dyDescent="0.25">
      <c r="A3" s="3" t="s">
        <v>17514</v>
      </c>
      <c r="B3" s="3" t="s">
        <v>17515</v>
      </c>
      <c r="C3" s="3" t="s">
        <v>17516</v>
      </c>
      <c r="D3" s="3" t="s">
        <v>9118</v>
      </c>
      <c r="E3" s="3" t="s">
        <v>4637</v>
      </c>
    </row>
    <row r="4" spans="1:5" ht="68.25" thickBot="1" x14ac:dyDescent="0.25">
      <c r="A4" s="3" t="s">
        <v>17517</v>
      </c>
      <c r="B4" s="3" t="s">
        <v>17518</v>
      </c>
      <c r="C4" s="3" t="s">
        <v>17519</v>
      </c>
      <c r="D4" s="3" t="s">
        <v>17520</v>
      </c>
      <c r="E4" s="3" t="s">
        <v>664</v>
      </c>
    </row>
    <row r="5" spans="1:5" ht="81.75" thickBot="1" x14ac:dyDescent="0.25">
      <c r="A5" s="3" t="s">
        <v>17521</v>
      </c>
      <c r="B5" s="3" t="s">
        <v>17522</v>
      </c>
      <c r="C5" s="3" t="s">
        <v>17523</v>
      </c>
      <c r="D5" s="3" t="s">
        <v>152</v>
      </c>
      <c r="E5" s="3" t="s">
        <v>17524</v>
      </c>
    </row>
    <row r="6" spans="1:5" ht="68.25" thickBot="1" x14ac:dyDescent="0.25">
      <c r="A6" s="3" t="s">
        <v>17525</v>
      </c>
      <c r="B6" s="3" t="s">
        <v>17526</v>
      </c>
      <c r="C6" s="3" t="s">
        <v>17527</v>
      </c>
      <c r="D6" s="3" t="s">
        <v>174</v>
      </c>
      <c r="E6" s="3" t="s">
        <v>17528</v>
      </c>
    </row>
    <row r="7" spans="1:5" ht="95.25" thickBot="1" x14ac:dyDescent="0.25">
      <c r="A7" s="3" t="s">
        <v>17529</v>
      </c>
      <c r="B7" s="3" t="s">
        <v>17530</v>
      </c>
      <c r="C7" s="3" t="s">
        <v>2178</v>
      </c>
      <c r="D7" s="3" t="s">
        <v>17531</v>
      </c>
      <c r="E7" s="3" t="s">
        <v>7737</v>
      </c>
    </row>
    <row r="8" spans="1:5" ht="108.75" thickBot="1" x14ac:dyDescent="0.25">
      <c r="A8" s="3" t="s">
        <v>17532</v>
      </c>
      <c r="B8" s="3" t="s">
        <v>17533</v>
      </c>
      <c r="C8" s="3" t="s">
        <v>847</v>
      </c>
      <c r="D8" s="3" t="s">
        <v>17534</v>
      </c>
      <c r="E8" s="3" t="s">
        <v>17535</v>
      </c>
    </row>
    <row r="9" spans="1:5" ht="81.75" thickBot="1" x14ac:dyDescent="0.25">
      <c r="A9" s="3" t="s">
        <v>2840</v>
      </c>
      <c r="B9" s="3" t="s">
        <v>3387</v>
      </c>
      <c r="C9" s="3" t="s">
        <v>16639</v>
      </c>
      <c r="D9" s="3" t="s">
        <v>1423</v>
      </c>
      <c r="E9" s="3" t="s">
        <v>535</v>
      </c>
    </row>
    <row r="10" spans="1:5" ht="68.25" thickBot="1" x14ac:dyDescent="0.25">
      <c r="A10" s="3" t="s">
        <v>4579</v>
      </c>
      <c r="B10" s="3" t="s">
        <v>17536</v>
      </c>
      <c r="C10" s="3" t="s">
        <v>17537</v>
      </c>
      <c r="D10" s="3" t="s">
        <v>17538</v>
      </c>
      <c r="E10" s="3" t="s">
        <v>17539</v>
      </c>
    </row>
    <row r="11" spans="1:5" ht="81.75" thickBot="1" x14ac:dyDescent="0.25">
      <c r="A11" s="3" t="s">
        <v>2828</v>
      </c>
      <c r="B11" s="3" t="s">
        <v>17540</v>
      </c>
      <c r="C11" s="3" t="s">
        <v>17541</v>
      </c>
      <c r="D11" s="3" t="s">
        <v>3408</v>
      </c>
      <c r="E11" s="3" t="s">
        <v>17542</v>
      </c>
    </row>
    <row r="12" spans="1:5" ht="81.75" thickBot="1" x14ac:dyDescent="0.25">
      <c r="A12" s="3" t="s">
        <v>11948</v>
      </c>
      <c r="B12" s="3" t="s">
        <v>17543</v>
      </c>
      <c r="C12" s="3" t="s">
        <v>17544</v>
      </c>
      <c r="D12" s="3" t="s">
        <v>17545</v>
      </c>
      <c r="E12" s="3" t="s">
        <v>17546</v>
      </c>
    </row>
    <row r="13" spans="1:5" ht="81.75" thickBot="1" x14ac:dyDescent="0.25">
      <c r="A13" s="3" t="s">
        <v>321</v>
      </c>
      <c r="B13" s="3" t="s">
        <v>17547</v>
      </c>
      <c r="C13" s="3" t="s">
        <v>17548</v>
      </c>
      <c r="D13" s="3" t="s">
        <v>17549</v>
      </c>
      <c r="E13" s="3" t="s">
        <v>17550</v>
      </c>
    </row>
    <row r="14" spans="1:5" ht="54.75" thickBot="1" x14ac:dyDescent="0.25">
      <c r="A14" s="3" t="s">
        <v>10141</v>
      </c>
      <c r="B14" s="3" t="s">
        <v>13468</v>
      </c>
      <c r="C14" s="3" t="s">
        <v>17551</v>
      </c>
      <c r="D14" s="3" t="s">
        <v>1664</v>
      </c>
      <c r="E14" s="3" t="s">
        <v>17552</v>
      </c>
    </row>
    <row r="15" spans="1:5" ht="68.25" thickBot="1" x14ac:dyDescent="0.25">
      <c r="A15" s="3" t="s">
        <v>17553</v>
      </c>
      <c r="B15" s="3" t="s">
        <v>17554</v>
      </c>
      <c r="C15" s="3" t="s">
        <v>10601</v>
      </c>
      <c r="D15" s="3" t="s">
        <v>220</v>
      </c>
      <c r="E15" s="3" t="s">
        <v>7922</v>
      </c>
    </row>
    <row r="16" spans="1:5" ht="95.25" thickBot="1" x14ac:dyDescent="0.25">
      <c r="A16" s="4"/>
      <c r="B16" s="3" t="s">
        <v>17555</v>
      </c>
      <c r="C16" s="3" t="s">
        <v>17556</v>
      </c>
      <c r="D16" s="3" t="s">
        <v>886</v>
      </c>
      <c r="E16" s="3" t="s">
        <v>17557</v>
      </c>
    </row>
    <row r="17" spans="1:5" ht="41.25" thickBot="1" x14ac:dyDescent="0.25">
      <c r="A17" s="4"/>
      <c r="B17" s="3" t="s">
        <v>17558</v>
      </c>
      <c r="C17" s="3" t="s">
        <v>17559</v>
      </c>
      <c r="D17" s="3" t="s">
        <v>458</v>
      </c>
      <c r="E17" s="3" t="s">
        <v>17560</v>
      </c>
    </row>
    <row r="18" spans="1:5" ht="95.25" thickBot="1" x14ac:dyDescent="0.25">
      <c r="A18" s="4"/>
      <c r="B18" s="3" t="s">
        <v>17561</v>
      </c>
      <c r="C18" s="3" t="s">
        <v>17562</v>
      </c>
      <c r="D18" s="3" t="s">
        <v>6346</v>
      </c>
      <c r="E18" s="3" t="s">
        <v>17563</v>
      </c>
    </row>
    <row r="19" spans="1:5" ht="81.75" thickBot="1" x14ac:dyDescent="0.25">
      <c r="A19" s="4"/>
      <c r="B19" s="3" t="s">
        <v>17564</v>
      </c>
      <c r="C19" s="4"/>
      <c r="D19" s="3" t="s">
        <v>126</v>
      </c>
      <c r="E19" s="3" t="s">
        <v>17565</v>
      </c>
    </row>
    <row r="20" spans="1:5" ht="68.25" thickBot="1" x14ac:dyDescent="0.25">
      <c r="A20" s="4"/>
      <c r="B20" s="3" t="s">
        <v>17566</v>
      </c>
      <c r="C20" s="4"/>
      <c r="D20" s="3" t="s">
        <v>2704</v>
      </c>
      <c r="E20" s="3" t="s">
        <v>17567</v>
      </c>
    </row>
    <row r="21" spans="1:5" ht="41.25" thickBot="1" x14ac:dyDescent="0.25">
      <c r="A21" s="4"/>
      <c r="B21" s="3" t="s">
        <v>17568</v>
      </c>
      <c r="C21" s="4"/>
      <c r="D21" s="3" t="s">
        <v>398</v>
      </c>
      <c r="E21" s="3" t="s">
        <v>17569</v>
      </c>
    </row>
    <row r="22" spans="1:5" ht="68.25" thickBot="1" x14ac:dyDescent="0.25">
      <c r="A22" s="4"/>
      <c r="B22" s="3" t="s">
        <v>1471</v>
      </c>
      <c r="C22" s="4"/>
      <c r="D22" s="3" t="s">
        <v>17570</v>
      </c>
      <c r="E22" s="3" t="s">
        <v>17571</v>
      </c>
    </row>
    <row r="23" spans="1:5" ht="41.25" thickBot="1" x14ac:dyDescent="0.25">
      <c r="A23" s="4"/>
      <c r="B23" s="3" t="s">
        <v>17572</v>
      </c>
      <c r="C23" s="4"/>
      <c r="D23" s="3" t="s">
        <v>6434</v>
      </c>
      <c r="E23" s="4"/>
    </row>
    <row r="24" spans="1:5" ht="27.75" thickBot="1" x14ac:dyDescent="0.25">
      <c r="A24" s="4"/>
      <c r="B24" s="3" t="s">
        <v>17573</v>
      </c>
      <c r="C24" s="4"/>
      <c r="D24" s="3" t="s">
        <v>6246</v>
      </c>
      <c r="E24" s="4"/>
    </row>
    <row r="25" spans="1:5" ht="68.25" thickBot="1" x14ac:dyDescent="0.25">
      <c r="A25" s="4"/>
      <c r="B25" s="3" t="s">
        <v>12565</v>
      </c>
      <c r="C25" s="4"/>
      <c r="D25" s="3" t="s">
        <v>7941</v>
      </c>
      <c r="E25" s="4"/>
    </row>
    <row r="26" spans="1:5" ht="41.25" thickBot="1" x14ac:dyDescent="0.25">
      <c r="A26" s="4"/>
      <c r="B26" s="3" t="s">
        <v>1495</v>
      </c>
      <c r="C26" s="4"/>
      <c r="D26" s="3" t="s">
        <v>17574</v>
      </c>
      <c r="E26" s="4"/>
    </row>
    <row r="27" spans="1:5" ht="68.25" thickBot="1" x14ac:dyDescent="0.25">
      <c r="A27" s="4"/>
      <c r="B27" s="3" t="s">
        <v>17575</v>
      </c>
      <c r="C27" s="4"/>
      <c r="D27" s="4"/>
      <c r="E27" s="4"/>
    </row>
    <row r="28" spans="1:5" ht="68.25" thickBot="1" x14ac:dyDescent="0.25">
      <c r="A28" s="4"/>
      <c r="B28" s="3" t="s">
        <v>1973</v>
      </c>
      <c r="C28" s="4"/>
      <c r="D28" s="4"/>
      <c r="E28" s="4"/>
    </row>
    <row r="29" spans="1:5" ht="41.25" thickBot="1" x14ac:dyDescent="0.25">
      <c r="A29" s="4"/>
      <c r="B29" s="3" t="s">
        <v>17576</v>
      </c>
      <c r="C29" s="4"/>
      <c r="D29" s="4"/>
      <c r="E29" s="4"/>
    </row>
    <row r="30" spans="1:5" ht="54.75" thickBot="1" x14ac:dyDescent="0.25">
      <c r="A30" s="4"/>
      <c r="B30" s="3" t="s">
        <v>17228</v>
      </c>
      <c r="C30" s="4"/>
      <c r="D30" s="4"/>
      <c r="E30" s="4"/>
    </row>
    <row r="31" spans="1:5" ht="68.25" thickBot="1" x14ac:dyDescent="0.25">
      <c r="A31" s="4"/>
      <c r="B31" s="3" t="s">
        <v>1749</v>
      </c>
      <c r="C31" s="4"/>
      <c r="D31" s="4"/>
      <c r="E31" s="4"/>
    </row>
    <row r="32" spans="1:5" ht="27.75" thickBot="1" x14ac:dyDescent="0.25">
      <c r="A32" s="4"/>
      <c r="B32" s="3" t="s">
        <v>17577</v>
      </c>
      <c r="C32" s="4"/>
      <c r="D32" s="4"/>
      <c r="E32" s="4"/>
    </row>
    <row r="33" spans="1:5" ht="27.75" thickBot="1" x14ac:dyDescent="0.25">
      <c r="A33" s="4"/>
      <c r="B33" s="3" t="s">
        <v>17578</v>
      </c>
      <c r="C33" s="4"/>
      <c r="D33" s="4"/>
      <c r="E33" s="4"/>
    </row>
    <row r="34" spans="1:5" ht="41.25" thickBot="1" x14ac:dyDescent="0.25">
      <c r="A34" s="4"/>
      <c r="B34" s="3" t="s">
        <v>17579</v>
      </c>
      <c r="C34" s="4"/>
      <c r="D34" s="4"/>
      <c r="E34" s="4"/>
    </row>
    <row r="35" spans="1:5" ht="95.25" thickBot="1" x14ac:dyDescent="0.25">
      <c r="A35" s="4"/>
      <c r="B35" s="3" t="s">
        <v>17580</v>
      </c>
      <c r="C35" s="4"/>
      <c r="D35" s="4"/>
      <c r="E35" s="4"/>
    </row>
    <row r="36" spans="1:5" ht="41.25" thickBot="1" x14ac:dyDescent="0.25">
      <c r="A36" s="4"/>
      <c r="B36" s="3" t="s">
        <v>17581</v>
      </c>
      <c r="C36" s="4"/>
      <c r="D36" s="4"/>
      <c r="E36" s="4"/>
    </row>
    <row r="37" spans="1:5" ht="95.25" thickBot="1" x14ac:dyDescent="0.25">
      <c r="A37" s="4"/>
      <c r="B37" s="3" t="s">
        <v>17582</v>
      </c>
      <c r="C37" s="4"/>
      <c r="D37" s="4"/>
      <c r="E37" s="4"/>
    </row>
    <row r="38" spans="1:5" ht="68.25" thickBot="1" x14ac:dyDescent="0.25">
      <c r="A38" s="4"/>
      <c r="B38" s="3" t="s">
        <v>17583</v>
      </c>
      <c r="C38" s="4"/>
      <c r="D38" s="4"/>
      <c r="E38" s="4"/>
    </row>
    <row r="39" spans="1:5" ht="68.25" thickBot="1" x14ac:dyDescent="0.25">
      <c r="A39" s="4"/>
      <c r="B39" s="3" t="s">
        <v>17507</v>
      </c>
      <c r="C39" s="4"/>
      <c r="D39" s="4"/>
      <c r="E39" s="4"/>
    </row>
    <row r="40" spans="1:5" ht="27.75" thickBot="1" x14ac:dyDescent="0.25">
      <c r="A40" s="4"/>
      <c r="B40" s="3" t="s">
        <v>17584</v>
      </c>
      <c r="C40" s="4"/>
      <c r="D40" s="4"/>
      <c r="E40" s="4"/>
    </row>
    <row r="41" spans="1:5" ht="41.25" thickBot="1" x14ac:dyDescent="0.25">
      <c r="A41" s="4"/>
      <c r="B41" s="3" t="s">
        <v>578</v>
      </c>
      <c r="C41" s="4"/>
      <c r="D41" s="4"/>
      <c r="E41" s="4"/>
    </row>
    <row r="42" spans="1:5" ht="68.25" thickBot="1" x14ac:dyDescent="0.25">
      <c r="A42" s="4"/>
      <c r="B42" s="3" t="s">
        <v>17585</v>
      </c>
      <c r="C42" s="4"/>
      <c r="D42" s="4"/>
      <c r="E42" s="4"/>
    </row>
    <row r="43" spans="1:5" ht="27.75" thickBot="1" x14ac:dyDescent="0.25">
      <c r="A43" s="4"/>
      <c r="B43" s="3" t="s">
        <v>17586</v>
      </c>
      <c r="C43" s="4"/>
      <c r="D43" s="4"/>
      <c r="E43" s="4"/>
    </row>
    <row r="44" spans="1:5" ht="27.75" thickBot="1" x14ac:dyDescent="0.25">
      <c r="A44" s="4"/>
      <c r="B44" s="3" t="s">
        <v>17587</v>
      </c>
      <c r="C44" s="4"/>
      <c r="D44" s="4"/>
      <c r="E44" s="4"/>
    </row>
    <row r="45" spans="1:5" ht="68.25" thickBot="1" x14ac:dyDescent="0.25">
      <c r="A45" s="4"/>
      <c r="B45" s="3" t="s">
        <v>17588</v>
      </c>
      <c r="C45" s="4"/>
      <c r="D45" s="4"/>
      <c r="E45" s="4"/>
    </row>
    <row r="46" spans="1:5" ht="16.5" thickBot="1" x14ac:dyDescent="0.25">
      <c r="A46" s="4"/>
      <c r="B46" s="3" t="s">
        <v>17589</v>
      </c>
      <c r="C46" s="4"/>
      <c r="D46" s="4"/>
      <c r="E46" s="4"/>
    </row>
    <row r="47" spans="1:5" ht="41.25" thickBot="1" x14ac:dyDescent="0.25">
      <c r="A47" s="4"/>
      <c r="B47" s="3" t="s">
        <v>17590</v>
      </c>
      <c r="C47" s="4"/>
      <c r="D47" s="4"/>
      <c r="E47" s="4"/>
    </row>
    <row r="48" spans="1:5" ht="54.75" thickBot="1" x14ac:dyDescent="0.25">
      <c r="A48" s="4"/>
      <c r="B48" s="3" t="s">
        <v>17591</v>
      </c>
      <c r="C48" s="4"/>
      <c r="D48" s="4"/>
      <c r="E48" s="4"/>
    </row>
    <row r="49" spans="1:5" ht="27.75" thickBot="1" x14ac:dyDescent="0.25">
      <c r="A49" s="4"/>
      <c r="B49" s="3" t="s">
        <v>8487</v>
      </c>
      <c r="C49" s="4"/>
      <c r="D49" s="4"/>
      <c r="E49" s="4"/>
    </row>
    <row r="50" spans="1:5" ht="27.75" thickBot="1" x14ac:dyDescent="0.25">
      <c r="A50" s="4"/>
      <c r="B50" s="3" t="s">
        <v>17592</v>
      </c>
      <c r="C50" s="4"/>
      <c r="D50" s="4"/>
      <c r="E50" s="4"/>
    </row>
    <row r="51" spans="1:5" ht="27.75" thickBot="1" x14ac:dyDescent="0.25">
      <c r="A51" s="4"/>
      <c r="B51" s="3" t="s">
        <v>17593</v>
      </c>
      <c r="C51" s="4"/>
      <c r="D51" s="4"/>
      <c r="E51" s="4"/>
    </row>
    <row r="52" spans="1:5" ht="41.25" thickBot="1" x14ac:dyDescent="0.25">
      <c r="A52" s="4"/>
      <c r="B52" s="3" t="s">
        <v>17594</v>
      </c>
      <c r="C52" s="4"/>
      <c r="D52" s="4"/>
      <c r="E52" s="4"/>
    </row>
    <row r="53" spans="1:5" ht="27.75" thickBot="1" x14ac:dyDescent="0.25">
      <c r="A53" s="4"/>
      <c r="B53" s="3" t="s">
        <v>17595</v>
      </c>
      <c r="C53" s="4"/>
      <c r="D53" s="4"/>
      <c r="E53" s="4"/>
    </row>
    <row r="54" spans="1:5" ht="27.75" thickBot="1" x14ac:dyDescent="0.25">
      <c r="A54" s="4"/>
      <c r="B54" s="3" t="s">
        <v>17596</v>
      </c>
      <c r="C54" s="4"/>
      <c r="D54" s="4"/>
      <c r="E54" s="4"/>
    </row>
    <row r="55" spans="1:5" ht="27.75" thickBot="1" x14ac:dyDescent="0.25">
      <c r="A55" s="4"/>
      <c r="B55" s="3" t="s">
        <v>17597</v>
      </c>
      <c r="C55" s="4"/>
      <c r="D55" s="4"/>
      <c r="E55" s="4"/>
    </row>
    <row r="56" spans="1:5" ht="27.75" thickBot="1" x14ac:dyDescent="0.25">
      <c r="A56" s="4"/>
      <c r="B56" s="3" t="s">
        <v>17598</v>
      </c>
      <c r="C56" s="4"/>
      <c r="D56" s="4"/>
      <c r="E56" s="4"/>
    </row>
    <row r="57" spans="1:5" ht="68.25" thickBot="1" x14ac:dyDescent="0.25">
      <c r="A57" s="4"/>
      <c r="B57" s="3" t="s">
        <v>17599</v>
      </c>
      <c r="C57" s="4"/>
      <c r="D57" s="4"/>
      <c r="E57" s="4"/>
    </row>
    <row r="58" spans="1:5" ht="27.75" thickBot="1" x14ac:dyDescent="0.25">
      <c r="A58" s="4"/>
      <c r="B58" s="3" t="s">
        <v>17600</v>
      </c>
      <c r="C58" s="4"/>
      <c r="D58" s="4"/>
      <c r="E58" s="4"/>
    </row>
    <row r="59" spans="1:5" ht="41.25" thickBot="1" x14ac:dyDescent="0.25">
      <c r="A59" s="4"/>
      <c r="B59" s="3" t="s">
        <v>14346</v>
      </c>
      <c r="C59" s="4"/>
      <c r="D59" s="4"/>
      <c r="E59" s="4"/>
    </row>
    <row r="60" spans="1:5" ht="27.75" thickBot="1" x14ac:dyDescent="0.25">
      <c r="A60" s="4"/>
      <c r="B60" s="3" t="s">
        <v>9611</v>
      </c>
      <c r="C60" s="4"/>
      <c r="D60" s="4"/>
      <c r="E60" s="4"/>
    </row>
    <row r="61" spans="1:5" ht="95.25" thickBot="1" x14ac:dyDescent="0.25">
      <c r="A61" s="4"/>
      <c r="B61" s="3" t="s">
        <v>2135</v>
      </c>
      <c r="C61" s="4"/>
      <c r="D61" s="4"/>
      <c r="E61" s="4"/>
    </row>
    <row r="62" spans="1:5" ht="95.25" thickBot="1" x14ac:dyDescent="0.25">
      <c r="A62" s="4"/>
      <c r="B62" s="3" t="s">
        <v>17601</v>
      </c>
      <c r="C62" s="4"/>
      <c r="D62" s="4"/>
      <c r="E62" s="4"/>
    </row>
    <row r="63" spans="1:5" ht="27.75" thickBot="1" x14ac:dyDescent="0.25">
      <c r="A63" s="4"/>
      <c r="B63" s="3" t="s">
        <v>17602</v>
      </c>
      <c r="C63" s="4"/>
      <c r="D63" s="4"/>
      <c r="E63" s="4"/>
    </row>
    <row r="64" spans="1:5" ht="41.25" thickBot="1" x14ac:dyDescent="0.25">
      <c r="A64" s="4"/>
      <c r="B64" s="3" t="s">
        <v>17603</v>
      </c>
      <c r="C64" s="4"/>
      <c r="D64" s="4"/>
      <c r="E64" s="4"/>
    </row>
    <row r="65" spans="1:5" ht="81.75" thickBot="1" x14ac:dyDescent="0.25">
      <c r="A65" s="4"/>
      <c r="B65" s="3" t="s">
        <v>17604</v>
      </c>
      <c r="C65" s="4"/>
      <c r="D65" s="4"/>
      <c r="E65" s="4"/>
    </row>
    <row r="66" spans="1:5" ht="41.25" thickBot="1" x14ac:dyDescent="0.25">
      <c r="A66" s="4"/>
      <c r="B66" s="3" t="s">
        <v>17605</v>
      </c>
      <c r="C66" s="4"/>
      <c r="D66" s="4"/>
      <c r="E66" s="4"/>
    </row>
    <row r="67" spans="1:5" ht="27.75" thickBot="1" x14ac:dyDescent="0.25">
      <c r="A67" s="4"/>
      <c r="B67" s="3" t="s">
        <v>17606</v>
      </c>
      <c r="C67" s="4"/>
      <c r="D67" s="4"/>
      <c r="E67" s="4"/>
    </row>
    <row r="68" spans="1:5" ht="41.25" thickBot="1" x14ac:dyDescent="0.25">
      <c r="A68" s="4"/>
      <c r="B68" s="3" t="s">
        <v>17607</v>
      </c>
      <c r="C68" s="4"/>
      <c r="D68" s="4"/>
      <c r="E68" s="4"/>
    </row>
    <row r="69" spans="1:5" ht="41.25" thickBot="1" x14ac:dyDescent="0.25">
      <c r="A69" s="4"/>
      <c r="B69" s="3" t="s">
        <v>753</v>
      </c>
      <c r="C69" s="4"/>
      <c r="D69" s="4"/>
      <c r="E69" s="4"/>
    </row>
    <row r="70" spans="1:5" ht="16.5" thickBot="1" x14ac:dyDescent="0.25">
      <c r="A70" s="4"/>
      <c r="B70" s="3" t="s">
        <v>17608</v>
      </c>
      <c r="C70" s="4"/>
      <c r="D70" s="4"/>
      <c r="E70" s="4"/>
    </row>
    <row r="71" spans="1:5" ht="27.75" thickBot="1" x14ac:dyDescent="0.25">
      <c r="A71" s="4"/>
      <c r="B71" s="3" t="s">
        <v>17609</v>
      </c>
      <c r="C71" s="4"/>
      <c r="D71" s="4"/>
      <c r="E71" s="4"/>
    </row>
    <row r="72" spans="1:5" ht="41.25" thickBot="1" x14ac:dyDescent="0.25">
      <c r="A72" s="4"/>
      <c r="B72" s="3" t="s">
        <v>17610</v>
      </c>
      <c r="C72" s="4"/>
      <c r="D72" s="4"/>
      <c r="E72" s="4"/>
    </row>
    <row r="73" spans="1:5" ht="54.75" thickBot="1" x14ac:dyDescent="0.25">
      <c r="A73" s="4"/>
      <c r="B73" s="3" t="s">
        <v>17611</v>
      </c>
      <c r="C73" s="4"/>
      <c r="D73" s="4"/>
      <c r="E73" s="4"/>
    </row>
    <row r="74" spans="1:5" ht="54.75" thickBot="1" x14ac:dyDescent="0.25">
      <c r="A74" s="4"/>
      <c r="B74" s="3" t="s">
        <v>17612</v>
      </c>
      <c r="C74" s="4"/>
      <c r="D74" s="4"/>
      <c r="E74" s="4"/>
    </row>
    <row r="75" spans="1:5" ht="54.75" thickBot="1" x14ac:dyDescent="0.25">
      <c r="A75" s="4"/>
      <c r="B75" s="3" t="s">
        <v>17613</v>
      </c>
      <c r="C75" s="4"/>
      <c r="D75" s="4"/>
      <c r="E75" s="4"/>
    </row>
    <row r="76" spans="1:5" ht="16.5" thickBot="1" x14ac:dyDescent="0.25">
      <c r="A76" s="4"/>
      <c r="B76" s="3" t="s">
        <v>17614</v>
      </c>
      <c r="C76" s="4"/>
      <c r="D76" s="4"/>
      <c r="E76" s="4"/>
    </row>
    <row r="77" spans="1:5" ht="16.5" thickBot="1" x14ac:dyDescent="0.25">
      <c r="A77" s="4"/>
      <c r="B77" s="3" t="s">
        <v>17615</v>
      </c>
      <c r="C77" s="4"/>
      <c r="D77" s="4"/>
      <c r="E77" s="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savedrecs</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Birkenmaier, Lukas</dc:creator>
  <cp:lastModifiedBy>Birkenmaier, Lukas</cp:lastModifiedBy>
  <dcterms:created xsi:type="dcterms:W3CDTF">2022-12-01T15:16:50Z</dcterms:created>
  <dcterms:modified xsi:type="dcterms:W3CDTF">2023-02-06T13:03:46Z</dcterms:modified>
</cp:coreProperties>
</file>