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ote" sheetId="1" r:id="rId3"/>
    <sheet state="visible" name="Printers" sheetId="2" r:id="rId4"/>
    <sheet state="visible" name="Materials" sheetId="3" r:id="rId5"/>
    <sheet state="visible" name="General" sheetId="4" r:id="rId6"/>
  </sheets>
  <definedNames/>
  <calcPr/>
</workbook>
</file>

<file path=xl/sharedStrings.xml><?xml version="1.0" encoding="utf-8"?>
<sst xmlns="http://schemas.openxmlformats.org/spreadsheetml/2006/main" count="89" uniqueCount="74">
  <si>
    <t>Customer details</t>
  </si>
  <si>
    <t>Summary</t>
  </si>
  <si>
    <t>Customer</t>
  </si>
  <si>
    <t>Some customer</t>
  </si>
  <si>
    <t>Date</t>
  </si>
  <si>
    <t>g || filament</t>
  </si>
  <si>
    <t>Description</t>
  </si>
  <si>
    <t>Cool knife sharpening tool</t>
  </si>
  <si>
    <t>h || printing time</t>
  </si>
  <si>
    <t>General print details</t>
  </si>
  <si>
    <t>Printer</t>
  </si>
  <si>
    <t>Prusa i3 MK3s</t>
  </si>
  <si>
    <t>Filament</t>
  </si>
  <si>
    <t>Pet-G PM</t>
  </si>
  <si>
    <t>Weight</t>
  </si>
  <si>
    <t>g</t>
  </si>
  <si>
    <t>m</t>
  </si>
  <si>
    <t>Printing time</t>
  </si>
  <si>
    <t>4:30</t>
  </si>
  <si>
    <t>hh:mm</t>
  </si>
  <si>
    <t>h</t>
  </si>
  <si>
    <t>Preparation</t>
  </si>
  <si>
    <t>Model preparation (Fixing, CAD…)</t>
  </si>
  <si>
    <t>min</t>
  </si>
  <si>
    <t>Slicing (Supports, Parameters…)</t>
  </si>
  <si>
    <t>Material change</t>
  </si>
  <si>
    <t>Transfer &amp; Start</t>
  </si>
  <si>
    <t>Sum</t>
  </si>
  <si>
    <t>Post-processing</t>
  </si>
  <si>
    <t>Job removal</t>
  </si>
  <si>
    <t>Support removal</t>
  </si>
  <si>
    <t>Additional work</t>
  </si>
  <si>
    <t>Miscellaneous</t>
  </si>
  <si>
    <t>Consumables</t>
  </si>
  <si>
    <t>Costs</t>
  </si>
  <si>
    <t>Electricity</t>
  </si>
  <si>
    <t>Printer depreciation</t>
  </si>
  <si>
    <t>Labor less</t>
  </si>
  <si>
    <t>Subtotal</t>
  </si>
  <si>
    <t>Including failures</t>
  </si>
  <si>
    <t>Quote</t>
  </si>
  <si>
    <t>Markup</t>
  </si>
  <si>
    <t>Suggested prize</t>
  </si>
  <si>
    <t>Quoted prize</t>
  </si>
  <si>
    <t>Name</t>
  </si>
  <si>
    <t>Material Diameter [mm]</t>
  </si>
  <si>
    <t>Depreciation Time [h]</t>
  </si>
  <si>
    <t>Energy Consumption [kWh/h]</t>
  </si>
  <si>
    <t>CR-10</t>
  </si>
  <si>
    <t>Ultimaker 3 Extended</t>
  </si>
  <si>
    <t>MULTEC Multirap M420</t>
  </si>
  <si>
    <t>Manufacturer</t>
  </si>
  <si>
    <t>Diameter [mm]</t>
  </si>
  <si>
    <t>Spool Size [kg]</t>
  </si>
  <si>
    <t>Density [g/cm³]</t>
  </si>
  <si>
    <t>Nozzel Temp [°C]</t>
  </si>
  <si>
    <t>Bed Temp [°C]</t>
  </si>
  <si>
    <t>Length per roll [m]</t>
  </si>
  <si>
    <t>das Filament - PLA - black</t>
  </si>
  <si>
    <t>Polymaker PC-Max</t>
  </si>
  <si>
    <t>Formfutura ABSpro</t>
  </si>
  <si>
    <t>Formfutura Premium ABS</t>
  </si>
  <si>
    <t>ColoFabb XT-CF20</t>
  </si>
  <si>
    <t>das Filament PETG</t>
  </si>
  <si>
    <t>Proto Pasta HT-PLA</t>
  </si>
  <si>
    <t>Prusament Galaxy</t>
  </si>
  <si>
    <t>PLA lacne</t>
  </si>
  <si>
    <t>Prusament Pet-G</t>
  </si>
  <si>
    <t>Energy cost</t>
  </si>
  <si>
    <t>Labor Costs</t>
  </si>
  <si>
    <t>Failure rate</t>
  </si>
  <si>
    <t>%</t>
  </si>
  <si>
    <t>Money unit</t>
  </si>
  <si>
    <t>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</si>
</sst>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0.0"/>
    <numFmt numFmtId="166" formatCode="0\ %"/>
    <numFmt numFmtId="167" formatCode="0.000"/>
    <numFmt numFmtId="168" formatCode="_-* #,##0.00&quot; €&quot;_-;\-* #,##0.00&quot; €&quot;_-;_-* \-??&quot; €&quot;_-;_-@"/>
  </numFmts>
  <fonts count="9">
    <font>
      <sz val="11.0"/>
      <color rgb="FF000000"/>
      <name val="Calibri"/>
    </font>
    <font>
      <b/>
      <sz val="14.0"/>
      <color rgb="FF000000"/>
      <name val="Calibri"/>
    </font>
    <font>
      <b/>
      <sz val="16.0"/>
      <color rgb="FF000000"/>
      <name val="Calibri"/>
    </font>
    <font/>
    <font>
      <b/>
      <sz val="11.0"/>
      <color rgb="FF000000"/>
      <name val="Calibri"/>
    </font>
    <font>
      <b/>
      <i/>
      <sz val="11.0"/>
      <color rgb="FF000000"/>
      <name val="Calibri"/>
    </font>
    <font>
      <i/>
      <sz val="11.0"/>
      <color rgb="FF000000"/>
      <name val="Calibri"/>
    </font>
    <font>
      <b/>
      <sz val="12.0"/>
      <color rgb="FF000000"/>
      <name val="Calibri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C5E0B4"/>
        <bgColor rgb="FFC5E0B4"/>
      </patternFill>
    </fill>
    <fill>
      <patternFill patternType="solid">
        <fgColor rgb="FFF8CBAD"/>
        <bgColor rgb="FFF8CBAD"/>
      </patternFill>
    </fill>
    <fill>
      <patternFill patternType="solid">
        <fgColor rgb="FFD9D9D9"/>
        <bgColor rgb="FFD9D9D9"/>
      </patternFill>
    </fill>
    <fill>
      <patternFill patternType="solid">
        <fgColor rgb="FFE2F0D9"/>
        <bgColor rgb="FFE2F0D9"/>
      </patternFill>
    </fill>
    <fill>
      <patternFill patternType="solid">
        <fgColor rgb="FFA9D18E"/>
        <bgColor rgb="FFA9D18E"/>
      </patternFill>
    </fill>
  </fills>
  <borders count="13">
    <border/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/>
      <bottom/>
    </border>
    <border>
      <right/>
      <top/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/>
      <right/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0" fillId="0" fontId="4" numFmtId="0" xfId="0" applyAlignment="1" applyFont="1">
      <alignment horizontal="right" shrinkToFit="0" vertical="bottom" wrapText="0"/>
    </xf>
    <xf borderId="3" fillId="3" fontId="4" numFmtId="0" xfId="0" applyAlignment="1" applyBorder="1" applyFill="1" applyFont="1">
      <alignment horizontal="center" shrinkToFit="0" vertical="bottom" wrapText="0"/>
    </xf>
    <xf borderId="4" fillId="0" fontId="3" numFmtId="0" xfId="0" applyBorder="1" applyFont="1"/>
    <xf borderId="5" fillId="2" fontId="5" numFmtId="0" xfId="0" applyAlignment="1" applyBorder="1" applyFont="1">
      <alignment horizontal="center" shrinkToFit="0" vertical="bottom" wrapText="0"/>
    </xf>
    <xf borderId="6" fillId="0" fontId="3" numFmtId="0" xfId="0" applyBorder="1" applyFont="1"/>
    <xf borderId="7" fillId="3" fontId="0" numFmtId="164" xfId="0" applyAlignment="1" applyBorder="1" applyFont="1" applyNumberFormat="1">
      <alignment shrinkToFit="0" vertical="bottom" wrapText="0"/>
    </xf>
    <xf borderId="8" fillId="2" fontId="0" numFmtId="1" xfId="0" applyAlignment="1" applyBorder="1" applyFont="1" applyNumberFormat="1">
      <alignment shrinkToFit="0" vertical="bottom" wrapText="0"/>
    </xf>
    <xf borderId="9" fillId="2" fontId="6" numFmtId="0" xfId="0" applyAlignment="1" applyBorder="1" applyFont="1">
      <alignment shrinkToFit="0" vertical="bottom" wrapText="0"/>
    </xf>
    <xf borderId="3" fillId="3" fontId="6" numFmtId="0" xfId="0" applyAlignment="1" applyBorder="1" applyFont="1">
      <alignment horizontal="center" shrinkToFit="0" vertical="bottom" wrapText="0"/>
    </xf>
    <xf borderId="10" fillId="0" fontId="3" numFmtId="0" xfId="0" applyBorder="1" applyFont="1"/>
    <xf borderId="8" fillId="2" fontId="0" numFmtId="165" xfId="0" applyAlignment="1" applyBorder="1" applyFont="1" applyNumberFormat="1">
      <alignment shrinkToFit="0" vertical="bottom" wrapText="0"/>
    </xf>
    <xf borderId="8" fillId="2" fontId="0" numFmtId="2" xfId="0" applyAlignment="1" applyBorder="1" applyFont="1" applyNumberFormat="1">
      <alignment shrinkToFit="0" vertical="bottom" wrapText="0"/>
    </xf>
    <xf borderId="11" fillId="2" fontId="7" numFmtId="2" xfId="0" applyAlignment="1" applyBorder="1" applyFont="1" applyNumberFormat="1">
      <alignment shrinkToFit="0" vertical="bottom" wrapText="0"/>
    </xf>
    <xf borderId="12" fillId="2" fontId="6" numFmtId="0" xfId="0" applyAlignment="1" applyBorder="1" applyFont="1">
      <alignment shrinkToFit="0" vertical="bottom" wrapText="0"/>
    </xf>
    <xf borderId="0" fillId="0" fontId="5" numFmtId="0" xfId="0" applyAlignment="1" applyFont="1">
      <alignment horizontal="right" shrinkToFit="0" vertical="bottom" wrapText="0"/>
    </xf>
    <xf borderId="3" fillId="3" fontId="0" numFmtId="0" xfId="0" applyAlignment="1" applyBorder="1" applyFont="1">
      <alignment horizontal="center" readingOrder="0" shrinkToFit="0" vertical="bottom" wrapText="0"/>
    </xf>
    <xf borderId="7" fillId="3" fontId="0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7" fillId="4" fontId="0" numFmtId="165" xfId="0" applyAlignment="1" applyBorder="1" applyFill="1" applyFont="1" applyNumberFormat="1">
      <alignment shrinkToFit="0" vertical="bottom" wrapText="0"/>
    </xf>
    <xf borderId="7" fillId="3" fontId="0" numFmtId="49" xfId="0" applyAlignment="1" applyBorder="1" applyFont="1" applyNumberFormat="1">
      <alignment horizontal="right" readingOrder="0" shrinkToFit="0" vertical="bottom" wrapText="0"/>
    </xf>
    <xf borderId="7" fillId="4" fontId="4" numFmtId="0" xfId="0" applyAlignment="1" applyBorder="1" applyFont="1">
      <alignment shrinkToFit="0" vertical="bottom" wrapText="0"/>
    </xf>
    <xf borderId="7" fillId="4" fontId="4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7" fillId="5" fontId="0" numFmtId="2" xfId="0" applyAlignment="1" applyBorder="1" applyFill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8" numFmtId="0" xfId="0" applyAlignment="1" applyFont="1">
      <alignment readingOrder="0"/>
    </xf>
    <xf borderId="7" fillId="6" fontId="4" numFmtId="2" xfId="0" applyAlignment="1" applyBorder="1" applyFill="1" applyFont="1" applyNumberFormat="1">
      <alignment shrinkToFit="0" vertical="bottom" wrapText="0"/>
    </xf>
    <xf borderId="0" fillId="0" fontId="8" numFmtId="2" xfId="0" applyFont="1" applyNumberFormat="1"/>
    <xf borderId="7" fillId="3" fontId="0" numFmtId="166" xfId="0" applyAlignment="1" applyBorder="1" applyFont="1" applyNumberFormat="1">
      <alignment readingOrder="0" shrinkToFit="0" vertical="bottom" wrapText="0"/>
    </xf>
    <xf borderId="7" fillId="3" fontId="4" numFmtId="2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center" shrinkToFit="0" vertical="center" wrapText="1"/>
    </xf>
    <xf borderId="7" fillId="3" fontId="0" numFmtId="0" xfId="0" applyAlignment="1" applyBorder="1" applyFont="1">
      <alignment shrinkToFit="0" vertical="bottom" wrapText="0"/>
    </xf>
    <xf borderId="7" fillId="3" fontId="0" numFmtId="167" xfId="0" applyAlignment="1" applyBorder="1" applyFont="1" applyNumberFormat="1">
      <alignment shrinkToFit="0" vertical="bottom" wrapText="0"/>
    </xf>
    <xf borderId="7" fillId="4" fontId="0" numFmtId="2" xfId="0" applyAlignment="1" applyBorder="1" applyFont="1" applyNumberFormat="1">
      <alignment shrinkToFit="0" vertical="bottom" wrapText="0"/>
    </xf>
    <xf borderId="7" fillId="4" fontId="0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7" fillId="3" fontId="0" numFmtId="168" xfId="0" applyAlignment="1" applyBorder="1" applyFont="1" applyNumberFormat="1">
      <alignment shrinkToFit="0" vertical="bottom" wrapText="0"/>
    </xf>
    <xf borderId="7" fillId="3" fontId="0" numFmtId="2" xfId="0" applyAlignment="1" applyBorder="1" applyFont="1" applyNumberFormat="1">
      <alignment shrinkToFit="0" vertical="bottom" wrapText="0"/>
    </xf>
    <xf borderId="7" fillId="4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7" fillId="3" fontId="0" numFmtId="168" xfId="0" applyAlignment="1" applyBorder="1" applyFont="1" applyNumberFormat="1">
      <alignment readingOrder="0" shrinkToFit="0" vertical="bottom" wrapText="0"/>
    </xf>
    <xf borderId="7" fillId="3" fontId="0" numFmtId="2" xfId="0" applyAlignment="1" applyBorder="1" applyFont="1" applyNumberFormat="1">
      <alignment readingOrder="0" shrinkToFit="0" vertical="bottom" wrapText="0"/>
    </xf>
    <xf borderId="7" fillId="3" fontId="0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595959"/>
                </a:solidFill>
                <a:latin typeface="Calibri"/>
              </a:defRPr>
            </a:pPr>
            <a:r>
              <a:rPr b="1" i="0" sz="1600">
                <a:solidFill>
                  <a:srgbClr val="595959"/>
                </a:solidFill>
                <a:latin typeface="Calibri"/>
              </a:rPr>
              <a:t>Part costs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Quote!$A$32:$A$37</c:f>
            </c:strRef>
          </c:cat>
          <c:val>
            <c:numRef>
              <c:f>Quote!$B$32:$B$37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8</xdr:row>
      <xdr:rowOff>76200</xdr:rowOff>
    </xdr:from>
    <xdr:ext cx="4838700" cy="44196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D7D31"/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2" width="15.0"/>
    <col customWidth="1" min="3" max="6" width="10.57"/>
    <col customWidth="1" min="7" max="7" width="18.14"/>
    <col customWidth="1" min="8" max="8" width="19.0"/>
    <col customWidth="1" min="9" max="26" width="8.71"/>
  </cols>
  <sheetData>
    <row r="2">
      <c r="A2" s="1" t="s">
        <v>0</v>
      </c>
      <c r="G2" s="2" t="s">
        <v>1</v>
      </c>
      <c r="H2" s="3"/>
    </row>
    <row r="3">
      <c r="A3" s="4" t="s">
        <v>2</v>
      </c>
      <c r="B3" s="5" t="s">
        <v>3</v>
      </c>
      <c r="C3" s="6"/>
      <c r="G3" s="7" t="str">
        <f t="shared" ref="G3:G4" si="1">B10</f>
        <v>Pet-G PM</v>
      </c>
      <c r="H3" s="8"/>
    </row>
    <row r="4">
      <c r="A4" s="4" t="s">
        <v>4</v>
      </c>
      <c r="B4" s="9">
        <v>43016.0</v>
      </c>
      <c r="G4" s="10">
        <f t="shared" si="1"/>
        <v>13</v>
      </c>
      <c r="H4" s="11" t="s">
        <v>5</v>
      </c>
    </row>
    <row r="5">
      <c r="A5" s="4" t="s">
        <v>6</v>
      </c>
      <c r="B5" s="12" t="s">
        <v>7</v>
      </c>
      <c r="C5" s="13"/>
      <c r="D5" s="6"/>
      <c r="G5" s="14">
        <f>D12</f>
        <v>4.5</v>
      </c>
      <c r="H5" s="11" t="s">
        <v>8</v>
      </c>
    </row>
    <row r="6">
      <c r="G6" s="15">
        <f t="shared" ref="G6:G7" si="2">B43</f>
        <v>1.922279007</v>
      </c>
      <c r="H6" s="11" t="str">
        <f>General!$B$5&amp;" || suggested price"</f>
        <v>€ || suggested price</v>
      </c>
    </row>
    <row r="7">
      <c r="G7" s="16" t="str">
        <f t="shared" si="2"/>
        <v/>
      </c>
      <c r="H7" s="17" t="str">
        <f>General!$B$5&amp;" || quoted"</f>
        <v>€ || quoted</v>
      </c>
    </row>
    <row r="8">
      <c r="A8" s="1" t="s">
        <v>9</v>
      </c>
    </row>
    <row r="9">
      <c r="A9" s="18" t="s">
        <v>10</v>
      </c>
      <c r="B9" s="19" t="s">
        <v>11</v>
      </c>
      <c r="C9" s="6"/>
    </row>
    <row r="10">
      <c r="A10" s="18" t="s">
        <v>12</v>
      </c>
      <c r="B10" s="19" t="s">
        <v>13</v>
      </c>
      <c r="C10" s="6"/>
    </row>
    <row r="11">
      <c r="A11" s="18" t="s">
        <v>14</v>
      </c>
      <c r="B11" s="20">
        <v>13.0</v>
      </c>
      <c r="C11" s="21" t="s">
        <v>15</v>
      </c>
      <c r="D11" s="22">
        <f>(B11/VLOOKUP(B10,Materials!A2:I100,5,0))*4/(VLOOKUP(B10,Materials!A2:I100,2,0)^2*PI())</f>
        <v>4.255725941</v>
      </c>
      <c r="E11" t="s">
        <v>16</v>
      </c>
    </row>
    <row r="12">
      <c r="A12" s="18" t="s">
        <v>17</v>
      </c>
      <c r="B12" s="23" t="s">
        <v>18</v>
      </c>
      <c r="C12" s="21" t="s">
        <v>19</v>
      </c>
      <c r="D12" s="22">
        <f>LEFT(B12,FIND(":",B12)-1)+RIGHT(B12,LEN(B12)-FIND(":",B12))/60</f>
        <v>4.5</v>
      </c>
      <c r="E12" s="21" t="s">
        <v>20</v>
      </c>
    </row>
    <row r="13">
      <c r="C13" s="21"/>
    </row>
    <row r="14">
      <c r="A14" s="1" t="s">
        <v>21</v>
      </c>
    </row>
    <row r="15">
      <c r="A15" s="18" t="s">
        <v>22</v>
      </c>
      <c r="B15" s="20">
        <v>0.0</v>
      </c>
      <c r="C15" s="21" t="s">
        <v>23</v>
      </c>
    </row>
    <row r="16">
      <c r="A16" s="18" t="s">
        <v>24</v>
      </c>
      <c r="B16" s="20">
        <v>5.0</v>
      </c>
      <c r="C16" s="21" t="s">
        <v>23</v>
      </c>
    </row>
    <row r="17">
      <c r="A17" s="18" t="s">
        <v>25</v>
      </c>
      <c r="B17" s="20">
        <v>0.0</v>
      </c>
      <c r="C17" s="21" t="s">
        <v>23</v>
      </c>
    </row>
    <row r="18">
      <c r="A18" s="18" t="s">
        <v>26</v>
      </c>
      <c r="B18" s="20">
        <v>5.0</v>
      </c>
      <c r="C18" s="21" t="s">
        <v>23</v>
      </c>
    </row>
    <row r="19">
      <c r="A19" s="18" t="s">
        <v>27</v>
      </c>
      <c r="B19" s="24">
        <f>SUM(B15:B18)</f>
        <v>10</v>
      </c>
      <c r="C19" s="21" t="s">
        <v>23</v>
      </c>
    </row>
    <row r="20">
      <c r="C20" s="21"/>
    </row>
    <row r="21" ht="15.75" customHeight="1">
      <c r="A21" s="1" t="s">
        <v>28</v>
      </c>
    </row>
    <row r="22" ht="15.75" customHeight="1">
      <c r="A22" s="18" t="s">
        <v>29</v>
      </c>
      <c r="B22" s="20">
        <v>5.0</v>
      </c>
      <c r="C22" s="21" t="s">
        <v>23</v>
      </c>
    </row>
    <row r="23" ht="15.75" customHeight="1">
      <c r="A23" s="18" t="s">
        <v>30</v>
      </c>
      <c r="B23" s="20">
        <v>5.0</v>
      </c>
      <c r="C23" s="21" t="s">
        <v>23</v>
      </c>
    </row>
    <row r="24" ht="15.75" customHeight="1">
      <c r="A24" s="18" t="s">
        <v>31</v>
      </c>
      <c r="B24" s="20">
        <v>0.0</v>
      </c>
      <c r="C24" s="21" t="s">
        <v>23</v>
      </c>
    </row>
    <row r="25" ht="15.75" customHeight="1">
      <c r="A25" s="18" t="s">
        <v>27</v>
      </c>
      <c r="B25" s="25">
        <v>0.0</v>
      </c>
      <c r="C25" s="21" t="s">
        <v>23</v>
      </c>
    </row>
    <row r="26" ht="15.75" customHeight="1">
      <c r="C26" s="21"/>
    </row>
    <row r="27" ht="15.75" customHeight="1">
      <c r="A27" s="1" t="s">
        <v>32</v>
      </c>
    </row>
    <row r="28" ht="15.75" customHeight="1">
      <c r="A28" s="18" t="s">
        <v>33</v>
      </c>
      <c r="B28" s="20">
        <v>0.1</v>
      </c>
      <c r="C28" s="21" t="str">
        <f>General!B5</f>
        <v>€</v>
      </c>
    </row>
    <row r="29" ht="15.75" customHeight="1">
      <c r="C29" s="21"/>
    </row>
    <row r="30" ht="15.75" customHeight="1"/>
    <row r="31" ht="15.75" customHeight="1">
      <c r="A31" s="1" t="s">
        <v>34</v>
      </c>
      <c r="D31" s="26"/>
      <c r="E31" s="26"/>
    </row>
    <row r="32" ht="15.75" customHeight="1">
      <c r="A32" s="18" t="s">
        <v>12</v>
      </c>
      <c r="B32" s="27">
        <f>B11/1000*VLOOKUP(B10,Materials!A2:I100,9,0)</f>
        <v>0.299</v>
      </c>
      <c r="C32" s="21" t="str">
        <f>General!$B$5</f>
        <v>€</v>
      </c>
      <c r="D32" s="28"/>
      <c r="E32" s="28"/>
    </row>
    <row r="33" ht="15.75" customHeight="1">
      <c r="A33" s="18" t="s">
        <v>35</v>
      </c>
      <c r="B33" s="27">
        <f>D12*VLOOKUP(B9,Printers!A2:G100,6,0)*General!B2</f>
        <v>0.05852637</v>
      </c>
      <c r="C33" s="21" t="str">
        <f>General!$B$5</f>
        <v>€</v>
      </c>
    </row>
    <row r="34" ht="15.75" customHeight="1">
      <c r="A34" s="18" t="s">
        <v>36</v>
      </c>
      <c r="B34" s="27">
        <f>D12*VLOOKUP(B9,Printers!A2:G100,7,0)</f>
        <v>1.29</v>
      </c>
      <c r="C34" s="21" t="str">
        <f>General!$B$5</f>
        <v>€</v>
      </c>
    </row>
    <row r="35" ht="15.75" customHeight="1">
      <c r="A35" s="18" t="s">
        <v>21</v>
      </c>
      <c r="B35" s="27">
        <f>B19/60*General!B3</f>
        <v>0</v>
      </c>
      <c r="C35" s="21" t="str">
        <f>General!$B$5</f>
        <v>€</v>
      </c>
    </row>
    <row r="36" ht="15.75" customHeight="1">
      <c r="A36" s="18" t="s">
        <v>28</v>
      </c>
      <c r="B36" s="27">
        <f>B25/60*General!B3</f>
        <v>0</v>
      </c>
      <c r="C36" s="21" t="str">
        <f>General!$B$5</f>
        <v>€</v>
      </c>
    </row>
    <row r="37" ht="15.75" customHeight="1">
      <c r="A37" s="18" t="s">
        <v>33</v>
      </c>
      <c r="B37" s="27">
        <f>B28</f>
        <v>0.1</v>
      </c>
      <c r="C37" s="21" t="str">
        <f>General!$B$5</f>
        <v>€</v>
      </c>
      <c r="D37" s="29" t="s">
        <v>37</v>
      </c>
    </row>
    <row r="38" ht="15.75" customHeight="1">
      <c r="A38" s="18" t="s">
        <v>38</v>
      </c>
      <c r="B38" s="30">
        <f>SUM(B32:B37)</f>
        <v>1.74752637</v>
      </c>
      <c r="C38" s="21" t="str">
        <f>General!$B$5</f>
        <v>€</v>
      </c>
      <c r="D38" s="31">
        <f>B32+B33+B34+B37</f>
        <v>1.74752637</v>
      </c>
    </row>
    <row r="39" ht="15.75" customHeight="1">
      <c r="A39" s="18" t="s">
        <v>39</v>
      </c>
      <c r="B39" s="30">
        <f>B38*(General!B4/100+1)</f>
        <v>1.922279007</v>
      </c>
      <c r="C39" s="21" t="str">
        <f>General!$B$5</f>
        <v>€</v>
      </c>
    </row>
    <row r="40" ht="15.75" customHeight="1"/>
    <row r="41" ht="15.75" customHeight="1">
      <c r="A41" s="1" t="s">
        <v>40</v>
      </c>
    </row>
    <row r="42" ht="15.75" customHeight="1">
      <c r="A42" s="18" t="s">
        <v>41</v>
      </c>
      <c r="B42" s="32">
        <v>1.0</v>
      </c>
    </row>
    <row r="43" ht="15.75" customHeight="1">
      <c r="A43" s="18" t="s">
        <v>42</v>
      </c>
      <c r="B43" s="30">
        <f>B39*B42</f>
        <v>1.922279007</v>
      </c>
      <c r="C43" s="21" t="str">
        <f>General!$B$5</f>
        <v>€</v>
      </c>
    </row>
    <row r="44" ht="15.75" customHeight="1">
      <c r="A44" s="18" t="s">
        <v>43</v>
      </c>
      <c r="B44" s="33"/>
      <c r="C44" s="21" t="str">
        <f>General!$B$5</f>
        <v>€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10:C10"/>
    <mergeCell ref="A14:C14"/>
    <mergeCell ref="A21:C21"/>
    <mergeCell ref="A27:C27"/>
    <mergeCell ref="A31:C31"/>
    <mergeCell ref="A41:C41"/>
    <mergeCell ref="A2:C2"/>
    <mergeCell ref="G2:H2"/>
    <mergeCell ref="B3:C3"/>
    <mergeCell ref="G3:H3"/>
    <mergeCell ref="B5:D5"/>
    <mergeCell ref="A8:C8"/>
    <mergeCell ref="B9:C9"/>
  </mergeCells>
  <dataValidations>
    <dataValidation type="list" allowBlank="1" showErrorMessage="1" sqref="B10">
      <formula1>Materials!A2:A100</formula1>
    </dataValidation>
    <dataValidation type="list" allowBlank="1" showErrorMessage="1" sqref="B9">
      <formula1>Printers!$A$2:$A$100</formula1>
    </dataValidation>
  </dataValidations>
  <printOptions/>
  <pageMargins bottom="0.7875" footer="0.0" header="0.0" left="0.7" right="0.7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17.29"/>
    <col customWidth="1" min="3" max="3" width="8.29"/>
    <col customWidth="1" min="4" max="4" width="13.86"/>
    <col customWidth="1" min="5" max="5" width="15.71"/>
    <col customWidth="1" min="6" max="6" width="19.0"/>
    <col customWidth="1" min="7" max="7" width="16.43"/>
    <col customWidth="1" min="8" max="26" width="8.71"/>
  </cols>
  <sheetData>
    <row r="1">
      <c r="A1" s="34" t="s">
        <v>44</v>
      </c>
      <c r="B1" s="34" t="s">
        <v>45</v>
      </c>
      <c r="C1" s="34" t="str">
        <f>"Price ["&amp;General!B5&amp;"]"</f>
        <v>Price [€]</v>
      </c>
      <c r="D1" s="34" t="s">
        <v>46</v>
      </c>
      <c r="E1" s="34" t="str">
        <f>"Service costs per life ["&amp;General!B5&amp;"]"</f>
        <v>Service costs per life [€]</v>
      </c>
      <c r="F1" s="34" t="s">
        <v>47</v>
      </c>
      <c r="G1" s="34" t="str">
        <f>"Depreciation ["&amp;General!B5&amp;"/h]"</f>
        <v>Depreciation [€/h]</v>
      </c>
    </row>
    <row r="2">
      <c r="A2" s="35" t="s">
        <v>48</v>
      </c>
      <c r="B2" s="35">
        <v>1.75</v>
      </c>
      <c r="C2" s="35">
        <v>450.0</v>
      </c>
      <c r="D2" s="35">
        <v>2000.0</v>
      </c>
      <c r="E2" s="35">
        <v>100.0</v>
      </c>
      <c r="F2" s="36">
        <v>0.15</v>
      </c>
      <c r="G2" s="37">
        <f t="shared" ref="G2:G5" si="1">(C2+E2)/D2</f>
        <v>0.275</v>
      </c>
    </row>
    <row r="3">
      <c r="A3" s="20" t="s">
        <v>11</v>
      </c>
      <c r="B3" s="35">
        <v>1.75</v>
      </c>
      <c r="C3" s="20">
        <v>760.0</v>
      </c>
      <c r="D3" s="35">
        <v>3000.0</v>
      </c>
      <c r="E3" s="35">
        <v>100.0</v>
      </c>
      <c r="F3" s="36">
        <v>0.1</v>
      </c>
      <c r="G3" s="37">
        <f t="shared" si="1"/>
        <v>0.2866666667</v>
      </c>
    </row>
    <row r="4">
      <c r="A4" s="35" t="s">
        <v>49</v>
      </c>
      <c r="B4" s="35">
        <v>2.85</v>
      </c>
      <c r="C4" s="35">
        <v>4400.0</v>
      </c>
      <c r="D4" s="35">
        <v>4000.0</v>
      </c>
      <c r="E4" s="35">
        <v>250.0</v>
      </c>
      <c r="F4" s="36">
        <v>0.11</v>
      </c>
      <c r="G4" s="37">
        <f t="shared" si="1"/>
        <v>1.1625</v>
      </c>
    </row>
    <row r="5">
      <c r="A5" s="35" t="s">
        <v>50</v>
      </c>
      <c r="B5" s="35">
        <v>2.85</v>
      </c>
      <c r="C5" s="35">
        <v>5549.0</v>
      </c>
      <c r="D5" s="35">
        <v>5000.0</v>
      </c>
      <c r="E5" s="35">
        <v>300.0</v>
      </c>
      <c r="F5" s="36">
        <v>0.12</v>
      </c>
      <c r="G5" s="37">
        <f t="shared" si="1"/>
        <v>1.1698</v>
      </c>
    </row>
    <row r="6">
      <c r="A6" s="35"/>
      <c r="B6" s="35"/>
      <c r="C6" s="35"/>
      <c r="D6" s="35"/>
      <c r="E6" s="35"/>
      <c r="F6" s="36"/>
      <c r="G6" s="38"/>
    </row>
    <row r="7">
      <c r="A7" s="35"/>
      <c r="B7" s="35"/>
      <c r="C7" s="35"/>
      <c r="D7" s="35"/>
      <c r="E7" s="35"/>
      <c r="F7" s="36"/>
      <c r="G7" s="38"/>
    </row>
    <row r="8">
      <c r="A8" s="35"/>
      <c r="B8" s="35"/>
      <c r="C8" s="35"/>
      <c r="D8" s="35"/>
      <c r="E8" s="35"/>
      <c r="F8" s="36"/>
      <c r="G8" s="38"/>
    </row>
    <row r="9">
      <c r="A9" s="35"/>
      <c r="B9" s="35"/>
      <c r="C9" s="35"/>
      <c r="D9" s="35"/>
      <c r="E9" s="35"/>
      <c r="F9" s="36"/>
      <c r="G9" s="38"/>
    </row>
    <row r="10">
      <c r="A10" s="35"/>
      <c r="B10" s="35"/>
      <c r="C10" s="35"/>
      <c r="D10" s="35"/>
      <c r="E10" s="35"/>
      <c r="F10" s="36"/>
      <c r="G10" s="38"/>
    </row>
    <row r="11">
      <c r="A11" s="35"/>
      <c r="B11" s="35"/>
      <c r="C11" s="35"/>
      <c r="D11" s="35"/>
      <c r="E11" s="35"/>
      <c r="F11" s="36"/>
      <c r="G11" s="38"/>
    </row>
    <row r="12">
      <c r="A12" s="35"/>
      <c r="B12" s="35"/>
      <c r="C12" s="35"/>
      <c r="D12" s="35"/>
      <c r="E12" s="35"/>
      <c r="F12" s="36"/>
      <c r="G12" s="38"/>
    </row>
    <row r="13">
      <c r="A13" s="35"/>
      <c r="B13" s="35"/>
      <c r="C13" s="35"/>
      <c r="D13" s="35"/>
      <c r="E13" s="35"/>
      <c r="F13" s="36"/>
      <c r="G13" s="38"/>
    </row>
    <row r="14">
      <c r="A14" s="35"/>
      <c r="B14" s="35"/>
      <c r="C14" s="35"/>
      <c r="D14" s="35"/>
      <c r="E14" s="35"/>
      <c r="F14" s="36"/>
      <c r="G14" s="38"/>
    </row>
    <row r="15">
      <c r="A15" s="35"/>
      <c r="B15" s="35"/>
      <c r="C15" s="35"/>
      <c r="D15" s="35"/>
      <c r="E15" s="35"/>
      <c r="F15" s="36"/>
      <c r="G15" s="38"/>
    </row>
    <row r="16">
      <c r="A16" s="35"/>
      <c r="B16" s="35"/>
      <c r="C16" s="35"/>
      <c r="D16" s="35"/>
      <c r="E16" s="35"/>
      <c r="F16" s="35"/>
      <c r="G16" s="38"/>
    </row>
    <row r="17">
      <c r="A17" s="35"/>
      <c r="B17" s="35"/>
      <c r="C17" s="35"/>
      <c r="D17" s="35"/>
      <c r="E17" s="35"/>
      <c r="F17" s="35"/>
      <c r="G17" s="38"/>
    </row>
    <row r="18">
      <c r="A18" s="35"/>
      <c r="B18" s="35"/>
      <c r="C18" s="35"/>
      <c r="D18" s="35"/>
      <c r="E18" s="35"/>
      <c r="F18" s="35"/>
      <c r="G18" s="38"/>
    </row>
    <row r="19">
      <c r="A19" s="35"/>
      <c r="B19" s="35"/>
      <c r="C19" s="35"/>
      <c r="D19" s="35"/>
      <c r="E19" s="35"/>
      <c r="F19" s="35"/>
      <c r="G19" s="38"/>
    </row>
    <row r="20">
      <c r="A20" s="35"/>
      <c r="B20" s="35"/>
      <c r="C20" s="35"/>
      <c r="D20" s="35"/>
      <c r="E20" s="35"/>
      <c r="F20" s="35"/>
      <c r="G20" s="38"/>
    </row>
    <row r="21" ht="15.75" customHeight="1">
      <c r="A21" s="35"/>
      <c r="B21" s="35"/>
      <c r="C21" s="35"/>
      <c r="D21" s="35"/>
      <c r="E21" s="35"/>
      <c r="F21" s="35"/>
      <c r="G21" s="38"/>
    </row>
    <row r="22" ht="15.75" customHeight="1">
      <c r="A22" s="35"/>
      <c r="B22" s="35"/>
      <c r="C22" s="35"/>
      <c r="D22" s="35"/>
      <c r="E22" s="35"/>
      <c r="F22" s="35"/>
      <c r="G22" s="38"/>
    </row>
    <row r="23" ht="15.75" customHeight="1">
      <c r="A23" s="35"/>
      <c r="B23" s="35"/>
      <c r="C23" s="35"/>
      <c r="D23" s="35"/>
      <c r="E23" s="35"/>
      <c r="F23" s="35"/>
      <c r="G23" s="38"/>
    </row>
    <row r="24" ht="15.75" customHeight="1">
      <c r="A24" s="35"/>
      <c r="B24" s="35"/>
      <c r="C24" s="35"/>
      <c r="D24" s="35"/>
      <c r="E24" s="35"/>
      <c r="F24" s="35"/>
      <c r="G24" s="38"/>
    </row>
    <row r="25" ht="15.75" customHeight="1">
      <c r="A25" s="35"/>
      <c r="B25" s="35"/>
      <c r="C25" s="35"/>
      <c r="D25" s="35"/>
      <c r="E25" s="35"/>
      <c r="F25" s="35"/>
      <c r="G25" s="38"/>
    </row>
    <row r="26" ht="15.75" customHeight="1">
      <c r="A26" s="35"/>
      <c r="B26" s="35"/>
      <c r="C26" s="35"/>
      <c r="D26" s="35"/>
      <c r="E26" s="35"/>
      <c r="F26" s="35"/>
      <c r="G26" s="38"/>
    </row>
    <row r="27" ht="15.75" customHeight="1">
      <c r="A27" s="35"/>
      <c r="B27" s="35"/>
      <c r="C27" s="35"/>
      <c r="D27" s="35"/>
      <c r="E27" s="35"/>
      <c r="F27" s="35"/>
      <c r="G27" s="38"/>
    </row>
    <row r="28" ht="15.75" customHeight="1">
      <c r="A28" s="35"/>
      <c r="B28" s="35"/>
      <c r="C28" s="35"/>
      <c r="D28" s="35"/>
      <c r="E28" s="35"/>
      <c r="F28" s="35"/>
      <c r="G28" s="38"/>
    </row>
    <row r="29" ht="15.75" customHeight="1">
      <c r="A29" s="35"/>
      <c r="B29" s="35"/>
      <c r="C29" s="35"/>
      <c r="D29" s="35"/>
      <c r="E29" s="35"/>
      <c r="F29" s="35"/>
      <c r="G29" s="38"/>
    </row>
    <row r="30" ht="15.75" customHeight="1">
      <c r="A30" s="35"/>
      <c r="B30" s="35"/>
      <c r="C30" s="35"/>
      <c r="D30" s="35"/>
      <c r="E30" s="35"/>
      <c r="F30" s="35"/>
      <c r="G30" s="38"/>
    </row>
    <row r="31" ht="15.75" customHeight="1">
      <c r="A31" s="35"/>
      <c r="B31" s="35"/>
      <c r="C31" s="35"/>
      <c r="D31" s="35"/>
      <c r="E31" s="35"/>
      <c r="F31" s="35"/>
      <c r="G31" s="38"/>
    </row>
    <row r="32" ht="15.75" customHeight="1">
      <c r="A32" s="35"/>
      <c r="B32" s="35"/>
      <c r="C32" s="35"/>
      <c r="D32" s="35"/>
      <c r="E32" s="35"/>
      <c r="F32" s="35"/>
      <c r="G32" s="38"/>
    </row>
    <row r="33" ht="15.75" customHeight="1">
      <c r="A33" s="35"/>
      <c r="B33" s="35"/>
      <c r="C33" s="35"/>
      <c r="D33" s="35"/>
      <c r="E33" s="35"/>
      <c r="F33" s="35"/>
      <c r="G33" s="38"/>
    </row>
    <row r="34" ht="15.75" customHeight="1">
      <c r="A34" s="35"/>
      <c r="B34" s="35"/>
      <c r="C34" s="35"/>
      <c r="D34" s="35"/>
      <c r="E34" s="35"/>
      <c r="F34" s="35"/>
      <c r="G34" s="38"/>
    </row>
    <row r="35" ht="15.75" customHeight="1">
      <c r="A35" s="35"/>
      <c r="B35" s="35"/>
      <c r="C35" s="35"/>
      <c r="D35" s="35"/>
      <c r="E35" s="35"/>
      <c r="F35" s="35"/>
      <c r="G35" s="38"/>
    </row>
    <row r="36" ht="15.75" customHeight="1">
      <c r="A36" s="35"/>
      <c r="B36" s="35"/>
      <c r="C36" s="35"/>
      <c r="D36" s="35"/>
      <c r="E36" s="35"/>
      <c r="F36" s="35"/>
      <c r="G36" s="38"/>
    </row>
    <row r="37" ht="15.75" customHeight="1">
      <c r="A37" s="35"/>
      <c r="B37" s="35"/>
      <c r="C37" s="35"/>
      <c r="D37" s="35"/>
      <c r="E37" s="35"/>
      <c r="F37" s="35"/>
      <c r="G37" s="38"/>
    </row>
    <row r="38" ht="15.75" customHeight="1">
      <c r="A38" s="35"/>
      <c r="B38" s="35"/>
      <c r="C38" s="35"/>
      <c r="D38" s="35"/>
      <c r="E38" s="35"/>
      <c r="F38" s="35"/>
      <c r="G38" s="38"/>
    </row>
    <row r="39" ht="15.75" customHeight="1">
      <c r="A39" s="35"/>
      <c r="B39" s="35"/>
      <c r="C39" s="35"/>
      <c r="D39" s="35"/>
      <c r="E39" s="35"/>
      <c r="F39" s="35"/>
      <c r="G39" s="38"/>
    </row>
    <row r="40" ht="15.75" customHeight="1">
      <c r="A40" s="35"/>
      <c r="B40" s="35"/>
      <c r="C40" s="35"/>
      <c r="D40" s="35"/>
      <c r="E40" s="35"/>
      <c r="F40" s="35"/>
      <c r="G40" s="38"/>
    </row>
    <row r="41" ht="15.75" customHeight="1">
      <c r="A41" s="35"/>
      <c r="B41" s="35"/>
      <c r="C41" s="35"/>
      <c r="D41" s="35"/>
      <c r="E41" s="35"/>
      <c r="F41" s="35"/>
      <c r="G41" s="38"/>
    </row>
    <row r="42" ht="15.75" customHeight="1">
      <c r="A42" s="35"/>
      <c r="B42" s="35"/>
      <c r="C42" s="35"/>
      <c r="D42" s="35"/>
      <c r="E42" s="35"/>
      <c r="F42" s="35"/>
      <c r="G42" s="38"/>
    </row>
    <row r="43" ht="15.75" customHeight="1">
      <c r="A43" s="35"/>
      <c r="B43" s="35"/>
      <c r="C43" s="35"/>
      <c r="D43" s="35"/>
      <c r="E43" s="35"/>
      <c r="F43" s="35"/>
      <c r="G43" s="38"/>
    </row>
    <row r="44" ht="15.75" customHeight="1">
      <c r="A44" s="35"/>
      <c r="B44" s="35"/>
      <c r="C44" s="35"/>
      <c r="D44" s="35"/>
      <c r="E44" s="35"/>
      <c r="F44" s="35"/>
      <c r="G44" s="38"/>
    </row>
    <row r="45" ht="15.75" customHeight="1">
      <c r="A45" s="35"/>
      <c r="B45" s="35"/>
      <c r="C45" s="35"/>
      <c r="D45" s="35"/>
      <c r="E45" s="35"/>
      <c r="F45" s="35"/>
      <c r="G45" s="38"/>
    </row>
    <row r="46" ht="15.75" customHeight="1">
      <c r="A46" s="35"/>
      <c r="B46" s="35"/>
      <c r="C46" s="35"/>
      <c r="D46" s="35"/>
      <c r="E46" s="35"/>
      <c r="F46" s="35"/>
      <c r="G46" s="38"/>
    </row>
    <row r="47" ht="15.75" customHeight="1">
      <c r="A47" s="35"/>
      <c r="B47" s="35"/>
      <c r="C47" s="35"/>
      <c r="D47" s="35"/>
      <c r="E47" s="35"/>
      <c r="F47" s="35"/>
      <c r="G47" s="38"/>
    </row>
    <row r="48" ht="15.75" customHeight="1">
      <c r="A48" s="35"/>
      <c r="B48" s="35"/>
      <c r="C48" s="35"/>
      <c r="D48" s="35"/>
      <c r="E48" s="35"/>
      <c r="F48" s="35"/>
      <c r="G48" s="38"/>
    </row>
    <row r="49" ht="15.75" customHeight="1">
      <c r="A49" s="35"/>
      <c r="B49" s="35"/>
      <c r="C49" s="35"/>
      <c r="D49" s="35"/>
      <c r="E49" s="35"/>
      <c r="F49" s="35"/>
      <c r="G49" s="38"/>
    </row>
    <row r="50" ht="15.75" customHeight="1">
      <c r="A50" s="35"/>
      <c r="B50" s="35"/>
      <c r="C50" s="35"/>
      <c r="D50" s="35"/>
      <c r="E50" s="35"/>
      <c r="F50" s="35"/>
      <c r="G50" s="38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7" right="0.7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57"/>
    <col customWidth="1" min="2" max="2" width="14.57"/>
    <col customWidth="1" min="3" max="3" width="13.71"/>
    <col customWidth="1" min="4" max="4" width="13.86"/>
    <col customWidth="1" min="5" max="5" width="16.14"/>
    <col customWidth="1" min="6" max="6" width="16.29"/>
    <col customWidth="1" min="7" max="7" width="13.57"/>
    <col customWidth="1" min="8" max="8" width="18.14"/>
    <col customWidth="1" min="9" max="9" width="17.57"/>
    <col customWidth="1" min="10" max="26" width="8.71"/>
  </cols>
  <sheetData>
    <row r="1">
      <c r="A1" s="39" t="s">
        <v>51</v>
      </c>
      <c r="B1" s="39" t="s">
        <v>52</v>
      </c>
      <c r="C1" s="39" t="str">
        <f>"Spool Price ["&amp;General!B5&amp;"]"</f>
        <v>Spool Price [€]</v>
      </c>
      <c r="D1" s="39" t="s">
        <v>53</v>
      </c>
      <c r="E1" s="39" t="s">
        <v>54</v>
      </c>
      <c r="F1" s="39" t="s">
        <v>55</v>
      </c>
      <c r="G1" s="39" t="s">
        <v>56</v>
      </c>
      <c r="H1" s="39" t="s">
        <v>57</v>
      </c>
      <c r="I1" s="39" t="str">
        <f>"Price ["&amp;General!B5&amp;"/kg]"</f>
        <v>Price [€/kg]</v>
      </c>
    </row>
    <row r="2">
      <c r="A2" s="35" t="s">
        <v>58</v>
      </c>
      <c r="B2" s="35">
        <v>1.75</v>
      </c>
      <c r="C2" s="40">
        <v>16.0</v>
      </c>
      <c r="D2" s="41">
        <v>0.8</v>
      </c>
      <c r="E2" s="41">
        <v>1.24</v>
      </c>
      <c r="F2" s="35">
        <v>220.0</v>
      </c>
      <c r="G2" s="35">
        <v>60.0</v>
      </c>
      <c r="H2" s="42">
        <f t="shared" ref="H2:H8" si="1">D2/E2*4/(PI()*(B2/100)^2)/10</f>
        <v>268.2268955</v>
      </c>
      <c r="I2" s="43">
        <f t="shared" ref="I2:I12" si="2">C2/D2</f>
        <v>20</v>
      </c>
    </row>
    <row r="3">
      <c r="A3" s="35" t="s">
        <v>59</v>
      </c>
      <c r="B3" s="35">
        <v>1.75</v>
      </c>
      <c r="C3" s="40">
        <v>45.0</v>
      </c>
      <c r="D3" s="41">
        <v>0.75</v>
      </c>
      <c r="E3" s="41">
        <v>1.19</v>
      </c>
      <c r="F3" s="35">
        <v>260.0</v>
      </c>
      <c r="G3" s="35">
        <v>80.0</v>
      </c>
      <c r="H3" s="42">
        <f t="shared" si="1"/>
        <v>262.0283748</v>
      </c>
      <c r="I3" s="43">
        <f t="shared" si="2"/>
        <v>60</v>
      </c>
    </row>
    <row r="4">
      <c r="A4" s="35" t="s">
        <v>60</v>
      </c>
      <c r="B4" s="35">
        <v>1.75</v>
      </c>
      <c r="C4" s="40">
        <v>35.0</v>
      </c>
      <c r="D4" s="41">
        <v>0.5</v>
      </c>
      <c r="E4" s="41">
        <v>1.05</v>
      </c>
      <c r="F4" s="35">
        <v>260.0</v>
      </c>
      <c r="G4" s="35">
        <v>115.0</v>
      </c>
      <c r="H4" s="42">
        <f t="shared" si="1"/>
        <v>197.9769943</v>
      </c>
      <c r="I4" s="43">
        <f t="shared" si="2"/>
        <v>70</v>
      </c>
    </row>
    <row r="5">
      <c r="A5" s="35" t="s">
        <v>61</v>
      </c>
      <c r="B5" s="35">
        <v>1.75</v>
      </c>
      <c r="C5" s="40">
        <v>30.0</v>
      </c>
      <c r="D5" s="41">
        <v>1.0</v>
      </c>
      <c r="E5" s="41">
        <v>1.03</v>
      </c>
      <c r="F5" s="35">
        <v>250.0</v>
      </c>
      <c r="G5" s="35">
        <v>100.0</v>
      </c>
      <c r="H5" s="42">
        <f t="shared" si="1"/>
        <v>403.6424156</v>
      </c>
      <c r="I5" s="43">
        <f t="shared" si="2"/>
        <v>30</v>
      </c>
    </row>
    <row r="6">
      <c r="A6" s="35" t="s">
        <v>62</v>
      </c>
      <c r="B6" s="35">
        <v>1.75</v>
      </c>
      <c r="C6" s="40">
        <v>50.0</v>
      </c>
      <c r="D6" s="41">
        <v>0.75</v>
      </c>
      <c r="E6" s="41">
        <v>1.27</v>
      </c>
      <c r="F6" s="35">
        <v>250.0</v>
      </c>
      <c r="G6" s="35">
        <v>65.0</v>
      </c>
      <c r="H6" s="42">
        <f t="shared" si="1"/>
        <v>245.5226504</v>
      </c>
      <c r="I6" s="43">
        <f t="shared" si="2"/>
        <v>66.66666667</v>
      </c>
    </row>
    <row r="7">
      <c r="A7" s="35" t="s">
        <v>63</v>
      </c>
      <c r="B7" s="35">
        <v>1.75</v>
      </c>
      <c r="C7" s="44">
        <v>30.0</v>
      </c>
      <c r="D7" s="45">
        <v>1.0</v>
      </c>
      <c r="E7" s="41">
        <v>1.27</v>
      </c>
      <c r="F7" s="35">
        <v>225.0</v>
      </c>
      <c r="G7" s="35">
        <v>65.0</v>
      </c>
      <c r="H7" s="42">
        <f t="shared" si="1"/>
        <v>327.3635339</v>
      </c>
      <c r="I7" s="43">
        <f t="shared" si="2"/>
        <v>30</v>
      </c>
    </row>
    <row r="8">
      <c r="A8" s="35" t="s">
        <v>64</v>
      </c>
      <c r="B8" s="35">
        <v>1.75</v>
      </c>
      <c r="C8" s="44">
        <v>21.0</v>
      </c>
      <c r="D8" s="45">
        <v>1.0</v>
      </c>
      <c r="E8" s="41">
        <v>1.24</v>
      </c>
      <c r="F8" s="35">
        <v>220.0</v>
      </c>
      <c r="G8" s="35">
        <v>60.0</v>
      </c>
      <c r="H8" s="42">
        <f t="shared" si="1"/>
        <v>335.2836194</v>
      </c>
      <c r="I8" s="43">
        <f t="shared" si="2"/>
        <v>21</v>
      </c>
    </row>
    <row r="9">
      <c r="A9" s="35" t="s">
        <v>65</v>
      </c>
      <c r="B9" s="35">
        <v>1.75</v>
      </c>
      <c r="C9" s="40">
        <v>25.0</v>
      </c>
      <c r="D9" s="41">
        <v>1.0</v>
      </c>
      <c r="E9" s="41">
        <v>1.24</v>
      </c>
      <c r="F9" s="35">
        <v>215.0</v>
      </c>
      <c r="G9" s="35">
        <v>65.0</v>
      </c>
      <c r="H9" s="42"/>
      <c r="I9" s="43">
        <f t="shared" si="2"/>
        <v>25</v>
      </c>
    </row>
    <row r="10">
      <c r="A10" s="20" t="s">
        <v>13</v>
      </c>
      <c r="B10" s="35">
        <v>1.75</v>
      </c>
      <c r="C10" s="44">
        <v>23.0</v>
      </c>
      <c r="D10" s="45">
        <v>1.0</v>
      </c>
      <c r="E10" s="45">
        <v>1.27</v>
      </c>
      <c r="F10" s="35"/>
      <c r="G10" s="35"/>
      <c r="H10" s="42"/>
      <c r="I10" s="43">
        <f t="shared" si="2"/>
        <v>23</v>
      </c>
    </row>
    <row r="11">
      <c r="A11" s="20" t="s">
        <v>66</v>
      </c>
      <c r="B11" s="35">
        <v>1.75</v>
      </c>
      <c r="C11" s="44">
        <v>15.0</v>
      </c>
      <c r="D11" s="45">
        <v>1.0</v>
      </c>
      <c r="E11" s="41">
        <v>1.24</v>
      </c>
      <c r="F11" s="35">
        <v>220.0</v>
      </c>
      <c r="G11" s="35">
        <v>60.0</v>
      </c>
      <c r="H11" s="42">
        <f>D11/E11*4/(PI()*(B11/100)^2)/10</f>
        <v>335.2836194</v>
      </c>
      <c r="I11" s="43">
        <f t="shared" si="2"/>
        <v>15</v>
      </c>
    </row>
    <row r="12">
      <c r="A12" s="20" t="s">
        <v>67</v>
      </c>
      <c r="B12" s="35">
        <v>1.75</v>
      </c>
      <c r="C12" s="44">
        <v>30.0</v>
      </c>
      <c r="D12" s="45">
        <v>1.0</v>
      </c>
      <c r="E12" s="45">
        <v>1.27</v>
      </c>
      <c r="F12" s="35"/>
      <c r="G12" s="35"/>
      <c r="H12" s="42"/>
      <c r="I12" s="43">
        <f t="shared" si="2"/>
        <v>30</v>
      </c>
    </row>
    <row r="13">
      <c r="A13" s="35"/>
      <c r="B13" s="35"/>
      <c r="C13" s="40"/>
      <c r="D13" s="41"/>
      <c r="E13" s="41"/>
      <c r="F13" s="35"/>
      <c r="G13" s="35"/>
      <c r="H13" s="42"/>
    </row>
    <row r="14">
      <c r="A14" s="35"/>
      <c r="B14" s="35"/>
      <c r="C14" s="40"/>
      <c r="D14" s="41"/>
      <c r="E14" s="41"/>
      <c r="F14" s="35"/>
      <c r="G14" s="35"/>
      <c r="H14" s="42"/>
    </row>
    <row r="15">
      <c r="A15" s="35"/>
      <c r="B15" s="35"/>
      <c r="C15" s="40"/>
      <c r="D15" s="41"/>
      <c r="E15" s="41"/>
      <c r="F15" s="35"/>
      <c r="G15" s="35"/>
      <c r="H15" s="42"/>
    </row>
    <row r="16">
      <c r="A16" s="35"/>
      <c r="B16" s="35"/>
      <c r="C16" s="40"/>
      <c r="D16" s="41"/>
      <c r="E16" s="41"/>
      <c r="F16" s="35"/>
      <c r="G16" s="35"/>
      <c r="H16" s="42"/>
    </row>
    <row r="17">
      <c r="A17" s="35"/>
      <c r="B17" s="35"/>
      <c r="C17" s="40"/>
      <c r="D17" s="41"/>
      <c r="E17" s="41"/>
      <c r="F17" s="35"/>
      <c r="G17" s="35"/>
      <c r="H17" s="42"/>
    </row>
    <row r="18">
      <c r="A18" s="35"/>
      <c r="B18" s="35"/>
      <c r="C18" s="40"/>
      <c r="D18" s="41"/>
      <c r="E18" s="41"/>
      <c r="F18" s="35"/>
      <c r="G18" s="35"/>
      <c r="H18" s="42"/>
    </row>
    <row r="19">
      <c r="A19" s="35"/>
      <c r="B19" s="35"/>
      <c r="C19" s="40"/>
      <c r="D19" s="41"/>
      <c r="E19" s="41"/>
      <c r="F19" s="35"/>
      <c r="G19" s="35"/>
      <c r="H19" s="42"/>
    </row>
    <row r="20">
      <c r="A20" s="35"/>
      <c r="B20" s="35"/>
      <c r="C20" s="40"/>
      <c r="D20" s="41"/>
      <c r="E20" s="41"/>
      <c r="F20" s="35"/>
      <c r="G20" s="35"/>
      <c r="H20" s="42"/>
    </row>
    <row r="21" ht="15.75" customHeight="1">
      <c r="A21" s="35"/>
      <c r="B21" s="35"/>
      <c r="C21" s="40"/>
      <c r="D21" s="41"/>
      <c r="E21" s="41"/>
      <c r="F21" s="35"/>
      <c r="G21" s="35"/>
      <c r="H21" s="42"/>
    </row>
    <row r="22" ht="15.75" customHeight="1">
      <c r="A22" s="35"/>
      <c r="B22" s="35"/>
      <c r="C22" s="40"/>
      <c r="D22" s="41"/>
      <c r="E22" s="41"/>
      <c r="F22" s="35"/>
      <c r="G22" s="35"/>
      <c r="H22" s="42"/>
    </row>
    <row r="23" ht="15.75" customHeight="1">
      <c r="A23" s="35"/>
      <c r="B23" s="35"/>
      <c r="C23" s="40"/>
      <c r="D23" s="41"/>
      <c r="E23" s="41"/>
      <c r="F23" s="35"/>
      <c r="G23" s="35"/>
      <c r="H23" s="42"/>
    </row>
    <row r="24" ht="15.75" customHeight="1">
      <c r="A24" s="35"/>
      <c r="B24" s="35"/>
      <c r="C24" s="40"/>
      <c r="D24" s="41"/>
      <c r="E24" s="41"/>
      <c r="F24" s="35"/>
      <c r="G24" s="35"/>
      <c r="H24" s="42"/>
    </row>
    <row r="25" ht="15.75" customHeight="1">
      <c r="A25" s="35"/>
      <c r="B25" s="35"/>
      <c r="C25" s="40"/>
      <c r="D25" s="41"/>
      <c r="E25" s="41"/>
      <c r="F25" s="35"/>
      <c r="G25" s="35"/>
      <c r="H25" s="42"/>
    </row>
    <row r="26" ht="15.75" customHeight="1">
      <c r="A26" s="35"/>
      <c r="B26" s="35"/>
      <c r="C26" s="40"/>
      <c r="D26" s="41"/>
      <c r="E26" s="41"/>
      <c r="F26" s="35"/>
      <c r="G26" s="35"/>
      <c r="H26" s="42"/>
    </row>
    <row r="27" ht="15.75" customHeight="1">
      <c r="A27" s="35"/>
      <c r="B27" s="35"/>
      <c r="C27" s="40"/>
      <c r="D27" s="41"/>
      <c r="E27" s="41"/>
      <c r="F27" s="35"/>
      <c r="G27" s="35"/>
      <c r="H27" s="42"/>
    </row>
    <row r="28" ht="15.75" customHeight="1">
      <c r="A28" s="35"/>
      <c r="B28" s="35"/>
      <c r="C28" s="40"/>
      <c r="D28" s="41"/>
      <c r="E28" s="41"/>
      <c r="F28" s="35"/>
      <c r="G28" s="35"/>
      <c r="H28" s="42"/>
    </row>
    <row r="29" ht="15.75" customHeight="1">
      <c r="A29" s="35"/>
      <c r="B29" s="35"/>
      <c r="C29" s="40"/>
      <c r="D29" s="41"/>
      <c r="E29" s="41"/>
      <c r="F29" s="35"/>
      <c r="G29" s="35"/>
      <c r="H29" s="42"/>
    </row>
    <row r="30" ht="15.75" customHeight="1">
      <c r="A30" s="35"/>
      <c r="B30" s="35"/>
      <c r="C30" s="40"/>
      <c r="D30" s="41"/>
      <c r="E30" s="41"/>
      <c r="F30" s="35"/>
      <c r="G30" s="35"/>
      <c r="H30" s="42"/>
    </row>
    <row r="31" ht="15.75" customHeight="1">
      <c r="A31" s="35"/>
      <c r="B31" s="35"/>
      <c r="C31" s="40"/>
      <c r="D31" s="41"/>
      <c r="E31" s="41"/>
      <c r="F31" s="35"/>
      <c r="G31" s="35"/>
      <c r="H31" s="38"/>
    </row>
    <row r="32" ht="15.75" customHeight="1">
      <c r="A32" s="35"/>
      <c r="B32" s="35"/>
      <c r="C32" s="40"/>
      <c r="D32" s="41"/>
      <c r="E32" s="41"/>
      <c r="F32" s="35"/>
      <c r="G32" s="35"/>
      <c r="H32" s="38"/>
    </row>
    <row r="33" ht="15.75" customHeight="1">
      <c r="A33" s="35"/>
      <c r="B33" s="35"/>
      <c r="C33" s="40"/>
      <c r="D33" s="41"/>
      <c r="E33" s="41"/>
      <c r="F33" s="35"/>
      <c r="G33" s="35"/>
      <c r="H33" s="38"/>
    </row>
    <row r="34" ht="15.75" customHeight="1">
      <c r="A34" s="35"/>
      <c r="B34" s="35"/>
      <c r="C34" s="40"/>
      <c r="D34" s="41"/>
      <c r="E34" s="41"/>
      <c r="F34" s="35"/>
      <c r="G34" s="35"/>
      <c r="H34" s="38"/>
    </row>
    <row r="35" ht="15.75" customHeight="1">
      <c r="A35" s="35"/>
      <c r="B35" s="35"/>
      <c r="C35" s="40"/>
      <c r="D35" s="41"/>
      <c r="E35" s="41"/>
      <c r="F35" s="35"/>
      <c r="G35" s="35"/>
      <c r="H35" s="38"/>
    </row>
    <row r="36" ht="15.75" customHeight="1">
      <c r="A36" s="35"/>
      <c r="B36" s="35"/>
      <c r="C36" s="40"/>
      <c r="D36" s="41"/>
      <c r="E36" s="41"/>
      <c r="F36" s="35"/>
      <c r="G36" s="35"/>
      <c r="H36" s="38"/>
    </row>
    <row r="37" ht="15.75" customHeight="1">
      <c r="A37" s="35"/>
      <c r="B37" s="35"/>
      <c r="C37" s="35"/>
      <c r="D37" s="41"/>
      <c r="E37" s="41"/>
      <c r="F37" s="35"/>
      <c r="G37" s="35"/>
      <c r="H37" s="38"/>
    </row>
    <row r="38" ht="15.75" customHeight="1">
      <c r="A38" s="35"/>
      <c r="B38" s="35"/>
      <c r="C38" s="35"/>
      <c r="D38" s="41"/>
      <c r="E38" s="35"/>
      <c r="F38" s="35"/>
      <c r="G38" s="35"/>
      <c r="H38" s="38"/>
    </row>
    <row r="39" ht="15.75" customHeight="1">
      <c r="A39" s="35"/>
      <c r="B39" s="35"/>
      <c r="C39" s="35"/>
      <c r="D39" s="35"/>
      <c r="E39" s="35"/>
      <c r="F39" s="35"/>
      <c r="G39" s="35"/>
      <c r="H39" s="38"/>
    </row>
    <row r="40" ht="15.75" customHeight="1">
      <c r="A40" s="35"/>
      <c r="B40" s="35"/>
      <c r="C40" s="35"/>
      <c r="D40" s="35"/>
      <c r="E40" s="35"/>
      <c r="F40" s="35"/>
      <c r="G40" s="35"/>
      <c r="H40" s="38"/>
    </row>
    <row r="41" ht="15.75" customHeight="1">
      <c r="A41" s="35"/>
      <c r="B41" s="35"/>
      <c r="C41" s="35"/>
      <c r="D41" s="35"/>
      <c r="E41" s="35"/>
      <c r="F41" s="35"/>
      <c r="G41" s="35"/>
      <c r="H41" s="38"/>
    </row>
    <row r="42" ht="15.75" customHeight="1">
      <c r="A42" s="35"/>
      <c r="B42" s="35"/>
      <c r="C42" s="35"/>
      <c r="D42" s="35"/>
      <c r="E42" s="35"/>
      <c r="F42" s="35"/>
      <c r="G42" s="35"/>
      <c r="H42" s="38"/>
    </row>
    <row r="43" ht="15.75" customHeight="1">
      <c r="A43" s="35"/>
      <c r="B43" s="35"/>
      <c r="C43" s="35"/>
      <c r="D43" s="35"/>
      <c r="E43" s="35"/>
      <c r="F43" s="35"/>
      <c r="G43" s="35"/>
      <c r="H43" s="38"/>
    </row>
    <row r="44" ht="15.75" customHeight="1">
      <c r="A44" s="35"/>
      <c r="B44" s="35"/>
      <c r="C44" s="35"/>
      <c r="D44" s="35"/>
      <c r="E44" s="35"/>
      <c r="F44" s="35"/>
      <c r="G44" s="35"/>
      <c r="H44" s="38"/>
    </row>
    <row r="45" ht="15.75" customHeight="1">
      <c r="A45" s="35"/>
      <c r="B45" s="35"/>
      <c r="C45" s="35"/>
      <c r="D45" s="35"/>
      <c r="E45" s="35"/>
      <c r="F45" s="35"/>
      <c r="G45" s="35"/>
      <c r="H45" s="38"/>
    </row>
    <row r="46" ht="15.75" customHeight="1">
      <c r="A46" s="35"/>
      <c r="B46" s="35"/>
      <c r="C46" s="35"/>
      <c r="D46" s="35"/>
      <c r="E46" s="35"/>
      <c r="F46" s="35"/>
      <c r="G46" s="35"/>
      <c r="H46" s="38"/>
    </row>
    <row r="47" ht="15.75" customHeight="1">
      <c r="A47" s="35"/>
      <c r="B47" s="35"/>
      <c r="C47" s="35"/>
      <c r="D47" s="35"/>
      <c r="E47" s="35"/>
      <c r="F47" s="35"/>
      <c r="G47" s="35"/>
      <c r="H47" s="38"/>
    </row>
    <row r="48" ht="15.75" customHeight="1">
      <c r="A48" s="35"/>
      <c r="B48" s="35"/>
      <c r="C48" s="35"/>
      <c r="D48" s="35"/>
      <c r="E48" s="35"/>
      <c r="F48" s="35"/>
      <c r="G48" s="35"/>
      <c r="H48" s="38"/>
    </row>
    <row r="49" ht="15.75" customHeight="1">
      <c r="A49" s="35"/>
      <c r="B49" s="35"/>
      <c r="C49" s="35"/>
      <c r="D49" s="35"/>
      <c r="E49" s="35"/>
      <c r="F49" s="35"/>
      <c r="G49" s="35"/>
      <c r="H49" s="38"/>
    </row>
    <row r="50" ht="15.75" customHeight="1">
      <c r="A50" s="35"/>
      <c r="B50" s="35"/>
      <c r="C50" s="35"/>
      <c r="D50" s="35"/>
      <c r="E50" s="35"/>
      <c r="F50" s="35"/>
      <c r="G50" s="35"/>
      <c r="H50" s="38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2:I38">
    <cfRule type="colorScale" priority="1">
      <colorScale>
        <cfvo type="min" val="0"/>
        <cfvo type="max" val="0"/>
        <color rgb="FFFCFCFF"/>
        <color rgb="FFF8696B"/>
      </colorScale>
    </cfRule>
  </conditionalFormatting>
  <printOptions/>
  <pageMargins bottom="0.7875" footer="0.0" header="0.0" left="0.7" right="0.7" top="0.78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57"/>
    <col customWidth="1" min="7" max="26" width="8.71"/>
  </cols>
  <sheetData>
    <row r="2">
      <c r="A2" s="39" t="s">
        <v>68</v>
      </c>
      <c r="B2" s="20">
        <v>0.1300586</v>
      </c>
      <c r="C2" s="21" t="str">
        <f>B5&amp;"/kWh"</f>
        <v>€/kWh</v>
      </c>
    </row>
    <row r="3">
      <c r="A3" s="39" t="s">
        <v>69</v>
      </c>
      <c r="B3" s="20">
        <v>0.0</v>
      </c>
      <c r="C3" s="21" t="str">
        <f>B5&amp;"/h"</f>
        <v>€/h</v>
      </c>
    </row>
    <row r="4">
      <c r="A4" s="39" t="s">
        <v>70</v>
      </c>
      <c r="B4" s="35">
        <v>10.0</v>
      </c>
      <c r="C4" t="s">
        <v>71</v>
      </c>
    </row>
    <row r="5">
      <c r="A5" s="39" t="s">
        <v>72</v>
      </c>
      <c r="B5" s="46" t="s">
        <v>73</v>
      </c>
      <c r="C5" s="2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7" right="0.7" top="0.7875"/>
  <pageSetup paperSize="9" orientation="portrait"/>
  <drawing r:id="rId1"/>
</worksheet>
</file>