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codeName="ThisWorkbook"/>
  <mc:AlternateContent xmlns:mc="http://schemas.openxmlformats.org/markup-compatibility/2006">
    <mc:Choice Requires="x15">
      <x15ac:absPath xmlns:x15ac="http://schemas.microsoft.com/office/spreadsheetml/2010/11/ac" url="/Users/lukaseamus/Desktop/PhD/Papers/Photosynthesis/"/>
    </mc:Choice>
  </mc:AlternateContent>
  <xr:revisionPtr revIDLastSave="0" documentId="13_ncr:1_{B09C8CE8-7F04-E44F-BDC2-52801C292168}" xr6:coauthVersionLast="47" xr6:coauthVersionMax="47" xr10:uidLastSave="{00000000-0000-0000-0000-000000000000}"/>
  <bookViews>
    <workbookView xWindow="0" yWindow="500" windowWidth="38400" windowHeight="19020" activeTab="3" xr2:uid="{00000000-000D-0000-FFFF-FFFF00000000}"/>
  </bookViews>
  <sheets>
    <sheet name="INFO" sheetId="9" r:id="rId1"/>
    <sheet name="Instruction" sheetId="11" r:id="rId2"/>
    <sheet name="Hydrogen" sheetId="1" r:id="rId3"/>
    <sheet name="Carbon" sheetId="7" r:id="rId4"/>
    <sheet name="Nitrogen" sheetId="6" r:id="rId5"/>
    <sheet name="Oxygen+17O(correction)" sheetId="8" r:id="rId6"/>
    <sheet name="Sulphur+33S&amp;36S(correction)" sheetId="10" r:id="rId7"/>
    <sheet name="Tables" sheetId="2" r:id="rId8"/>
    <sheet name="Constants" sheetId="3" r:id="rId9"/>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8" l="1"/>
  <c r="E9" i="8" s="1"/>
  <c r="E5" i="8"/>
  <c r="B14" i="8" s="1"/>
  <c r="D10" i="8"/>
  <c r="D9" i="8"/>
  <c r="C49" i="2"/>
  <c r="C51" i="2"/>
  <c r="C52" i="2"/>
  <c r="C53" i="2"/>
  <c r="C25" i="2"/>
  <c r="C26" i="2"/>
  <c r="C27" i="2"/>
  <c r="C28" i="2"/>
  <c r="C29" i="2"/>
  <c r="C31" i="2"/>
  <c r="D8" i="6" s="1"/>
  <c r="C32" i="2"/>
  <c r="C33" i="2"/>
  <c r="D8" i="7"/>
  <c r="D7" i="7"/>
  <c r="C6" i="2"/>
  <c r="D8" i="1"/>
  <c r="D7" i="1"/>
  <c r="D7" i="8"/>
  <c r="D6" i="8"/>
  <c r="D18" i="10"/>
  <c r="D16" i="10"/>
  <c r="D14" i="10"/>
  <c r="D13" i="10"/>
  <c r="D11" i="10"/>
  <c r="D10" i="10"/>
  <c r="C9" i="1"/>
  <c r="C22" i="10"/>
  <c r="F56" i="10" s="1"/>
  <c r="C19" i="10"/>
  <c r="D8" i="10"/>
  <c r="D7" i="10"/>
  <c r="D4" i="10"/>
  <c r="M62" i="10"/>
  <c r="E62" i="10"/>
  <c r="L59" i="10"/>
  <c r="D54" i="10"/>
  <c r="K54" i="10"/>
  <c r="E51" i="10"/>
  <c r="L51" i="10"/>
  <c r="K46" i="10"/>
  <c r="E43" i="10"/>
  <c r="K38" i="10"/>
  <c r="F32" i="10"/>
  <c r="M32" i="10"/>
  <c r="D30" i="10"/>
  <c r="K30" i="10"/>
  <c r="M24" i="10"/>
  <c r="F55" i="10"/>
  <c r="M47" i="10"/>
  <c r="M39" i="10"/>
  <c r="E23" i="10"/>
  <c r="F54" i="10"/>
  <c r="M54" i="10"/>
  <c r="D36" i="10"/>
  <c r="F51" i="10"/>
  <c r="M51" i="10"/>
  <c r="D25" i="10"/>
  <c r="F61" i="10"/>
  <c r="K59" i="10"/>
  <c r="E56" i="10"/>
  <c r="L56" i="10"/>
  <c r="F53" i="10"/>
  <c r="E48" i="10"/>
  <c r="L48" i="10"/>
  <c r="D43" i="10"/>
  <c r="E40" i="10"/>
  <c r="M37" i="10"/>
  <c r="D35" i="10"/>
  <c r="K35" i="10"/>
  <c r="E32" i="10"/>
  <c r="D27" i="10"/>
  <c r="K27" i="10"/>
  <c r="L58" i="10"/>
  <c r="K53" i="10"/>
  <c r="D45" i="10"/>
  <c r="D37" i="10"/>
  <c r="K37" i="10"/>
  <c r="D29" i="10"/>
  <c r="K29" i="10"/>
  <c r="L41" i="10"/>
  <c r="D57" i="10"/>
  <c r="L46" i="10"/>
  <c r="M35" i="10"/>
  <c r="E61" i="10"/>
  <c r="F58" i="10"/>
  <c r="M58" i="10"/>
  <c r="D56" i="10"/>
  <c r="K56" i="10"/>
  <c r="M50" i="10"/>
  <c r="D48" i="10"/>
  <c r="L45" i="10"/>
  <c r="M42" i="10"/>
  <c r="D40" i="10"/>
  <c r="E37" i="10"/>
  <c r="L37" i="10"/>
  <c r="F34" i="10"/>
  <c r="M34" i="10"/>
  <c r="L29" i="10"/>
  <c r="F26" i="10"/>
  <c r="L24" i="10"/>
  <c r="K61" i="10"/>
  <c r="E50" i="10"/>
  <c r="E42" i="10"/>
  <c r="L42" i="10"/>
  <c r="E34" i="10"/>
  <c r="L34" i="10"/>
  <c r="K60" i="10"/>
  <c r="F38" i="10"/>
  <c r="L25" i="10"/>
  <c r="K49" i="10"/>
  <c r="F27" i="10"/>
  <c r="F60" i="10"/>
  <c r="M60" i="10"/>
  <c r="D58" i="10"/>
  <c r="K58" i="10"/>
  <c r="M52" i="10"/>
  <c r="D50" i="10"/>
  <c r="L47" i="10"/>
  <c r="M44" i="10"/>
  <c r="D42" i="10"/>
  <c r="E39" i="10"/>
  <c r="L39" i="10"/>
  <c r="F36" i="10"/>
  <c r="M36" i="10"/>
  <c r="L31" i="10"/>
  <c r="F28" i="10"/>
  <c r="K26" i="10"/>
  <c r="K24" i="10"/>
  <c r="D52" i="10"/>
  <c r="F46" i="10"/>
  <c r="M46" i="10"/>
  <c r="E33" i="10"/>
  <c r="L33" i="10"/>
  <c r="L54" i="10"/>
  <c r="D41" i="10"/>
  <c r="L30" i="10"/>
  <c r="L60" i="10"/>
  <c r="F57" i="10"/>
  <c r="D55" i="10"/>
  <c r="K55" i="10"/>
  <c r="E52" i="10"/>
  <c r="L52" i="10"/>
  <c r="K47" i="10"/>
  <c r="E44" i="10"/>
  <c r="M41" i="10"/>
  <c r="K39" i="10"/>
  <c r="E36" i="10"/>
  <c r="F33" i="10"/>
  <c r="M33" i="10"/>
  <c r="D31" i="10"/>
  <c r="K31" i="10"/>
  <c r="M25" i="10"/>
  <c r="E49" i="10"/>
  <c r="K44" i="10"/>
  <c r="M30" i="10"/>
  <c r="F43" i="10"/>
  <c r="D33" i="10"/>
  <c r="K33" i="10"/>
  <c r="F22" i="10"/>
  <c r="M22" i="10"/>
  <c r="C13" i="8"/>
  <c r="C9" i="7"/>
  <c r="C9" i="6"/>
  <c r="C17" i="8"/>
  <c r="D50" i="8" s="1"/>
  <c r="D12" i="8"/>
  <c r="C12" i="7"/>
  <c r="D13" i="7" s="1"/>
  <c r="D4" i="8"/>
  <c r="D4" i="6"/>
  <c r="D4" i="7"/>
  <c r="D27" i="2"/>
  <c r="D28" i="2"/>
  <c r="D29" i="2"/>
  <c r="D33" i="2"/>
  <c r="D26" i="2"/>
  <c r="C12" i="6"/>
  <c r="F20" i="6" s="1"/>
  <c r="D51" i="2"/>
  <c r="D49" i="2"/>
  <c r="D52" i="2"/>
  <c r="E32" i="6"/>
  <c r="E30" i="6"/>
  <c r="F46" i="6"/>
  <c r="F44" i="6"/>
  <c r="K33" i="6"/>
  <c r="D23" i="6"/>
  <c r="L16" i="6"/>
  <c r="F51" i="6"/>
  <c r="E51" i="6"/>
  <c r="F27" i="6"/>
  <c r="M35" i="6"/>
  <c r="K38" i="6"/>
  <c r="E49" i="6"/>
  <c r="L49" i="6"/>
  <c r="K47" i="6"/>
  <c r="L24" i="6"/>
  <c r="M14" i="6"/>
  <c r="L35" i="6"/>
  <c r="M41" i="6"/>
  <c r="M29" i="6"/>
  <c r="K39" i="6"/>
  <c r="M19" i="6"/>
  <c r="K23" i="6"/>
  <c r="C12" i="1"/>
  <c r="D36" i="1" s="1"/>
  <c r="D13" i="1"/>
  <c r="E12" i="1"/>
  <c r="L12" i="1" s="1"/>
  <c r="D4" i="1"/>
  <c r="E13" i="1"/>
  <c r="F52" i="1"/>
  <c r="F44" i="1"/>
  <c r="E43" i="1"/>
  <c r="E52" i="1"/>
  <c r="E44" i="1"/>
  <c r="D43" i="1"/>
  <c r="D52" i="1"/>
  <c r="D44" i="1"/>
  <c r="F51" i="1"/>
  <c r="E50" i="1"/>
  <c r="F42" i="1"/>
  <c r="E41" i="1"/>
  <c r="D40" i="1"/>
  <c r="D32" i="1"/>
  <c r="F30" i="1"/>
  <c r="E29" i="1"/>
  <c r="F26" i="1"/>
  <c r="E25" i="1"/>
  <c r="F22" i="1"/>
  <c r="E21" i="1"/>
  <c r="D20" i="1"/>
  <c r="F18" i="1"/>
  <c r="E17" i="1"/>
  <c r="D16" i="1"/>
  <c r="F14" i="1"/>
  <c r="E35" i="1"/>
  <c r="E31" i="1"/>
  <c r="E27" i="1"/>
  <c r="F20" i="1"/>
  <c r="F16" i="1"/>
  <c r="F33" i="1"/>
  <c r="F29" i="1"/>
  <c r="D27" i="1"/>
  <c r="D23" i="1"/>
  <c r="D19" i="1"/>
  <c r="D15" i="1"/>
  <c r="E42" i="1"/>
  <c r="D41" i="1"/>
  <c r="F39" i="1"/>
  <c r="E38" i="1"/>
  <c r="D37" i="1"/>
  <c r="F35" i="1"/>
  <c r="E34" i="1"/>
  <c r="D33" i="1"/>
  <c r="F31" i="1"/>
  <c r="E30" i="1"/>
  <c r="D29" i="1"/>
  <c r="F27" i="1"/>
  <c r="E26" i="1"/>
  <c r="D25" i="1"/>
  <c r="F23" i="1"/>
  <c r="E22" i="1"/>
  <c r="D21" i="1"/>
  <c r="F19" i="1"/>
  <c r="E18" i="1"/>
  <c r="D17" i="1"/>
  <c r="F15" i="1"/>
  <c r="E14" i="1"/>
  <c r="D42" i="1"/>
  <c r="F40" i="1"/>
  <c r="E39" i="1"/>
  <c r="D38" i="1"/>
  <c r="F36" i="1"/>
  <c r="D34" i="1"/>
  <c r="F32" i="1"/>
  <c r="D30" i="1"/>
  <c r="F28" i="1"/>
  <c r="D26" i="1"/>
  <c r="F24" i="1"/>
  <c r="D22" i="1"/>
  <c r="E19" i="1"/>
  <c r="D18" i="1"/>
  <c r="E15" i="1"/>
  <c r="D14" i="1"/>
  <c r="F41" i="1"/>
  <c r="E40" i="1"/>
  <c r="D39" i="1"/>
  <c r="F37" i="1"/>
  <c r="E36" i="1"/>
  <c r="D35" i="1"/>
  <c r="E32" i="1"/>
  <c r="D31" i="1"/>
  <c r="E28" i="1"/>
  <c r="F25" i="1"/>
  <c r="E24" i="1"/>
  <c r="F21" i="1"/>
  <c r="E20" i="1"/>
  <c r="F17" i="1"/>
  <c r="E16" i="1"/>
  <c r="F13" i="1"/>
  <c r="K13" i="1"/>
  <c r="M16" i="1"/>
  <c r="L14" i="1"/>
  <c r="K27" i="1"/>
  <c r="L35" i="1"/>
  <c r="L46" i="1"/>
  <c r="M20" i="1"/>
  <c r="M42" i="1"/>
  <c r="L47" i="1"/>
  <c r="M47" i="1"/>
  <c r="K48" i="1"/>
  <c r="K22" i="1"/>
  <c r="K42" i="1"/>
  <c r="L40" i="1"/>
  <c r="K49" i="1"/>
  <c r="L20" i="1"/>
  <c r="L41" i="1"/>
  <c r="L24" i="1"/>
  <c r="L45" i="1"/>
  <c r="L18" i="1"/>
  <c r="L52" i="1"/>
  <c r="M49" i="1"/>
  <c r="M26" i="1"/>
  <c r="M40" i="1"/>
  <c r="L42" i="1"/>
  <c r="L29" i="1"/>
  <c r="K46" i="1"/>
  <c r="L33" i="1"/>
  <c r="M39" i="1"/>
  <c r="L19" i="1"/>
  <c r="M14" i="1"/>
  <c r="M33" i="1"/>
  <c r="K40" i="1"/>
  <c r="L44" i="1"/>
  <c r="L21" i="1"/>
  <c r="K18" i="1"/>
  <c r="L26" i="1"/>
  <c r="L23" i="1"/>
  <c r="K51" i="1"/>
  <c r="K28" i="1"/>
  <c r="L34" i="1"/>
  <c r="M41" i="1"/>
  <c r="L22" i="1"/>
  <c r="K21" i="1"/>
  <c r="M37" i="1"/>
  <c r="L43" i="1"/>
  <c r="K39" i="1"/>
  <c r="M19" i="1"/>
  <c r="K17" i="1"/>
  <c r="K35" i="1"/>
  <c r="L48" i="1"/>
  <c r="K36" i="1"/>
  <c r="K23" i="1"/>
  <c r="M15" i="1"/>
  <c r="L32" i="1"/>
  <c r="K47" i="1"/>
  <c r="M34" i="1"/>
  <c r="K38" i="1"/>
  <c r="M21" i="1"/>
  <c r="L49" i="1"/>
  <c r="L37" i="1"/>
  <c r="L38" i="1"/>
  <c r="M25" i="1"/>
  <c r="K31" i="1"/>
  <c r="M44" i="1"/>
  <c r="K44" i="1"/>
  <c r="K32" i="1"/>
  <c r="L31" i="1"/>
  <c r="M27" i="1"/>
  <c r="M48" i="1"/>
  <c r="L27" i="1"/>
  <c r="L15" i="1"/>
  <c r="K45" i="1"/>
  <c r="K25" i="1"/>
  <c r="L51" i="1"/>
  <c r="M50" i="1"/>
  <c r="M38" i="1"/>
  <c r="L17" i="1"/>
  <c r="K15" i="1"/>
  <c r="M23" i="1"/>
  <c r="M28" i="1"/>
  <c r="L28" i="1"/>
  <c r="K33" i="1"/>
  <c r="K26" i="1"/>
  <c r="L13" i="1"/>
  <c r="M51" i="1"/>
  <c r="K20" i="1"/>
  <c r="M31" i="1"/>
  <c r="M24" i="1"/>
  <c r="M52" i="1"/>
  <c r="L50" i="1"/>
  <c r="M18" i="1"/>
  <c r="L30" i="1"/>
  <c r="K14" i="1"/>
  <c r="K19" i="1"/>
  <c r="K50" i="1"/>
  <c r="K16" i="1"/>
  <c r="L25" i="1"/>
  <c r="L39" i="1"/>
  <c r="K52" i="1"/>
  <c r="K41" i="1"/>
  <c r="M45" i="1"/>
  <c r="M43" i="1"/>
  <c r="M22" i="1"/>
  <c r="M29" i="1"/>
  <c r="K29" i="1"/>
  <c r="M36" i="1"/>
  <c r="L36" i="1"/>
  <c r="K34" i="1"/>
  <c r="M17" i="1"/>
  <c r="K43" i="1"/>
  <c r="M30" i="1"/>
  <c r="K37" i="1"/>
  <c r="M32" i="1"/>
  <c r="L16" i="1"/>
  <c r="M46" i="1"/>
  <c r="K24" i="1"/>
  <c r="M35" i="1"/>
  <c r="K30" i="1"/>
  <c r="M13" i="1"/>
  <c r="M23" i="10"/>
  <c r="L23" i="10"/>
  <c r="K23" i="10"/>
  <c r="L42" i="6"/>
  <c r="E19" i="6"/>
  <c r="D24" i="6"/>
  <c r="F31" i="6"/>
  <c r="E33" i="6"/>
  <c r="D52" i="6"/>
  <c r="F22" i="6"/>
  <c r="M31" i="6"/>
  <c r="M47" i="6"/>
  <c r="L13" i="6"/>
  <c r="F41" i="6"/>
  <c r="F17" i="6"/>
  <c r="D26" i="6"/>
  <c r="E17" i="6"/>
  <c r="E18" i="6"/>
  <c r="D25" i="6"/>
  <c r="F50" i="6"/>
  <c r="E42" i="6"/>
  <c r="M34" i="6"/>
  <c r="K52" i="6"/>
  <c r="L25" i="6"/>
  <c r="K40" i="6"/>
  <c r="F13" i="6"/>
  <c r="D22" i="6"/>
  <c r="K22" i="6"/>
  <c r="D39" i="6"/>
  <c r="F52" i="6"/>
  <c r="M42" i="6"/>
  <c r="L51" i="6"/>
  <c r="L17" i="6"/>
  <c r="L32" i="6"/>
  <c r="M30" i="6"/>
  <c r="E43" i="6"/>
  <c r="L43" i="6"/>
  <c r="M43" i="6"/>
  <c r="F19" i="6"/>
  <c r="F28" i="6"/>
  <c r="K41" i="6"/>
  <c r="E24" i="6"/>
  <c r="M36" i="6"/>
  <c r="M52" i="6"/>
  <c r="K26" i="6"/>
  <c r="M15" i="6"/>
  <c r="E35" i="6"/>
  <c r="F33" i="6"/>
  <c r="F47" i="6"/>
  <c r="K17" i="6"/>
  <c r="F30" i="6"/>
  <c r="E26" i="6"/>
  <c r="E52" i="6"/>
  <c r="E47" i="6"/>
  <c r="L47" i="6"/>
  <c r="K32" i="6"/>
  <c r="D16" i="6"/>
  <c r="K34" i="6"/>
  <c r="K18" i="6"/>
  <c r="E29" i="6"/>
  <c r="D48" i="6"/>
  <c r="K48" i="6"/>
  <c r="E20" i="6"/>
  <c r="L20" i="6"/>
  <c r="K27" i="6"/>
  <c r="D35" i="6"/>
  <c r="K43" i="6"/>
  <c r="K51" i="6"/>
  <c r="E34" i="6"/>
  <c r="E50" i="6"/>
  <c r="L50" i="6"/>
  <c r="K44" i="6"/>
  <c r="E39" i="6"/>
  <c r="K28" i="6"/>
  <c r="E45" i="6"/>
  <c r="K30" i="6"/>
  <c r="K14" i="6"/>
  <c r="E21" i="6"/>
  <c r="D50" i="6"/>
  <c r="K50" i="6"/>
  <c r="D13" i="6"/>
  <c r="K13" i="6"/>
  <c r="K29" i="6"/>
  <c r="D37" i="6"/>
  <c r="K45" i="6"/>
  <c r="L22" i="6"/>
  <c r="E38" i="6"/>
  <c r="D12" i="6"/>
  <c r="K12" i="6"/>
  <c r="E12" i="6"/>
  <c r="L12" i="6"/>
  <c r="M37" i="6"/>
  <c r="F21" i="6"/>
  <c r="M39" i="6"/>
  <c r="M23" i="6"/>
  <c r="E41" i="6"/>
  <c r="F45" i="6"/>
  <c r="M45" i="6"/>
  <c r="E14" i="6"/>
  <c r="L14" i="6"/>
  <c r="M24" i="6"/>
  <c r="F32" i="6"/>
  <c r="M40" i="6"/>
  <c r="M48" i="6"/>
  <c r="E28" i="6"/>
  <c r="E44" i="6"/>
  <c r="L44" i="6"/>
  <c r="E33" i="1"/>
  <c r="F43" i="1"/>
  <c r="E45" i="1"/>
  <c r="F45" i="1"/>
  <c r="D46" i="1"/>
  <c r="D12" i="1"/>
  <c r="K12" i="1" s="1"/>
  <c r="D24" i="1"/>
  <c r="F34" i="1"/>
  <c r="D45" i="1"/>
  <c r="F46" i="1"/>
  <c r="D47" i="1"/>
  <c r="E47" i="1"/>
  <c r="E46" i="1"/>
  <c r="D48" i="1"/>
  <c r="E48" i="1"/>
  <c r="F48" i="1"/>
  <c r="E37" i="1"/>
  <c r="F47" i="1"/>
  <c r="E49" i="1"/>
  <c r="F49" i="1"/>
  <c r="D50" i="1"/>
  <c r="F12" i="1"/>
  <c r="M12" i="1"/>
  <c r="D28" i="1"/>
  <c r="F38" i="1"/>
  <c r="D49" i="1"/>
  <c r="F50" i="1"/>
  <c r="D51" i="1"/>
  <c r="E51" i="1"/>
  <c r="D30" i="8"/>
  <c r="K30" i="8"/>
  <c r="F36" i="8"/>
  <c r="E47" i="8"/>
  <c r="L47" i="8"/>
  <c r="E51" i="8"/>
  <c r="E43" i="8"/>
  <c r="D34" i="8"/>
  <c r="K34" i="8"/>
  <c r="F52" i="8"/>
  <c r="M52" i="8"/>
  <c r="E35" i="8"/>
  <c r="L35" i="8"/>
  <c r="D54" i="8"/>
  <c r="K54" i="8"/>
  <c r="F40" i="8"/>
  <c r="M40" i="8"/>
  <c r="D42" i="8"/>
  <c r="K42" i="8"/>
  <c r="E55" i="8"/>
  <c r="L55" i="8"/>
  <c r="E31" i="8"/>
  <c r="F44" i="8"/>
  <c r="M44" i="8"/>
  <c r="F32" i="8"/>
  <c r="M32" i="8"/>
  <c r="D46" i="8"/>
  <c r="K46" i="8"/>
  <c r="F56" i="8"/>
  <c r="M56" i="8"/>
  <c r="D38" i="8"/>
  <c r="K38" i="8"/>
  <c r="F48" i="8"/>
  <c r="M48" i="8"/>
  <c r="F17" i="8"/>
  <c r="M17" i="8" s="1"/>
  <c r="F28" i="8"/>
  <c r="M28" i="8"/>
  <c r="E39" i="8"/>
  <c r="L39" i="8"/>
  <c r="D19" i="8"/>
  <c r="K19" i="8"/>
  <c r="L31" i="8"/>
  <c r="M36" i="8"/>
  <c r="L43" i="8"/>
  <c r="K50" i="8"/>
  <c r="L51" i="8"/>
  <c r="F19" i="8"/>
  <c r="M19" i="8"/>
  <c r="D21" i="8"/>
  <c r="K21" i="8"/>
  <c r="E22" i="8"/>
  <c r="L22" i="8"/>
  <c r="F23" i="8"/>
  <c r="M23" i="8"/>
  <c r="D25" i="8"/>
  <c r="K25" i="8"/>
  <c r="E26" i="8"/>
  <c r="L26" i="8"/>
  <c r="F27" i="8"/>
  <c r="M27" i="8"/>
  <c r="E19" i="8"/>
  <c r="L19" i="8"/>
  <c r="D20" i="8"/>
  <c r="K20" i="8"/>
  <c r="E21" i="8"/>
  <c r="L21" i="8"/>
  <c r="F22" i="8"/>
  <c r="M22" i="8"/>
  <c r="D24" i="8"/>
  <c r="K24" i="8"/>
  <c r="E25" i="8"/>
  <c r="L25" i="8"/>
  <c r="F26" i="8"/>
  <c r="M26" i="8"/>
  <c r="D29" i="8"/>
  <c r="K29" i="8"/>
  <c r="E30" i="8"/>
  <c r="L30" i="8"/>
  <c r="F31" i="8"/>
  <c r="M31" i="8"/>
  <c r="D33" i="8"/>
  <c r="K33" i="8"/>
  <c r="E34" i="8"/>
  <c r="L34" i="8"/>
  <c r="F35" i="8"/>
  <c r="M35" i="8"/>
  <c r="D37" i="8"/>
  <c r="K37" i="8"/>
  <c r="E38" i="8"/>
  <c r="L38" i="8"/>
  <c r="F39" i="8"/>
  <c r="M39" i="8"/>
  <c r="D41" i="8"/>
  <c r="K41" i="8"/>
  <c r="E42" i="8"/>
  <c r="L42" i="8"/>
  <c r="F43" i="8"/>
  <c r="M43" i="8"/>
  <c r="D45" i="8"/>
  <c r="K45" i="8"/>
  <c r="E46" i="8"/>
  <c r="L46" i="8"/>
  <c r="F47" i="8"/>
  <c r="M47" i="8"/>
  <c r="D49" i="8"/>
  <c r="K49" i="8"/>
  <c r="E50" i="8"/>
  <c r="L50" i="8"/>
  <c r="F51" i="8"/>
  <c r="M51" i="8"/>
  <c r="D53" i="8"/>
  <c r="K53" i="8"/>
  <c r="E54" i="8"/>
  <c r="L54" i="8"/>
  <c r="F55" i="8"/>
  <c r="M55" i="8"/>
  <c r="D57" i="8"/>
  <c r="K57" i="8"/>
  <c r="E18" i="8"/>
  <c r="E20" i="8"/>
  <c r="L20" i="8"/>
  <c r="F21" i="8"/>
  <c r="M21" i="8"/>
  <c r="D23" i="8"/>
  <c r="K23" i="8"/>
  <c r="E24" i="8"/>
  <c r="L24" i="8"/>
  <c r="F25" i="8"/>
  <c r="M25" i="8"/>
  <c r="D27" i="8"/>
  <c r="K27" i="8"/>
  <c r="D17" i="8"/>
  <c r="K17" i="8"/>
  <c r="D28" i="8"/>
  <c r="K28" i="8"/>
  <c r="E29" i="8"/>
  <c r="L29" i="8"/>
  <c r="F30" i="8"/>
  <c r="M30" i="8"/>
  <c r="D32" i="8"/>
  <c r="K32" i="8"/>
  <c r="E33" i="8"/>
  <c r="L33" i="8"/>
  <c r="F34" i="8"/>
  <c r="M34" i="8"/>
  <c r="D36" i="8"/>
  <c r="K36" i="8"/>
  <c r="E37" i="8"/>
  <c r="L37" i="8"/>
  <c r="F38" i="8"/>
  <c r="M38" i="8"/>
  <c r="D40" i="8"/>
  <c r="K40" i="8"/>
  <c r="E41" i="8"/>
  <c r="L41" i="8"/>
  <c r="F42" i="8"/>
  <c r="M42" i="8"/>
  <c r="D44" i="8"/>
  <c r="K44" i="8"/>
  <c r="E45" i="8"/>
  <c r="L45" i="8"/>
  <c r="F46" i="8"/>
  <c r="M46" i="8"/>
  <c r="D48" i="8"/>
  <c r="K48" i="8"/>
  <c r="E49" i="8"/>
  <c r="L49" i="8"/>
  <c r="F50" i="8"/>
  <c r="M50" i="8"/>
  <c r="D52" i="8"/>
  <c r="K52" i="8"/>
  <c r="E53" i="8"/>
  <c r="L53" i="8"/>
  <c r="F54" i="8"/>
  <c r="M54" i="8"/>
  <c r="D56" i="8"/>
  <c r="K56" i="8"/>
  <c r="E57" i="8"/>
  <c r="L57" i="8"/>
  <c r="D18" i="8"/>
  <c r="F18" i="8"/>
  <c r="M18" i="8"/>
  <c r="F20" i="8"/>
  <c r="M20" i="8"/>
  <c r="D22" i="8"/>
  <c r="K22" i="8"/>
  <c r="E23" i="8"/>
  <c r="L23" i="8"/>
  <c r="F24" i="8"/>
  <c r="M24" i="8"/>
  <c r="D26" i="8"/>
  <c r="K26" i="8"/>
  <c r="E27" i="8"/>
  <c r="L27" i="8"/>
  <c r="E17" i="8"/>
  <c r="L17" i="8"/>
  <c r="E28" i="8"/>
  <c r="L28" i="8"/>
  <c r="F29" i="8"/>
  <c r="M29" i="8"/>
  <c r="D31" i="8"/>
  <c r="K31" i="8"/>
  <c r="E32" i="8"/>
  <c r="L32" i="8"/>
  <c r="F33" i="8"/>
  <c r="M33" i="8"/>
  <c r="D35" i="8"/>
  <c r="K35" i="8"/>
  <c r="E36" i="8"/>
  <c r="L36" i="8"/>
  <c r="F37" i="8"/>
  <c r="M37" i="8"/>
  <c r="D39" i="8"/>
  <c r="K39" i="8"/>
  <c r="E40" i="8"/>
  <c r="L40" i="8"/>
  <c r="F41" i="8"/>
  <c r="M41" i="8"/>
  <c r="D43" i="8"/>
  <c r="K43" i="8"/>
  <c r="E44" i="8"/>
  <c r="L44" i="8"/>
  <c r="F45" i="8"/>
  <c r="M45" i="8"/>
  <c r="D47" i="8"/>
  <c r="K47" i="8"/>
  <c r="E48" i="8"/>
  <c r="L48" i="8"/>
  <c r="F49" i="8"/>
  <c r="M49" i="8"/>
  <c r="D51" i="8"/>
  <c r="K51" i="8"/>
  <c r="E52" i="8"/>
  <c r="L52" i="8"/>
  <c r="F53" i="8"/>
  <c r="M53" i="8"/>
  <c r="D55" i="8"/>
  <c r="K55" i="8"/>
  <c r="E56" i="8"/>
  <c r="L56" i="8"/>
  <c r="F57" i="8"/>
  <c r="M57" i="8"/>
  <c r="K18" i="8"/>
  <c r="L18" i="8"/>
  <c r="D34" i="7" l="1"/>
  <c r="E35" i="7"/>
  <c r="D43" i="7"/>
  <c r="F39" i="7"/>
  <c r="M39" i="7" s="1"/>
  <c r="D24" i="7"/>
  <c r="K24" i="7" s="1"/>
  <c r="E29" i="7"/>
  <c r="E12" i="7"/>
  <c r="L12" i="7" s="1"/>
  <c r="F18" i="7"/>
  <c r="M18" i="7" s="1"/>
  <c r="F32" i="7"/>
  <c r="M32" i="7" s="1"/>
  <c r="E30" i="7"/>
  <c r="D12" i="7"/>
  <c r="K12" i="7" s="1"/>
  <c r="F13" i="7"/>
  <c r="M13" i="7" s="1"/>
  <c r="E39" i="7"/>
  <c r="D51" i="7"/>
  <c r="F15" i="7"/>
  <c r="M15" i="7" s="1"/>
  <c r="F38" i="7"/>
  <c r="M38" i="7" s="1"/>
  <c r="F12" i="7"/>
  <c r="M12" i="7" s="1"/>
  <c r="F19" i="7"/>
  <c r="M19" i="7" s="1"/>
  <c r="D22" i="7"/>
  <c r="K22" i="7" s="1"/>
  <c r="D28" i="7"/>
  <c r="K28" i="7" s="1"/>
  <c r="F40" i="7"/>
  <c r="M40" i="7" s="1"/>
  <c r="F45" i="7"/>
  <c r="M45" i="7" s="1"/>
  <c r="D31" i="7"/>
  <c r="K31" i="7" s="1"/>
  <c r="E27" i="7"/>
  <c r="D35" i="7"/>
  <c r="K35" i="7" s="1"/>
  <c r="F47" i="7"/>
  <c r="D15" i="7"/>
  <c r="K15" i="7" s="1"/>
  <c r="E15" i="7"/>
  <c r="L15" i="7" s="1"/>
  <c r="D49" i="7"/>
  <c r="E22" i="7"/>
  <c r="L22" i="7" s="1"/>
  <c r="E47" i="7"/>
  <c r="L47" i="7" s="1"/>
  <c r="F17" i="7"/>
  <c r="D18" i="7"/>
  <c r="K18" i="7" s="1"/>
  <c r="E32" i="7"/>
  <c r="K49" i="7"/>
  <c r="D21" i="7"/>
  <c r="E43" i="7"/>
  <c r="L43" i="7" s="1"/>
  <c r="F52" i="7"/>
  <c r="M52" i="7" s="1"/>
  <c r="F16" i="7"/>
  <c r="E38" i="7"/>
  <c r="D40" i="7"/>
  <c r="E52" i="7"/>
  <c r="L52" i="7" s="1"/>
  <c r="D44" i="7"/>
  <c r="F21" i="7"/>
  <c r="M21" i="7" s="1"/>
  <c r="D48" i="7"/>
  <c r="K48" i="7" s="1"/>
  <c r="D17" i="7"/>
  <c r="E14" i="7"/>
  <c r="L14" i="7" s="1"/>
  <c r="F27" i="7"/>
  <c r="M27" i="7" s="1"/>
  <c r="D16" i="7"/>
  <c r="F50" i="7"/>
  <c r="D50" i="7"/>
  <c r="K50" i="7" s="1"/>
  <c r="E45" i="7"/>
  <c r="L45" i="7" s="1"/>
  <c r="F28" i="7"/>
  <c r="M28" i="7" s="1"/>
  <c r="F36" i="7"/>
  <c r="M36" i="7" s="1"/>
  <c r="D26" i="7"/>
  <c r="K26" i="7" s="1"/>
  <c r="D42" i="7"/>
  <c r="K42" i="7" s="1"/>
  <c r="D52" i="7"/>
  <c r="E44" i="7"/>
  <c r="L44" i="7" s="1"/>
  <c r="F46" i="7"/>
  <c r="M46" i="7" s="1"/>
  <c r="E31" i="7"/>
  <c r="L31" i="7" s="1"/>
  <c r="E48" i="7"/>
  <c r="L48" i="7" s="1"/>
  <c r="D32" i="7"/>
  <c r="K32" i="7" s="1"/>
  <c r="F20" i="7"/>
  <c r="E16" i="7"/>
  <c r="E37" i="7"/>
  <c r="M17" i="7"/>
  <c r="D27" i="7"/>
  <c r="E46" i="7"/>
  <c r="L46" i="7" s="1"/>
  <c r="D25" i="7"/>
  <c r="K25" i="7" s="1"/>
  <c r="F24" i="7"/>
  <c r="M24" i="7" s="1"/>
  <c r="E28" i="7"/>
  <c r="L28" i="7" s="1"/>
  <c r="F37" i="7"/>
  <c r="M37" i="7" s="1"/>
  <c r="D23" i="7"/>
  <c r="K23" i="7" s="1"/>
  <c r="E13" i="7"/>
  <c r="L13" i="7" s="1"/>
  <c r="D29" i="7"/>
  <c r="K29" i="7" s="1"/>
  <c r="D47" i="7"/>
  <c r="K47" i="7" s="1"/>
  <c r="F23" i="7"/>
  <c r="M23" i="7" s="1"/>
  <c r="M47" i="7"/>
  <c r="L30" i="7"/>
  <c r="F30" i="7"/>
  <c r="M30" i="7" s="1"/>
  <c r="K16" i="7"/>
  <c r="F48" i="6"/>
  <c r="F23" i="6"/>
  <c r="E22" i="6"/>
  <c r="D14" i="6"/>
  <c r="D51" i="6"/>
  <c r="D18" i="6"/>
  <c r="D17" i="6"/>
  <c r="D41" i="6"/>
  <c r="M33" i="6"/>
  <c r="L26" i="6"/>
  <c r="L18" i="6"/>
  <c r="L36" i="6"/>
  <c r="L48" i="6"/>
  <c r="D38" i="6"/>
  <c r="D31" i="6"/>
  <c r="F12" i="6"/>
  <c r="M12" i="6" s="1"/>
  <c r="D37" i="7"/>
  <c r="K37" i="7" s="1"/>
  <c r="F26" i="7"/>
  <c r="M26" i="7" s="1"/>
  <c r="K51" i="7"/>
  <c r="K34" i="7"/>
  <c r="K40" i="7"/>
  <c r="E18" i="7"/>
  <c r="L18" i="7" s="1"/>
  <c r="E34" i="7"/>
  <c r="L34" i="7" s="1"/>
  <c r="E50" i="7"/>
  <c r="L50" i="7" s="1"/>
  <c r="K17" i="7"/>
  <c r="F35" i="7"/>
  <c r="M35" i="7" s="1"/>
  <c r="F30" i="10"/>
  <c r="D39" i="10"/>
  <c r="E60" i="10"/>
  <c r="D24" i="10"/>
  <c r="F44" i="10"/>
  <c r="D49" i="10"/>
  <c r="D61" i="10"/>
  <c r="F42" i="10"/>
  <c r="F35" i="10"/>
  <c r="D53" i="10"/>
  <c r="K43" i="10"/>
  <c r="K25" i="10"/>
  <c r="F39" i="10"/>
  <c r="D38" i="10"/>
  <c r="E59" i="10"/>
  <c r="M40" i="10"/>
  <c r="K62" i="10"/>
  <c r="F40" i="6"/>
  <c r="F39" i="6"/>
  <c r="D45" i="6"/>
  <c r="D30" i="6"/>
  <c r="D43" i="6"/>
  <c r="D34" i="6"/>
  <c r="F15" i="6"/>
  <c r="D15" i="6"/>
  <c r="L46" i="6"/>
  <c r="L37" i="6"/>
  <c r="L40" i="6"/>
  <c r="L23" i="6"/>
  <c r="K15" i="6"/>
  <c r="M49" i="6"/>
  <c r="F35" i="6"/>
  <c r="D33" i="6"/>
  <c r="D36" i="7"/>
  <c r="K36" i="7" s="1"/>
  <c r="F25" i="7"/>
  <c r="M25" i="7" s="1"/>
  <c r="E20" i="7"/>
  <c r="L20" i="7" s="1"/>
  <c r="E36" i="7"/>
  <c r="L36" i="7" s="1"/>
  <c r="D44" i="10"/>
  <c r="F41" i="10"/>
  <c r="E30" i="10"/>
  <c r="D26" i="10"/>
  <c r="E47" i="10"/>
  <c r="E25" i="10"/>
  <c r="E24" i="10"/>
  <c r="E45" i="10"/>
  <c r="E46" i="10"/>
  <c r="E58" i="10"/>
  <c r="M45" i="10"/>
  <c r="L38" i="10"/>
  <c r="F47" i="10"/>
  <c r="F40" i="10"/>
  <c r="D62" i="10"/>
  <c r="M32" i="6"/>
  <c r="M21" i="6"/>
  <c r="K37" i="6"/>
  <c r="L45" i="6"/>
  <c r="K35" i="6"/>
  <c r="K16" i="6"/>
  <c r="D42" i="6"/>
  <c r="D46" i="6"/>
  <c r="E46" i="6"/>
  <c r="K42" i="6"/>
  <c r="M44" i="6"/>
  <c r="L19" i="6"/>
  <c r="L33" i="6"/>
  <c r="K46" i="6"/>
  <c r="M27" i="6"/>
  <c r="F36" i="6"/>
  <c r="L35" i="7"/>
  <c r="K21" i="7"/>
  <c r="F48" i="7"/>
  <c r="M48" i="7" s="1"/>
  <c r="E33" i="7"/>
  <c r="L33" i="7" s="1"/>
  <c r="D19" i="7"/>
  <c r="K19" i="7" s="1"/>
  <c r="F41" i="7"/>
  <c r="M41" i="7" s="1"/>
  <c r="F49" i="7"/>
  <c r="M49" i="7" s="1"/>
  <c r="L38" i="7"/>
  <c r="F42" i="7"/>
  <c r="M42" i="7" s="1"/>
  <c r="F14" i="7"/>
  <c r="M14" i="7" s="1"/>
  <c r="E21" i="7"/>
  <c r="L21" i="7" s="1"/>
  <c r="F29" i="7"/>
  <c r="M29" i="7" s="1"/>
  <c r="E49" i="7"/>
  <c r="L49" i="7" s="1"/>
  <c r="L49" i="10"/>
  <c r="L44" i="10"/>
  <c r="K41" i="10"/>
  <c r="M28" i="10"/>
  <c r="K50" i="10"/>
  <c r="M38" i="10"/>
  <c r="M26" i="10"/>
  <c r="K48" i="10"/>
  <c r="K57" i="10"/>
  <c r="F23" i="10"/>
  <c r="F45" i="10"/>
  <c r="E38" i="10"/>
  <c r="M55" i="10"/>
  <c r="L43" i="10"/>
  <c r="L62" i="10"/>
  <c r="F24" i="6"/>
  <c r="F37" i="6"/>
  <c r="D29" i="6"/>
  <c r="D28" i="6"/>
  <c r="D27" i="6"/>
  <c r="D32" i="6"/>
  <c r="M46" i="6"/>
  <c r="F43" i="6"/>
  <c r="F26" i="6"/>
  <c r="M38" i="6"/>
  <c r="E36" i="6"/>
  <c r="K31" i="6"/>
  <c r="M51" i="6"/>
  <c r="E37" i="6"/>
  <c r="K49" i="6"/>
  <c r="F34" i="7"/>
  <c r="M34" i="7" s="1"/>
  <c r="D20" i="7"/>
  <c r="K20" i="7" s="1"/>
  <c r="E24" i="7"/>
  <c r="L24" i="7" s="1"/>
  <c r="E40" i="7"/>
  <c r="L40" i="7" s="1"/>
  <c r="D22" i="10"/>
  <c r="K22" i="10" s="1"/>
  <c r="F25" i="10"/>
  <c r="D47" i="10"/>
  <c r="E54" i="10"/>
  <c r="E31" i="10"/>
  <c r="F52" i="10"/>
  <c r="D60" i="10"/>
  <c r="E29" i="10"/>
  <c r="F50" i="10"/>
  <c r="E41" i="10"/>
  <c r="M29" i="10"/>
  <c r="K51" i="10"/>
  <c r="M59" i="10"/>
  <c r="F24" i="10"/>
  <c r="D46" i="10"/>
  <c r="F62" i="10"/>
  <c r="M16" i="6"/>
  <c r="L27" i="6"/>
  <c r="K21" i="6"/>
  <c r="D44" i="6"/>
  <c r="K19" i="6"/>
  <c r="L15" i="6"/>
  <c r="L52" i="6"/>
  <c r="K36" i="6"/>
  <c r="F14" i="6"/>
  <c r="F38" i="6"/>
  <c r="D47" i="6"/>
  <c r="M28" i="6"/>
  <c r="E31" i="6"/>
  <c r="E25" i="6"/>
  <c r="D49" i="6"/>
  <c r="F44" i="7"/>
  <c r="M44" i="7" s="1"/>
  <c r="F31" i="7"/>
  <c r="M31" i="7" s="1"/>
  <c r="E17" i="7"/>
  <c r="L17" i="7" s="1"/>
  <c r="F43" i="7"/>
  <c r="M43" i="7" s="1"/>
  <c r="F51" i="7"/>
  <c r="M51" i="7" s="1"/>
  <c r="D33" i="7"/>
  <c r="K33" i="7" s="1"/>
  <c r="E41" i="7"/>
  <c r="L41" i="7" s="1"/>
  <c r="D14" i="7"/>
  <c r="K14" i="7" s="1"/>
  <c r="F22" i="7"/>
  <c r="M22" i="7" s="1"/>
  <c r="D45" i="7"/>
  <c r="K45" i="7" s="1"/>
  <c r="L28" i="10"/>
  <c r="M49" i="10"/>
  <c r="K28" i="10"/>
  <c r="K34" i="10"/>
  <c r="L55" i="10"/>
  <c r="L26" i="10"/>
  <c r="K32" i="10"/>
  <c r="L53" i="10"/>
  <c r="L57" i="10"/>
  <c r="F29" i="10"/>
  <c r="D51" i="10"/>
  <c r="F59" i="10"/>
  <c r="L27" i="10"/>
  <c r="M48" i="10"/>
  <c r="D23" i="10"/>
  <c r="F16" i="6"/>
  <c r="E27" i="6"/>
  <c r="D21" i="6"/>
  <c r="L39" i="6"/>
  <c r="D19" i="6"/>
  <c r="E15" i="6"/>
  <c r="M13" i="6"/>
  <c r="D36" i="6"/>
  <c r="E13" i="6"/>
  <c r="K25" i="6"/>
  <c r="F34" i="6"/>
  <c r="M22" i="6"/>
  <c r="E23" i="6"/>
  <c r="F49" i="6"/>
  <c r="L30" i="6"/>
  <c r="E51" i="7"/>
  <c r="L51" i="7" s="1"/>
  <c r="F33" i="7"/>
  <c r="M33" i="7" s="1"/>
  <c r="E19" i="7"/>
  <c r="L19" i="7" s="1"/>
  <c r="K43" i="7"/>
  <c r="K27" i="7"/>
  <c r="M16" i="7"/>
  <c r="K44" i="7"/>
  <c r="K52" i="7"/>
  <c r="E26" i="7"/>
  <c r="L26" i="7" s="1"/>
  <c r="E42" i="7"/>
  <c r="L42" i="7" s="1"/>
  <c r="L37" i="7"/>
  <c r="M50" i="7"/>
  <c r="M20" i="7"/>
  <c r="L29" i="7"/>
  <c r="E22" i="10"/>
  <c r="L22" i="10" s="1"/>
  <c r="E28" i="10"/>
  <c r="F49" i="10"/>
  <c r="D28" i="10"/>
  <c r="D34" i="10"/>
  <c r="E55" i="10"/>
  <c r="E26" i="10"/>
  <c r="D32" i="10"/>
  <c r="E53" i="10"/>
  <c r="E57" i="10"/>
  <c r="L32" i="10"/>
  <c r="M53" i="10"/>
  <c r="K36" i="10"/>
  <c r="E27" i="10"/>
  <c r="F48" i="10"/>
  <c r="L31" i="6"/>
  <c r="F29" i="6"/>
  <c r="E16" i="6"/>
  <c r="E40" i="6"/>
  <c r="D7" i="6"/>
  <c r="E6" i="8"/>
  <c r="M25" i="6"/>
  <c r="F25" i="6"/>
  <c r="M18" i="6"/>
  <c r="L28" i="6"/>
  <c r="L41" i="6"/>
  <c r="L38" i="6"/>
  <c r="L21" i="6"/>
  <c r="L34" i="6"/>
  <c r="L29" i="6"/>
  <c r="F42" i="6"/>
  <c r="E48" i="6"/>
  <c r="M26" i="6"/>
  <c r="D40" i="6"/>
  <c r="M17" i="6"/>
  <c r="K24" i="6"/>
  <c r="E23" i="1"/>
  <c r="M50" i="6"/>
  <c r="K20" i="6"/>
  <c r="F18" i="6"/>
  <c r="L39" i="7"/>
  <c r="L27" i="7"/>
  <c r="K13" i="7"/>
  <c r="D39" i="7"/>
  <c r="K39" i="7" s="1"/>
  <c r="E25" i="7"/>
  <c r="L25" i="7" s="1"/>
  <c r="D38" i="7"/>
  <c r="K38" i="7" s="1"/>
  <c r="D46" i="7"/>
  <c r="K46" i="7" s="1"/>
  <c r="L16" i="7"/>
  <c r="L32" i="7"/>
  <c r="E23" i="7"/>
  <c r="L23" i="7" s="1"/>
  <c r="D30" i="7"/>
  <c r="K30" i="7" s="1"/>
  <c r="D41" i="7"/>
  <c r="K41" i="7" s="1"/>
  <c r="M43" i="10"/>
  <c r="L36" i="10"/>
  <c r="M57" i="10"/>
  <c r="K52" i="10"/>
  <c r="K42" i="10"/>
  <c r="M27" i="10"/>
  <c r="L50" i="10"/>
  <c r="K40" i="10"/>
  <c r="L61" i="10"/>
  <c r="K45" i="10"/>
  <c r="F37" i="10"/>
  <c r="D59" i="10"/>
  <c r="M31" i="10"/>
  <c r="L35" i="10"/>
  <c r="M56" i="10"/>
  <c r="M20" i="6"/>
  <c r="D20" i="6"/>
  <c r="L40" i="10"/>
  <c r="M61" i="10"/>
  <c r="F31" i="10"/>
  <c r="E35" i="10"/>
</calcChain>
</file>

<file path=xl/sharedStrings.xml><?xml version="1.0" encoding="utf-8"?>
<sst xmlns="http://schemas.openxmlformats.org/spreadsheetml/2006/main" count="962" uniqueCount="333">
  <si>
    <t>VSMOW</t>
  </si>
  <si>
    <t>Conversion from</t>
  </si>
  <si>
    <t>Scale for delta</t>
  </si>
  <si>
    <t>Conversion to</t>
  </si>
  <si>
    <t>k = 1</t>
  </si>
  <si>
    <t>m</t>
  </si>
  <si>
    <t>Craig (1961) Standard for reporting concentrations of deuterium and oxygen-18 in natural waters, Science, 133(3467), 1833-1834</t>
  </si>
  <si>
    <t>uncertainty type not clear, k = 1??</t>
  </si>
  <si>
    <t>stdev</t>
  </si>
  <si>
    <t>De Wit et al (1980) Determination of the absolute hydrogen isotopic ratio of VSMOW and SLAP. Geostandards Newsletter, 4(1), 33-36</t>
  </si>
  <si>
    <t>reproducibility</t>
  </si>
  <si>
    <t>by NMR</t>
  </si>
  <si>
    <t>Tse et al (1980) Determination of deuterium/hydrogen ratios in natural waters by Fourier transform nuclear magnetic resonance spectrometry. Anal. Chem. 52, 2445-2448.</t>
  </si>
  <si>
    <t>r</t>
  </si>
  <si>
    <t>Werner &amp; Brand (2001)Referencing strategies and techniques in stable isotope ratio analysis. Rapid Commun. Mass Spectrom. 15, 501–519.</t>
  </si>
  <si>
    <t>Date</t>
  </si>
  <si>
    <t>Term</t>
  </si>
  <si>
    <t>Value</t>
  </si>
  <si>
    <t>Uncertainty</t>
  </si>
  <si>
    <t>Uncertainty type</t>
  </si>
  <si>
    <t>Comment</t>
  </si>
  <si>
    <t>ENTER</t>
  </si>
  <si>
    <t>Dropdown 1</t>
  </si>
  <si>
    <t>Dropdown 1 - if</t>
  </si>
  <si>
    <t xml:space="preserve">Craig (1961) </t>
  </si>
  <si>
    <t>Hageman et al (1970)</t>
  </si>
  <si>
    <t xml:space="preserve">De Wit et al (1980) </t>
  </si>
  <si>
    <t xml:space="preserve">Tse et al (1980) </t>
  </si>
  <si>
    <t>Werner &amp; Brand (2001)</t>
  </si>
  <si>
    <t>Select "Conversion from"</t>
  </si>
  <si>
    <t>Select</t>
  </si>
  <si>
    <t>‰</t>
  </si>
  <si>
    <t>%</t>
  </si>
  <si>
    <t>ppm</t>
  </si>
  <si>
    <t>fraction</t>
  </si>
  <si>
    <r>
      <rPr>
        <b/>
        <vertAlign val="superscript"/>
        <sz val="22"/>
        <color theme="1"/>
        <rFont val="Calibri"/>
        <family val="2"/>
        <scheme val="minor"/>
      </rPr>
      <t>2</t>
    </r>
    <r>
      <rPr>
        <b/>
        <sz val="22"/>
        <color theme="1"/>
        <rFont val="Calibri"/>
        <family val="2"/>
        <scheme val="minor"/>
      </rPr>
      <t xml:space="preserve">H and </t>
    </r>
    <r>
      <rPr>
        <b/>
        <vertAlign val="superscript"/>
        <sz val="22"/>
        <color theme="1"/>
        <rFont val="Calibri"/>
        <family val="2"/>
        <scheme val="minor"/>
      </rPr>
      <t>1</t>
    </r>
    <r>
      <rPr>
        <b/>
        <sz val="22"/>
        <color theme="1"/>
        <rFont val="Calibri"/>
        <family val="2"/>
        <scheme val="minor"/>
      </rPr>
      <t>H</t>
    </r>
  </si>
  <si>
    <t xml:space="preserve">   Calculator for expression of stable hydrogen isotope composition</t>
  </si>
  <si>
    <t>Zero-point of delta scale</t>
  </si>
  <si>
    <t>Absolute isotope ratio for delta zero-point</t>
  </si>
  <si>
    <t>RECALCULATED VALUES</t>
  </si>
  <si>
    <t>Description of variables</t>
  </si>
  <si>
    <r>
      <rPr>
        <i/>
        <sz val="10"/>
        <color theme="1"/>
        <rFont val="Symbol"/>
        <family val="1"/>
        <charset val="2"/>
      </rPr>
      <t>d</t>
    </r>
    <r>
      <rPr>
        <vertAlign val="subscript"/>
        <sz val="10"/>
        <color theme="1"/>
        <rFont val="Symbol"/>
        <family val="1"/>
        <charset val="2"/>
      </rPr>
      <t>0</t>
    </r>
    <r>
      <rPr>
        <sz val="10"/>
        <color theme="1"/>
        <rFont val="Arial"/>
        <family val="2"/>
      </rPr>
      <t>(</t>
    </r>
    <r>
      <rPr>
        <vertAlign val="superscript"/>
        <sz val="10"/>
        <color theme="1"/>
        <rFont val="Arial"/>
        <family val="2"/>
      </rPr>
      <t>18</t>
    </r>
    <r>
      <rPr>
        <sz val="10"/>
        <color theme="1"/>
        <rFont val="Arial"/>
        <family val="2"/>
      </rPr>
      <t>O/</t>
    </r>
    <r>
      <rPr>
        <vertAlign val="superscript"/>
        <sz val="10"/>
        <color theme="1"/>
        <rFont val="Arial"/>
        <family val="2"/>
      </rPr>
      <t>16</t>
    </r>
    <r>
      <rPr>
        <sz val="10"/>
        <color theme="1"/>
        <rFont val="Arial"/>
        <family val="2"/>
      </rPr>
      <t>O)</t>
    </r>
  </si>
  <si>
    <r>
      <rPr>
        <i/>
        <sz val="10"/>
        <color theme="1"/>
        <rFont val="Arial"/>
        <family val="2"/>
      </rPr>
      <t>R</t>
    </r>
    <r>
      <rPr>
        <i/>
        <vertAlign val="subscript"/>
        <sz val="10"/>
        <color theme="1"/>
        <rFont val="Arial"/>
        <family val="2"/>
      </rPr>
      <t>0</t>
    </r>
    <r>
      <rPr>
        <sz val="10"/>
        <color theme="1"/>
        <rFont val="Arial"/>
        <family val="2"/>
      </rPr>
      <t>(</t>
    </r>
    <r>
      <rPr>
        <vertAlign val="superscript"/>
        <sz val="10"/>
        <color theme="1"/>
        <rFont val="Arial"/>
        <family val="2"/>
      </rPr>
      <t>18</t>
    </r>
    <r>
      <rPr>
        <sz val="10"/>
        <color theme="1"/>
        <rFont val="Arial"/>
        <family val="2"/>
      </rPr>
      <t>O/</t>
    </r>
    <r>
      <rPr>
        <vertAlign val="superscript"/>
        <sz val="10"/>
        <color theme="1"/>
        <rFont val="Arial"/>
        <family val="2"/>
      </rPr>
      <t>16</t>
    </r>
    <r>
      <rPr>
        <sz val="10"/>
        <color theme="1"/>
        <rFont val="Arial"/>
        <family val="2"/>
      </rPr>
      <t>O)</t>
    </r>
  </si>
  <si>
    <r>
      <rPr>
        <i/>
        <sz val="10"/>
        <color theme="1"/>
        <rFont val="Arial"/>
        <family val="2"/>
      </rPr>
      <t>R</t>
    </r>
    <r>
      <rPr>
        <sz val="10"/>
        <color theme="1"/>
        <rFont val="Arial"/>
        <family val="2"/>
      </rPr>
      <t>(</t>
    </r>
    <r>
      <rPr>
        <vertAlign val="superscript"/>
        <sz val="10"/>
        <color theme="1"/>
        <rFont val="Arial"/>
        <family val="2"/>
      </rPr>
      <t>18</t>
    </r>
    <r>
      <rPr>
        <sz val="10"/>
        <color theme="1"/>
        <rFont val="Arial"/>
        <family val="2"/>
      </rPr>
      <t>O/</t>
    </r>
    <r>
      <rPr>
        <vertAlign val="superscript"/>
        <sz val="10"/>
        <color theme="1"/>
        <rFont val="Arial"/>
        <family val="2"/>
      </rPr>
      <t>16</t>
    </r>
    <r>
      <rPr>
        <sz val="10"/>
        <color theme="1"/>
        <rFont val="Arial"/>
        <family val="2"/>
      </rPr>
      <t>O)</t>
    </r>
  </si>
  <si>
    <t>stdev (n = 5)</t>
  </si>
  <si>
    <t>Baertschi (1976) Absolute 18O content of standard mean ocean water. Earth Planet. Sci. Lett. 31, 341–344.</t>
  </si>
  <si>
    <t>n/d</t>
  </si>
  <si>
    <t>n/a</t>
  </si>
  <si>
    <t>c/r</t>
  </si>
  <si>
    <t xml:space="preserve">Baertschi (1976) </t>
  </si>
  <si>
    <t xml:space="preserve">Allison (1995) </t>
  </si>
  <si>
    <t>VSMOW or VPDB</t>
  </si>
  <si>
    <t>Notation</t>
  </si>
  <si>
    <t>Range</t>
  </si>
  <si>
    <t>0 to 1</t>
  </si>
  <si>
    <t>0 to 100</t>
  </si>
  <si>
    <r>
      <t>0 to 10</t>
    </r>
    <r>
      <rPr>
        <vertAlign val="superscript"/>
        <sz val="10"/>
        <color theme="1"/>
        <rFont val="Calibri"/>
        <family val="2"/>
        <scheme val="minor"/>
      </rPr>
      <t>6</t>
    </r>
  </si>
  <si>
    <t>-1000 to infinity</t>
  </si>
  <si>
    <t>Scale/Unit</t>
  </si>
  <si>
    <t xml:space="preserve">   Calculator for expression of stable oxygen isotope composition</t>
  </si>
  <si>
    <t>type or paste value there  →</t>
  </si>
  <si>
    <r>
      <t xml:space="preserve">select  </t>
    </r>
    <r>
      <rPr>
        <sz val="10"/>
        <color theme="0" tint="-0.499984740745262"/>
        <rFont val="Calibri"/>
        <family val="2"/>
      </rPr>
      <t>→</t>
    </r>
  </si>
  <si>
    <r>
      <t xml:space="preserve">type or paste value there  </t>
    </r>
    <r>
      <rPr>
        <sz val="10"/>
        <color theme="0" tint="-0.499984740745262"/>
        <rFont val="Calibri"/>
        <family val="2"/>
      </rPr>
      <t>→</t>
    </r>
  </si>
  <si>
    <t xml:space="preserve">   Calculator for expression of stable sulphur isotope composition</t>
  </si>
  <si>
    <t>VCDT</t>
  </si>
  <si>
    <r>
      <rPr>
        <i/>
        <sz val="10"/>
        <color theme="1"/>
        <rFont val="Symbol"/>
        <family val="1"/>
        <charset val="2"/>
      </rPr>
      <t>d</t>
    </r>
    <r>
      <rPr>
        <vertAlign val="subscript"/>
        <sz val="10"/>
        <color theme="1"/>
        <rFont val="Symbol"/>
        <family val="1"/>
        <charset val="2"/>
      </rPr>
      <t>0</t>
    </r>
    <r>
      <rPr>
        <sz val="10"/>
        <color theme="1"/>
        <rFont val="Arial"/>
        <family val="2"/>
      </rPr>
      <t>(</t>
    </r>
    <r>
      <rPr>
        <vertAlign val="superscript"/>
        <sz val="10"/>
        <color theme="1"/>
        <rFont val="Arial"/>
        <family val="2"/>
      </rPr>
      <t>34</t>
    </r>
    <r>
      <rPr>
        <sz val="10"/>
        <color theme="1"/>
        <rFont val="Arial"/>
        <family val="2"/>
      </rPr>
      <t>S/</t>
    </r>
    <r>
      <rPr>
        <vertAlign val="superscript"/>
        <sz val="10"/>
        <color theme="1"/>
        <rFont val="Arial"/>
        <family val="2"/>
      </rPr>
      <t>32</t>
    </r>
    <r>
      <rPr>
        <sz val="10"/>
        <color theme="1"/>
        <rFont val="Arial"/>
        <family val="2"/>
      </rPr>
      <t>S)</t>
    </r>
  </si>
  <si>
    <r>
      <rPr>
        <i/>
        <sz val="10"/>
        <color theme="1"/>
        <rFont val="Arial"/>
        <family val="2"/>
      </rPr>
      <t>R</t>
    </r>
    <r>
      <rPr>
        <i/>
        <vertAlign val="subscript"/>
        <sz val="10"/>
        <color theme="1"/>
        <rFont val="Arial"/>
        <family val="2"/>
      </rPr>
      <t>0</t>
    </r>
    <r>
      <rPr>
        <sz val="10"/>
        <color theme="1"/>
        <rFont val="Arial"/>
        <family val="2"/>
      </rPr>
      <t>(</t>
    </r>
    <r>
      <rPr>
        <vertAlign val="superscript"/>
        <sz val="10"/>
        <color theme="1"/>
        <rFont val="Arial"/>
        <family val="2"/>
      </rPr>
      <t>34</t>
    </r>
    <r>
      <rPr>
        <sz val="10"/>
        <color theme="1"/>
        <rFont val="Arial"/>
        <family val="2"/>
      </rPr>
      <t>S/</t>
    </r>
    <r>
      <rPr>
        <vertAlign val="superscript"/>
        <sz val="10"/>
        <color theme="1"/>
        <rFont val="Arial"/>
        <family val="2"/>
      </rPr>
      <t>32</t>
    </r>
    <r>
      <rPr>
        <sz val="10"/>
        <color theme="1"/>
        <rFont val="Arial"/>
        <family val="2"/>
      </rPr>
      <t>S)</t>
    </r>
  </si>
  <si>
    <r>
      <rPr>
        <i/>
        <sz val="10"/>
        <color theme="1"/>
        <rFont val="Arial"/>
        <family val="2"/>
      </rPr>
      <t>R</t>
    </r>
    <r>
      <rPr>
        <sz val="10"/>
        <color theme="1"/>
        <rFont val="Arial"/>
        <family val="2"/>
      </rPr>
      <t>(</t>
    </r>
    <r>
      <rPr>
        <vertAlign val="superscript"/>
        <sz val="10"/>
        <color theme="1"/>
        <rFont val="Arial"/>
        <family val="2"/>
      </rPr>
      <t>34</t>
    </r>
    <r>
      <rPr>
        <sz val="10"/>
        <color theme="1"/>
        <rFont val="Arial"/>
        <family val="2"/>
      </rPr>
      <t>S/</t>
    </r>
    <r>
      <rPr>
        <vertAlign val="superscript"/>
        <sz val="10"/>
        <color theme="1"/>
        <rFont val="Arial"/>
        <family val="2"/>
      </rPr>
      <t>32</t>
    </r>
    <r>
      <rPr>
        <sz val="10"/>
        <color theme="1"/>
        <rFont val="Arial"/>
        <family val="2"/>
      </rPr>
      <t>S)</t>
    </r>
  </si>
  <si>
    <t>refers to Ding 1999</t>
  </si>
  <si>
    <t>c</t>
  </si>
  <si>
    <t>calculated from the Rees' ratio R32/34 = 22.21 for this material together with Macnamara and Thode's result for the isotopic composition of meteorite+[4]$/, i. e. 0.750 atom% 33S and 0.017 atom% 36S</t>
  </si>
  <si>
    <t xml:space="preserve">Ding et al (1999) </t>
  </si>
  <si>
    <t xml:space="preserve">Ding et al (2001) </t>
  </si>
  <si>
    <t>Zhang &amp; Ding (1989)</t>
  </si>
  <si>
    <t xml:space="preserve">   Calculator for expression of stable nitrogen isotope composition</t>
  </si>
  <si>
    <r>
      <rPr>
        <b/>
        <vertAlign val="superscript"/>
        <sz val="22"/>
        <color theme="1"/>
        <rFont val="Calibri"/>
        <family val="2"/>
        <scheme val="minor"/>
      </rPr>
      <t>15</t>
    </r>
    <r>
      <rPr>
        <b/>
        <sz val="22"/>
        <color theme="1"/>
        <rFont val="Calibri"/>
        <family val="2"/>
        <scheme val="minor"/>
      </rPr>
      <t xml:space="preserve">N and </t>
    </r>
    <r>
      <rPr>
        <b/>
        <vertAlign val="superscript"/>
        <sz val="22"/>
        <color theme="1"/>
        <rFont val="Calibri"/>
        <family val="2"/>
        <scheme val="minor"/>
      </rPr>
      <t>14</t>
    </r>
    <r>
      <rPr>
        <b/>
        <sz val="22"/>
        <color theme="1"/>
        <rFont val="Calibri"/>
        <family val="2"/>
        <scheme val="minor"/>
      </rPr>
      <t>N</t>
    </r>
  </si>
  <si>
    <r>
      <rPr>
        <i/>
        <sz val="10"/>
        <color theme="1"/>
        <rFont val="Symbol"/>
        <family val="1"/>
        <charset val="2"/>
      </rPr>
      <t>d</t>
    </r>
    <r>
      <rPr>
        <vertAlign val="subscript"/>
        <sz val="10"/>
        <color theme="1"/>
        <rFont val="Symbol"/>
        <family val="1"/>
        <charset val="2"/>
      </rPr>
      <t>0</t>
    </r>
    <r>
      <rPr>
        <sz val="10"/>
        <color theme="1"/>
        <rFont val="Arial"/>
        <family val="2"/>
      </rPr>
      <t>(</t>
    </r>
    <r>
      <rPr>
        <vertAlign val="superscript"/>
        <sz val="10"/>
        <color theme="1"/>
        <rFont val="Arial"/>
        <family val="2"/>
      </rPr>
      <t>15</t>
    </r>
    <r>
      <rPr>
        <sz val="10"/>
        <color theme="1"/>
        <rFont val="Arial"/>
        <family val="2"/>
      </rPr>
      <t>N/</t>
    </r>
    <r>
      <rPr>
        <vertAlign val="superscript"/>
        <sz val="10"/>
        <color theme="1"/>
        <rFont val="Arial"/>
        <family val="2"/>
      </rPr>
      <t>14</t>
    </r>
    <r>
      <rPr>
        <sz val="10"/>
        <color theme="1"/>
        <rFont val="Arial"/>
        <family val="2"/>
      </rPr>
      <t>N)</t>
    </r>
  </si>
  <si>
    <r>
      <rPr>
        <i/>
        <sz val="10"/>
        <color theme="1"/>
        <rFont val="Arial"/>
        <family val="2"/>
      </rPr>
      <t>R</t>
    </r>
    <r>
      <rPr>
        <i/>
        <vertAlign val="subscript"/>
        <sz val="10"/>
        <color theme="1"/>
        <rFont val="Arial"/>
        <family val="2"/>
      </rPr>
      <t>0</t>
    </r>
    <r>
      <rPr>
        <sz val="10"/>
        <color theme="1"/>
        <rFont val="Arial"/>
        <family val="2"/>
      </rPr>
      <t>(</t>
    </r>
    <r>
      <rPr>
        <vertAlign val="superscript"/>
        <sz val="10"/>
        <color theme="1"/>
        <rFont val="Arial"/>
        <family val="2"/>
      </rPr>
      <t>15</t>
    </r>
    <r>
      <rPr>
        <sz val="10"/>
        <color theme="1"/>
        <rFont val="Arial"/>
        <family val="2"/>
      </rPr>
      <t>N/</t>
    </r>
    <r>
      <rPr>
        <vertAlign val="superscript"/>
        <sz val="10"/>
        <color theme="1"/>
        <rFont val="Arial"/>
        <family val="2"/>
      </rPr>
      <t>14</t>
    </r>
    <r>
      <rPr>
        <sz val="10"/>
        <color theme="1"/>
        <rFont val="Arial"/>
        <family val="2"/>
      </rPr>
      <t>N)</t>
    </r>
  </si>
  <si>
    <r>
      <rPr>
        <i/>
        <sz val="10"/>
        <color theme="1"/>
        <rFont val="Arial"/>
        <family val="2"/>
      </rPr>
      <t>R</t>
    </r>
    <r>
      <rPr>
        <sz val="10"/>
        <color theme="1"/>
        <rFont val="Arial"/>
        <family val="2"/>
      </rPr>
      <t>(</t>
    </r>
    <r>
      <rPr>
        <vertAlign val="superscript"/>
        <sz val="10"/>
        <color theme="1"/>
        <rFont val="Arial"/>
        <family val="2"/>
      </rPr>
      <t>15</t>
    </r>
    <r>
      <rPr>
        <sz val="10"/>
        <color theme="1"/>
        <rFont val="Arial"/>
        <family val="2"/>
      </rPr>
      <t>N/</t>
    </r>
    <r>
      <rPr>
        <vertAlign val="superscript"/>
        <sz val="10"/>
        <color theme="1"/>
        <rFont val="Arial"/>
        <family val="2"/>
      </rPr>
      <t>14</t>
    </r>
    <r>
      <rPr>
        <sz val="10"/>
        <color theme="1"/>
        <rFont val="Arial"/>
        <family val="2"/>
      </rPr>
      <t>N)</t>
    </r>
  </si>
  <si>
    <r>
      <rPr>
        <i/>
        <sz val="10"/>
        <color theme="1"/>
        <rFont val="Symbol"/>
        <family val="1"/>
        <charset val="2"/>
      </rPr>
      <t>d</t>
    </r>
    <r>
      <rPr>
        <sz val="10"/>
        <color theme="1"/>
        <rFont val="Arial"/>
        <family val="2"/>
      </rPr>
      <t>(</t>
    </r>
    <r>
      <rPr>
        <vertAlign val="superscript"/>
        <sz val="10"/>
        <color theme="1"/>
        <rFont val="Arial"/>
        <family val="2"/>
      </rPr>
      <t>18</t>
    </r>
    <r>
      <rPr>
        <sz val="10"/>
        <color theme="1"/>
        <rFont val="Arial"/>
        <family val="2"/>
      </rPr>
      <t>O/</t>
    </r>
    <r>
      <rPr>
        <vertAlign val="superscript"/>
        <sz val="10"/>
        <color theme="1"/>
        <rFont val="Arial"/>
        <family val="2"/>
      </rPr>
      <t>16</t>
    </r>
    <r>
      <rPr>
        <sz val="10"/>
        <color theme="1"/>
        <rFont val="Arial"/>
        <family val="2"/>
      </rPr>
      <t>O)</t>
    </r>
  </si>
  <si>
    <r>
      <rPr>
        <i/>
        <sz val="10"/>
        <color theme="1"/>
        <rFont val="Symbol"/>
        <family val="1"/>
        <charset val="2"/>
      </rPr>
      <t>d</t>
    </r>
    <r>
      <rPr>
        <sz val="10"/>
        <color theme="1"/>
        <rFont val="Arial"/>
        <family val="2"/>
      </rPr>
      <t>(</t>
    </r>
    <r>
      <rPr>
        <vertAlign val="superscript"/>
        <sz val="10"/>
        <color theme="1"/>
        <rFont val="Arial"/>
        <family val="2"/>
      </rPr>
      <t>34</t>
    </r>
    <r>
      <rPr>
        <sz val="10"/>
        <color theme="1"/>
        <rFont val="Arial"/>
        <family val="2"/>
      </rPr>
      <t>S/</t>
    </r>
    <r>
      <rPr>
        <vertAlign val="superscript"/>
        <sz val="10"/>
        <color theme="1"/>
        <rFont val="Arial"/>
        <family val="2"/>
      </rPr>
      <t>32</t>
    </r>
    <r>
      <rPr>
        <sz val="10"/>
        <color theme="1"/>
        <rFont val="Arial"/>
        <family val="2"/>
      </rPr>
      <t>S)</t>
    </r>
  </si>
  <si>
    <t>AIR</t>
  </si>
  <si>
    <r>
      <rPr>
        <i/>
        <sz val="10"/>
        <color theme="1"/>
        <rFont val="Symbol"/>
        <family val="1"/>
        <charset val="2"/>
      </rPr>
      <t>d</t>
    </r>
    <r>
      <rPr>
        <sz val="10"/>
        <color theme="1"/>
        <rFont val="Arial"/>
        <family val="2"/>
      </rPr>
      <t>(</t>
    </r>
    <r>
      <rPr>
        <vertAlign val="superscript"/>
        <sz val="10"/>
        <color theme="1"/>
        <rFont val="Arial"/>
        <family val="2"/>
      </rPr>
      <t>15</t>
    </r>
    <r>
      <rPr>
        <sz val="10"/>
        <color theme="1"/>
        <rFont val="Arial"/>
        <family val="2"/>
      </rPr>
      <t>N/</t>
    </r>
    <r>
      <rPr>
        <vertAlign val="superscript"/>
        <sz val="10"/>
        <color theme="1"/>
        <rFont val="Arial"/>
        <family val="2"/>
      </rPr>
      <t>14</t>
    </r>
    <r>
      <rPr>
        <sz val="10"/>
        <color theme="1"/>
        <rFont val="Arial"/>
        <family val="2"/>
      </rPr>
      <t>N)</t>
    </r>
  </si>
  <si>
    <t>Schoenheimer &amp; Reittenberg (1939) Studies in Protein Metabolism I. General considerations in the application of isotopes to the study of protein metabolism. The normal abundance of nitrogen isotopes in amino acids. Journal of Biological Chemistry 127.1 (1939): 285-290.</t>
  </si>
  <si>
    <t>Nier (1950) A redetermination of the relative abundances of the isotopes of carbon, nitrogen, oxygen, argon, and potassium. Phys. Rev. 77(6), 789–793.</t>
  </si>
  <si>
    <t>not calibrated with N isotopic mixtures</t>
  </si>
  <si>
    <t>Schoenheimer &amp; Reittenberg (1939)</t>
  </si>
  <si>
    <t>Nier (1950)</t>
  </si>
  <si>
    <t>Soloway (1951)</t>
  </si>
  <si>
    <t>Junk &amp; Svec (1958)</t>
  </si>
  <si>
    <t>Holden et al (1984)</t>
  </si>
  <si>
    <t>m/c</t>
  </si>
  <si>
    <t>from original PDB</t>
  </si>
  <si>
    <t>Craig (1957) Isotopic standards for carbon and oxygen and correction factors for mass-spectrometric analysis of carbon dioxide. Geochim. Cosmochim. Acta 12, 133–149
Nier (1950) A redetermination of the relative abundances of the isotopes of carbon, nitrogen, oxygen, argon, and potassium. Phys. Rev. 77(6), 789–793.</t>
  </si>
  <si>
    <t>k = 2</t>
  </si>
  <si>
    <t>from NBS 19</t>
  </si>
  <si>
    <t>Chang (Zhang) &amp; Li (1990) A calibrated measurement of the atomic weight of carbon. Chin. Sci. Bull. 35(4), 290–296.</t>
  </si>
  <si>
    <t>linear regression from values on certificates</t>
  </si>
  <si>
    <t>Nørgaard et al (1999) IMEP-8: Carbon and oxygen isotope ratios in CO2 (Certification Report EUR 19061 EN). Institute for Reference Materials and Measurements.</t>
  </si>
  <si>
    <t>from PEF1 (now IAEA-CH-7), NBS22 and USGS24 but using old delta values (new ones don't change anything significantly)</t>
  </si>
  <si>
    <t>Ruße et al (2004) Synthetic isotope mixtures for the calibration of isotope amount ratio measurements of carbon. Int. J. Mass Spectrom. 235(3), 255–262.</t>
  </si>
  <si>
    <t>Valkiers et al (2007) Preparation of Synthetic Isotope Mixtures for the calibration of carbon and oxygen isotope ratio measurements (in carbon dioxide) to the SI. Int. J. Mass. Spectrom. 264(1), 10–21.</t>
  </si>
  <si>
    <t>k = 2.57</t>
  </si>
  <si>
    <t>mean of all previously measured values as reported by authors (no recalculation)</t>
  </si>
  <si>
    <t xml:space="preserve">Ruße et al (2004) </t>
  </si>
  <si>
    <t xml:space="preserve">Kaiser (2008) </t>
  </si>
  <si>
    <t xml:space="preserve">Malinovskiy et al (2019) </t>
  </si>
  <si>
    <t xml:space="preserve">   Calculator for expression of stable carbon isotope composition</t>
  </si>
  <si>
    <t>VPDB</t>
  </si>
  <si>
    <r>
      <rPr>
        <b/>
        <vertAlign val="superscript"/>
        <sz val="22"/>
        <color theme="1"/>
        <rFont val="Calibri"/>
        <family val="2"/>
        <scheme val="minor"/>
      </rPr>
      <t>13</t>
    </r>
    <r>
      <rPr>
        <b/>
        <sz val="22"/>
        <color theme="1"/>
        <rFont val="Calibri"/>
        <family val="2"/>
        <scheme val="minor"/>
      </rPr>
      <t xml:space="preserve">C and </t>
    </r>
    <r>
      <rPr>
        <b/>
        <vertAlign val="superscript"/>
        <sz val="22"/>
        <color theme="1"/>
        <rFont val="Calibri"/>
        <family val="2"/>
        <scheme val="minor"/>
      </rPr>
      <t>12</t>
    </r>
    <r>
      <rPr>
        <b/>
        <sz val="22"/>
        <color theme="1"/>
        <rFont val="Calibri"/>
        <family val="2"/>
        <scheme val="minor"/>
      </rPr>
      <t>C</t>
    </r>
  </si>
  <si>
    <r>
      <rPr>
        <i/>
        <sz val="10"/>
        <color theme="1"/>
        <rFont val="Symbol"/>
        <family val="1"/>
        <charset val="2"/>
      </rPr>
      <t>d</t>
    </r>
    <r>
      <rPr>
        <vertAlign val="subscript"/>
        <sz val="10"/>
        <color theme="1"/>
        <rFont val="Symbol"/>
        <family val="1"/>
        <charset val="2"/>
      </rPr>
      <t>0</t>
    </r>
    <r>
      <rPr>
        <sz val="10"/>
        <color theme="1"/>
        <rFont val="Arial"/>
        <family val="2"/>
      </rPr>
      <t>(</t>
    </r>
    <r>
      <rPr>
        <vertAlign val="superscript"/>
        <sz val="10"/>
        <color theme="1"/>
        <rFont val="Arial"/>
        <family val="2"/>
      </rPr>
      <t>13</t>
    </r>
    <r>
      <rPr>
        <sz val="10"/>
        <color theme="1"/>
        <rFont val="Arial"/>
        <family val="2"/>
      </rPr>
      <t>C/</t>
    </r>
    <r>
      <rPr>
        <vertAlign val="superscript"/>
        <sz val="10"/>
        <color theme="1"/>
        <rFont val="Arial"/>
        <family val="2"/>
      </rPr>
      <t>12</t>
    </r>
    <r>
      <rPr>
        <sz val="10"/>
        <color theme="1"/>
        <rFont val="Arial"/>
        <family val="2"/>
      </rPr>
      <t>C)</t>
    </r>
  </si>
  <si>
    <r>
      <rPr>
        <i/>
        <sz val="10"/>
        <color theme="1"/>
        <rFont val="Arial"/>
        <family val="2"/>
      </rPr>
      <t>R</t>
    </r>
    <r>
      <rPr>
        <i/>
        <vertAlign val="subscript"/>
        <sz val="10"/>
        <color theme="1"/>
        <rFont val="Arial"/>
        <family val="2"/>
      </rPr>
      <t>0</t>
    </r>
    <r>
      <rPr>
        <sz val="10"/>
        <color theme="1"/>
        <rFont val="Arial"/>
        <family val="2"/>
      </rPr>
      <t>(</t>
    </r>
    <r>
      <rPr>
        <vertAlign val="superscript"/>
        <sz val="10"/>
        <color theme="1"/>
        <rFont val="Arial"/>
        <family val="2"/>
      </rPr>
      <t>13</t>
    </r>
    <r>
      <rPr>
        <sz val="10"/>
        <color theme="1"/>
        <rFont val="Arial"/>
        <family val="2"/>
      </rPr>
      <t>C/</t>
    </r>
    <r>
      <rPr>
        <vertAlign val="superscript"/>
        <sz val="10"/>
        <color theme="1"/>
        <rFont val="Arial"/>
        <family val="2"/>
      </rPr>
      <t>12</t>
    </r>
    <r>
      <rPr>
        <sz val="10"/>
        <color theme="1"/>
        <rFont val="Arial"/>
        <family val="2"/>
      </rPr>
      <t>C)</t>
    </r>
  </si>
  <si>
    <r>
      <rPr>
        <i/>
        <sz val="10"/>
        <color theme="1"/>
        <rFont val="Symbol"/>
        <family val="1"/>
        <charset val="2"/>
      </rPr>
      <t>d</t>
    </r>
    <r>
      <rPr>
        <sz val="10"/>
        <color theme="1"/>
        <rFont val="Arial"/>
        <family val="2"/>
      </rPr>
      <t>(</t>
    </r>
    <r>
      <rPr>
        <vertAlign val="superscript"/>
        <sz val="10"/>
        <color theme="1"/>
        <rFont val="Arial"/>
        <family val="2"/>
      </rPr>
      <t>13</t>
    </r>
    <r>
      <rPr>
        <sz val="10"/>
        <color theme="1"/>
        <rFont val="Arial"/>
        <family val="2"/>
      </rPr>
      <t>C/</t>
    </r>
    <r>
      <rPr>
        <vertAlign val="superscript"/>
        <sz val="10"/>
        <color theme="1"/>
        <rFont val="Arial"/>
        <family val="2"/>
      </rPr>
      <t>12</t>
    </r>
    <r>
      <rPr>
        <sz val="10"/>
        <color theme="1"/>
        <rFont val="Arial"/>
        <family val="2"/>
      </rPr>
      <t>C)</t>
    </r>
  </si>
  <si>
    <r>
      <rPr>
        <i/>
        <sz val="10"/>
        <color theme="1"/>
        <rFont val="Arial"/>
        <family val="2"/>
      </rPr>
      <t>R</t>
    </r>
    <r>
      <rPr>
        <sz val="10"/>
        <color theme="1"/>
        <rFont val="Arial"/>
        <family val="2"/>
      </rPr>
      <t>(</t>
    </r>
    <r>
      <rPr>
        <vertAlign val="superscript"/>
        <sz val="10"/>
        <color theme="1"/>
        <rFont val="Arial"/>
        <family val="2"/>
      </rPr>
      <t>13</t>
    </r>
    <r>
      <rPr>
        <sz val="10"/>
        <color theme="1"/>
        <rFont val="Arial"/>
        <family val="2"/>
      </rPr>
      <t>C/</t>
    </r>
    <r>
      <rPr>
        <vertAlign val="superscript"/>
        <sz val="10"/>
        <color theme="1"/>
        <rFont val="Arial"/>
        <family val="2"/>
      </rPr>
      <t>12</t>
    </r>
    <r>
      <rPr>
        <sz val="10"/>
        <color theme="1"/>
        <rFont val="Arial"/>
        <family val="2"/>
      </rPr>
      <t>C)</t>
    </r>
  </si>
  <si>
    <t xml:space="preserve">Chang &amp; Li (1990) </t>
  </si>
  <si>
    <t>Nørgaard et al (1999)</t>
  </si>
  <si>
    <t>Valkiers et al (2007)</t>
  </si>
  <si>
    <t>Dunn et al (2015)</t>
  </si>
  <si>
    <t>Malinovskiy et al (2019)</t>
  </si>
  <si>
    <t>Sample name</t>
  </si>
  <si>
    <t>meas/calc/recom</t>
  </si>
  <si>
    <r>
      <rPr>
        <i/>
        <sz val="10"/>
        <color theme="1"/>
        <rFont val="Symbol"/>
        <family val="1"/>
        <charset val="2"/>
      </rPr>
      <t>d</t>
    </r>
    <r>
      <rPr>
        <vertAlign val="subscript"/>
        <sz val="10"/>
        <color theme="1"/>
        <rFont val="Symbol"/>
        <family val="1"/>
        <charset val="2"/>
      </rPr>
      <t>0</t>
    </r>
    <r>
      <rPr>
        <sz val="10"/>
        <color theme="1"/>
        <rFont val="Arial"/>
        <family val="2"/>
      </rPr>
      <t>(</t>
    </r>
    <r>
      <rPr>
        <vertAlign val="superscript"/>
        <sz val="10"/>
        <color theme="1"/>
        <rFont val="Arial"/>
        <family val="2"/>
      </rPr>
      <t>2</t>
    </r>
    <r>
      <rPr>
        <sz val="10"/>
        <color theme="1"/>
        <rFont val="Arial"/>
        <family val="2"/>
      </rPr>
      <t>H/</t>
    </r>
    <r>
      <rPr>
        <vertAlign val="superscript"/>
        <sz val="10"/>
        <color theme="1"/>
        <rFont val="Arial"/>
        <family val="2"/>
      </rPr>
      <t>1</t>
    </r>
    <r>
      <rPr>
        <sz val="10"/>
        <color theme="1"/>
        <rFont val="Arial"/>
        <family val="2"/>
      </rPr>
      <t>H)</t>
    </r>
  </si>
  <si>
    <r>
      <rPr>
        <i/>
        <sz val="10"/>
        <color theme="1"/>
        <rFont val="Arial"/>
        <family val="2"/>
      </rPr>
      <t>R</t>
    </r>
    <r>
      <rPr>
        <i/>
        <vertAlign val="subscript"/>
        <sz val="10"/>
        <color theme="1"/>
        <rFont val="Arial"/>
        <family val="2"/>
      </rPr>
      <t>0</t>
    </r>
    <r>
      <rPr>
        <sz val="10"/>
        <color theme="1"/>
        <rFont val="Arial"/>
        <family val="2"/>
      </rPr>
      <t>(</t>
    </r>
    <r>
      <rPr>
        <vertAlign val="superscript"/>
        <sz val="10"/>
        <color theme="1"/>
        <rFont val="Arial"/>
        <family val="2"/>
      </rPr>
      <t>2</t>
    </r>
    <r>
      <rPr>
        <sz val="10"/>
        <color theme="1"/>
        <rFont val="Arial"/>
        <family val="2"/>
      </rPr>
      <t>H/</t>
    </r>
    <r>
      <rPr>
        <vertAlign val="superscript"/>
        <sz val="10"/>
        <color theme="1"/>
        <rFont val="Arial"/>
        <family val="2"/>
      </rPr>
      <t>1</t>
    </r>
    <r>
      <rPr>
        <sz val="10"/>
        <color theme="1"/>
        <rFont val="Arial"/>
        <family val="2"/>
      </rPr>
      <t>H)</t>
    </r>
  </si>
  <si>
    <r>
      <rPr>
        <i/>
        <sz val="10"/>
        <color theme="1"/>
        <rFont val="Symbol"/>
        <family val="1"/>
        <charset val="2"/>
      </rPr>
      <t>d</t>
    </r>
    <r>
      <rPr>
        <sz val="10"/>
        <color theme="1"/>
        <rFont val="Arial"/>
        <family val="2"/>
      </rPr>
      <t>(</t>
    </r>
    <r>
      <rPr>
        <vertAlign val="superscript"/>
        <sz val="10"/>
        <color theme="1"/>
        <rFont val="Arial"/>
        <family val="2"/>
      </rPr>
      <t>2</t>
    </r>
    <r>
      <rPr>
        <sz val="10"/>
        <color theme="1"/>
        <rFont val="Arial"/>
        <family val="2"/>
      </rPr>
      <t>H/</t>
    </r>
    <r>
      <rPr>
        <vertAlign val="superscript"/>
        <sz val="10"/>
        <color theme="1"/>
        <rFont val="Arial"/>
        <family val="2"/>
      </rPr>
      <t>1</t>
    </r>
    <r>
      <rPr>
        <sz val="10"/>
        <color theme="1"/>
        <rFont val="Arial"/>
        <family val="2"/>
      </rPr>
      <t>H)</t>
    </r>
  </si>
  <si>
    <r>
      <rPr>
        <i/>
        <sz val="10"/>
        <color theme="1"/>
        <rFont val="Arial"/>
        <family val="2"/>
      </rPr>
      <t>R</t>
    </r>
    <r>
      <rPr>
        <sz val="10"/>
        <color theme="1"/>
        <rFont val="Arial"/>
        <family val="2"/>
      </rPr>
      <t>(</t>
    </r>
    <r>
      <rPr>
        <vertAlign val="superscript"/>
        <sz val="10"/>
        <color theme="1"/>
        <rFont val="Arial"/>
        <family val="2"/>
      </rPr>
      <t>2</t>
    </r>
    <r>
      <rPr>
        <sz val="10"/>
        <color theme="1"/>
        <rFont val="Arial"/>
        <family val="2"/>
      </rPr>
      <t>H/</t>
    </r>
    <r>
      <rPr>
        <vertAlign val="superscript"/>
        <sz val="10"/>
        <color theme="1"/>
        <rFont val="Arial"/>
        <family val="2"/>
      </rPr>
      <t>1</t>
    </r>
    <r>
      <rPr>
        <sz val="10"/>
        <color theme="1"/>
        <rFont val="Arial"/>
        <family val="2"/>
      </rPr>
      <t>H)</t>
    </r>
  </si>
  <si>
    <t>Thode et al (1961)</t>
  </si>
  <si>
    <t>Urey &amp; Murphy (1931)</t>
  </si>
  <si>
    <t>Wahl et al (1935)</t>
  </si>
  <si>
    <t xml:space="preserve">De Bievre et al (1996) </t>
  </si>
  <si>
    <t>Nier (1950) and Craig (1957)</t>
  </si>
  <si>
    <t>automatically populated →</t>
  </si>
  <si>
    <r>
      <t xml:space="preserve">type uncertainty there  </t>
    </r>
    <r>
      <rPr>
        <sz val="10"/>
        <color theme="0" tint="-0.499984740745262"/>
        <rFont val="Calibri"/>
        <family val="2"/>
      </rPr>
      <t>→</t>
    </r>
  </si>
  <si>
    <t>automatically populated→</t>
  </si>
  <si>
    <t>automatically populated  →</t>
  </si>
  <si>
    <t>Dunn et al (2015) Calibration strategies for the determination of stable carbon absolute isotope ratios in a glycine candidate reference material by elemental analyser-isotope ratio mass spectrometry. Anal. Bioanal. Chem. 407, 3169–3180.</t>
  </si>
  <si>
    <t>Malinovskiy et al (2019) Development and characterisation of new glycine certified reference materials for SI-traceable 13C/12C isotope amount ratio measurements. J. Anal. At. Spectrom., 34, 147-159.</t>
  </si>
  <si>
    <t>Kaiser (2008) Reformulated 17O correction of mass spectrometric stable isotope measurements in carbon dioxide and a critical appraisal of historic ‘absolute’ carbon and oxygen isotope ratios. Geochim. Cosmochim. Acta 72() 1312–1334.</t>
  </si>
  <si>
    <t>Allison (1995) Recommendations for the reporting of stable isotope measurements of carbon and oxygen in CO2 gas. In Reference and Intercomparison Materials for Stable Isotopes of Light Elements (ed. IAEA). International Atomic Energy Agency, pp. 155–162. (IAEA-TECDOC-825).</t>
  </si>
  <si>
    <t>Ding et al (1999) Determination of the absolute 32S/34S ratio of IAEA-S-1 reference material and V-CDT sulfur isotope standard. Science in China Series D: Earth Sciences, 42(1), 45-51.</t>
  </si>
  <si>
    <t>Wahl, Huffman, &amp; Hipple (1935) An Attempted Concentration of the Heavy Nitrogen Isotope. The Journal of Chemical Physics, 3(7), 434-435.</t>
  </si>
  <si>
    <t>Werner &amp; Brand (2001) Referencing strategies and techniques in stable isotope ratio analysis. Rapid Commun. Mass Spectrom. 15, 501–519.</t>
  </si>
  <si>
    <t>Craig (1961) Standard for reporting concentrations of deuterium and oxygen-18 in natural waters. Science, 133(3467), 1833-1834.</t>
  </si>
  <si>
    <t>Hageman et al (1970) Absolute isotopic scale for deuterium analysis of natural waters. Absolute D/H ratio for SMOW. Tellus, 22:6, 712-715</t>
  </si>
  <si>
    <t>Thode, Monster &amp; Dunford, (1961), Sulphur isotope geochemistry. Geochim Cosmochim Acta, 25(3), 159-174.</t>
  </si>
  <si>
    <t>Ding et al (2001) Calibrated sulfur isotope abundance ratios of three IAEA sulfur isotope reference materials and V-CDT with a reassessment of the atomic weight of sulfur. Geochim Cosmochim Acta, 65(15), 2433-2437.</t>
  </si>
  <si>
    <t>Holden et al (1984) Isotopic Compositions of the Elements 1983. Pure Appl. Chem., 56, 675-694.</t>
  </si>
  <si>
    <t xml:space="preserve"> </t>
  </si>
  <si>
    <t>Reference (short)</t>
  </si>
  <si>
    <t>Ratio (2H/1H)</t>
  </si>
  <si>
    <t>Fraction (2H) [%]</t>
  </si>
  <si>
    <r>
      <t xml:space="preserve">Fraction (2H) [ppm] </t>
    </r>
    <r>
      <rPr>
        <i/>
        <sz val="11"/>
        <color theme="1"/>
        <rFont val="Calibri"/>
        <family val="2"/>
        <scheme val="minor"/>
      </rPr>
      <t/>
    </r>
  </si>
  <si>
    <t>Ratio (13C/12C)</t>
  </si>
  <si>
    <t>Fraction (13C) [%]</t>
  </si>
  <si>
    <r>
      <t xml:space="preserve">Fraction (13C) [ppm] </t>
    </r>
    <r>
      <rPr>
        <i/>
        <sz val="11"/>
        <color theme="1"/>
        <rFont val="Calibri"/>
        <family val="2"/>
        <scheme val="minor"/>
      </rPr>
      <t/>
    </r>
  </si>
  <si>
    <t>Ratio (2H/1H), Fraction (2H) [%], Fraction (2H) [ppm]</t>
  </si>
  <si>
    <t>Delta (2H/1H, Fraction (2H) [%], Fraction (2H) [ppm]</t>
  </si>
  <si>
    <t>Delta (2H/1H), Ratio (2H/1H), Fraction (2H) [ppm]</t>
  </si>
  <si>
    <t>Delta (2H/1H), Ratio (2H/1H), Fraction (2H)  [%]</t>
  </si>
  <si>
    <r>
      <t xml:space="preserve">Delta (2H/1H) [‰] </t>
    </r>
    <r>
      <rPr>
        <i/>
        <sz val="11"/>
        <color theme="1"/>
        <rFont val="Symbol"/>
        <family val="1"/>
        <charset val="2"/>
      </rPr>
      <t/>
    </r>
  </si>
  <si>
    <r>
      <t xml:space="preserve">Delta (13C/12C) [‰] </t>
    </r>
    <r>
      <rPr>
        <i/>
        <sz val="11"/>
        <color theme="1"/>
        <rFont val="Symbol"/>
        <family val="1"/>
        <charset val="2"/>
      </rPr>
      <t/>
    </r>
  </si>
  <si>
    <t>Ratio (13C/12C), Fraction (13C) [%], Fraction (13C) [ppm]</t>
  </si>
  <si>
    <t>Delta (13C/12C, Fraction (13C) [%], Fraction (13C) [ppm]</t>
  </si>
  <si>
    <t>Delta (13C/12C), Ratio (13C/12C), Fraction (13C) [ppm]</t>
  </si>
  <si>
    <t>Delta (13C/12C), Ratio (13C/12C), Fraction (13C)  [%]</t>
  </si>
  <si>
    <t>Fraction (15N) [%]</t>
  </si>
  <si>
    <t xml:space="preserve">Fraction (15N) [ppm] </t>
  </si>
  <si>
    <t xml:space="preserve">Delta (15N/14N) [‰] </t>
  </si>
  <si>
    <t>Ratio (15N/14N), Fraction (15N) [%], Fraction (15N) [ppm]</t>
  </si>
  <si>
    <t>Ratio (15N/14N)</t>
  </si>
  <si>
    <t>Delta (15N/14N, Fraction (15N) [%], Fraction (15N) [ppm]</t>
  </si>
  <si>
    <t>Delta (15N/14N), Ratio (15N/14N), Fraction (15N) [ppm]</t>
  </si>
  <si>
    <t>Delta (15N/14N), Ratio (15N/14N), Fraction (15N)  [%]</t>
  </si>
  <si>
    <t>Fraction (18O) [%]</t>
  </si>
  <si>
    <t xml:space="preserve">Fraction (18O) [ppm] </t>
  </si>
  <si>
    <t xml:space="preserve">Delta (18O/16O) [‰] </t>
  </si>
  <si>
    <t>Ratio (18O/16O), Fraction (18O) [%], Fraction (18O) [ppm]</t>
  </si>
  <si>
    <t>Ratio (18O/16O)</t>
  </si>
  <si>
    <t>Delta (18O/16O, Fraction (18O) [%], Fraction (18O) [ppm]</t>
  </si>
  <si>
    <t>Delta (18O/16O), Ratio (18O/16O), Fraction (18O) [ppm]</t>
  </si>
  <si>
    <t>Delta (18O/16O), Ratio (18O/16O), Fraction (18O)  [%]</t>
  </si>
  <si>
    <t xml:space="preserve">Delta (34S/32S) [‰] </t>
  </si>
  <si>
    <t>Ratio (34S/32S), Fraction (34S) [%], Fraction (34S) [ppm]</t>
  </si>
  <si>
    <t>Ratio (34S/32S)</t>
  </si>
  <si>
    <t>Delta (34S/32S, Fraction (34S) [%], Fraction (34S) [ppm]</t>
  </si>
  <si>
    <t>Fraction (34S) [%]</t>
  </si>
  <si>
    <t>Delta (34S/32S), Ratio (34S/32S), Fraction (34S) [ppm]</t>
  </si>
  <si>
    <t xml:space="preserve">Fraction (34S) [ppm] </t>
  </si>
  <si>
    <t>Delta (34S/32S), Ratio (34S/32S), Fraction (34S)  [%]</t>
  </si>
  <si>
    <t>Delta (2H/1H)</t>
  </si>
  <si>
    <r>
      <t xml:space="preserve">Absolute Isotope </t>
    </r>
    <r>
      <rPr>
        <b/>
        <sz val="10"/>
        <color theme="1"/>
        <rFont val="Calibri"/>
        <family val="2"/>
        <scheme val="minor"/>
      </rPr>
      <t>Ratio (2H/1H)</t>
    </r>
  </si>
  <si>
    <r>
      <t xml:space="preserve">Atom </t>
    </r>
    <r>
      <rPr>
        <b/>
        <sz val="10"/>
        <color theme="1"/>
        <rFont val="Calibri"/>
        <family val="2"/>
        <scheme val="minor"/>
      </rPr>
      <t>Fraction</t>
    </r>
    <r>
      <rPr>
        <sz val="10"/>
        <color theme="1"/>
        <rFont val="Calibri"/>
        <family val="2"/>
        <scheme val="minor"/>
      </rPr>
      <t xml:space="preserve"> of heavier isotope as percent </t>
    </r>
    <r>
      <rPr>
        <b/>
        <sz val="10"/>
        <color theme="1"/>
        <rFont val="Calibri"/>
        <family val="2"/>
        <scheme val="minor"/>
      </rPr>
      <t>(2H)</t>
    </r>
  </si>
  <si>
    <r>
      <t xml:space="preserve">Atom </t>
    </r>
    <r>
      <rPr>
        <b/>
        <sz val="10"/>
        <color theme="1"/>
        <rFont val="Calibri"/>
        <family val="2"/>
        <scheme val="minor"/>
      </rPr>
      <t>Fraction</t>
    </r>
    <r>
      <rPr>
        <sz val="10"/>
        <color theme="1"/>
        <rFont val="Calibri"/>
        <family val="2"/>
        <scheme val="minor"/>
      </rPr>
      <t xml:space="preserve"> of heavier isotope as ppm </t>
    </r>
    <r>
      <rPr>
        <b/>
        <sz val="10"/>
        <color theme="1"/>
        <rFont val="Calibri"/>
        <family val="2"/>
        <scheme val="minor"/>
      </rPr>
      <t>(2H)</t>
    </r>
  </si>
  <si>
    <t>Delta (13C/12C)</t>
  </si>
  <si>
    <r>
      <t xml:space="preserve">Atom </t>
    </r>
    <r>
      <rPr>
        <b/>
        <sz val="10"/>
        <color theme="1"/>
        <rFont val="Calibri"/>
        <family val="2"/>
        <scheme val="minor"/>
      </rPr>
      <t>Fraction</t>
    </r>
    <r>
      <rPr>
        <sz val="10"/>
        <color theme="1"/>
        <rFont val="Calibri"/>
        <family val="2"/>
        <scheme val="minor"/>
      </rPr>
      <t xml:space="preserve"> of heavier isotope as percent </t>
    </r>
    <r>
      <rPr>
        <b/>
        <sz val="10"/>
        <color theme="1"/>
        <rFont val="Calibri"/>
        <family val="2"/>
        <scheme val="minor"/>
      </rPr>
      <t>(13C)</t>
    </r>
  </si>
  <si>
    <r>
      <t xml:space="preserve">Atom </t>
    </r>
    <r>
      <rPr>
        <b/>
        <sz val="10"/>
        <color theme="1"/>
        <rFont val="Calibri"/>
        <family val="2"/>
        <scheme val="minor"/>
      </rPr>
      <t>Fraction</t>
    </r>
    <r>
      <rPr>
        <sz val="10"/>
        <color theme="1"/>
        <rFont val="Calibri"/>
        <family val="2"/>
        <scheme val="minor"/>
      </rPr>
      <t xml:space="preserve"> of heavier isotope as ppm </t>
    </r>
    <r>
      <rPr>
        <b/>
        <sz val="10"/>
        <color theme="1"/>
        <rFont val="Calibri"/>
        <family val="2"/>
        <scheme val="minor"/>
      </rPr>
      <t>(13C)</t>
    </r>
  </si>
  <si>
    <t>Delta (15N/14N)</t>
  </si>
  <si>
    <r>
      <t xml:space="preserve">Atom </t>
    </r>
    <r>
      <rPr>
        <b/>
        <sz val="10"/>
        <color theme="1"/>
        <rFont val="Calibri"/>
        <family val="2"/>
        <scheme val="minor"/>
      </rPr>
      <t>Fraction</t>
    </r>
    <r>
      <rPr>
        <sz val="10"/>
        <color theme="1"/>
        <rFont val="Calibri"/>
        <family val="2"/>
        <scheme val="minor"/>
      </rPr>
      <t xml:space="preserve"> of heavier isotope as percent </t>
    </r>
    <r>
      <rPr>
        <b/>
        <sz val="10"/>
        <color theme="1"/>
        <rFont val="Calibri"/>
        <family val="2"/>
        <scheme val="minor"/>
      </rPr>
      <t>(15N)</t>
    </r>
  </si>
  <si>
    <r>
      <t xml:space="preserve">Atom </t>
    </r>
    <r>
      <rPr>
        <b/>
        <sz val="10"/>
        <color theme="1"/>
        <rFont val="Calibri"/>
        <family val="2"/>
        <scheme val="minor"/>
      </rPr>
      <t>Fraction</t>
    </r>
    <r>
      <rPr>
        <sz val="10"/>
        <color theme="1"/>
        <rFont val="Calibri"/>
        <family val="2"/>
        <scheme val="minor"/>
      </rPr>
      <t xml:space="preserve"> of heavier isotope as ppm </t>
    </r>
    <r>
      <rPr>
        <b/>
        <sz val="10"/>
        <color theme="1"/>
        <rFont val="Calibri"/>
        <family val="2"/>
        <scheme val="minor"/>
      </rPr>
      <t>(15N)</t>
    </r>
  </si>
  <si>
    <t>Delta (18O/16O)</t>
  </si>
  <si>
    <t>Delta (34S/32S)</t>
  </si>
  <si>
    <r>
      <t xml:space="preserve">Atom </t>
    </r>
    <r>
      <rPr>
        <b/>
        <sz val="10"/>
        <color theme="1"/>
        <rFont val="Calibri"/>
        <family val="2"/>
        <scheme val="minor"/>
      </rPr>
      <t>Fraction</t>
    </r>
    <r>
      <rPr>
        <sz val="10"/>
        <color theme="1"/>
        <rFont val="Calibri"/>
        <family val="2"/>
        <scheme val="minor"/>
      </rPr>
      <t xml:space="preserve"> of heavier isotope as percent </t>
    </r>
    <r>
      <rPr>
        <b/>
        <sz val="10"/>
        <color theme="1"/>
        <rFont val="Calibri"/>
        <family val="2"/>
        <scheme val="minor"/>
      </rPr>
      <t>(34S)</t>
    </r>
  </si>
  <si>
    <r>
      <t xml:space="preserve">Atom </t>
    </r>
    <r>
      <rPr>
        <b/>
        <sz val="10"/>
        <color theme="1"/>
        <rFont val="Calibri"/>
        <family val="2"/>
        <scheme val="minor"/>
      </rPr>
      <t>Fraction</t>
    </r>
    <r>
      <rPr>
        <sz val="10"/>
        <color theme="1"/>
        <rFont val="Calibri"/>
        <family val="2"/>
        <scheme val="minor"/>
      </rPr>
      <t xml:space="preserve"> of heavier isotope as ppm </t>
    </r>
    <r>
      <rPr>
        <b/>
        <sz val="10"/>
        <color theme="1"/>
        <rFont val="Calibri"/>
        <family val="2"/>
        <scheme val="minor"/>
      </rPr>
      <t>(34S)</t>
    </r>
  </si>
  <si>
    <r>
      <t xml:space="preserve">Atom </t>
    </r>
    <r>
      <rPr>
        <b/>
        <sz val="10"/>
        <color theme="1"/>
        <rFont val="Calibri"/>
        <family val="2"/>
        <scheme val="minor"/>
      </rPr>
      <t>Fraction</t>
    </r>
    <r>
      <rPr>
        <sz val="10"/>
        <color theme="1"/>
        <rFont val="Calibri"/>
        <family val="2"/>
        <scheme val="minor"/>
      </rPr>
      <t xml:space="preserve"> of heavier isotope as percent </t>
    </r>
    <r>
      <rPr>
        <b/>
        <sz val="10"/>
        <color theme="1"/>
        <rFont val="Calibri"/>
        <family val="2"/>
        <scheme val="minor"/>
      </rPr>
      <t>(18O)</t>
    </r>
  </si>
  <si>
    <r>
      <t xml:space="preserve">Atom </t>
    </r>
    <r>
      <rPr>
        <b/>
        <sz val="10"/>
        <color theme="1"/>
        <rFont val="Calibri"/>
        <family val="2"/>
        <scheme val="minor"/>
      </rPr>
      <t>Fraction</t>
    </r>
    <r>
      <rPr>
        <sz val="10"/>
        <color theme="1"/>
        <rFont val="Calibri"/>
        <family val="2"/>
        <scheme val="minor"/>
      </rPr>
      <t xml:space="preserve"> of heavier isotope as ppm </t>
    </r>
    <r>
      <rPr>
        <b/>
        <sz val="10"/>
        <color theme="1"/>
        <rFont val="Calibri"/>
        <family val="2"/>
        <scheme val="minor"/>
      </rPr>
      <t>(18O)</t>
    </r>
  </si>
  <si>
    <t>Urey &amp; Murphy, (1931) The relative abundance of N14 and N15. Phys. Rev., 28, 575-576</t>
  </si>
  <si>
    <t>De Bievre et al (1996) Mass-spectrometric methods for determining isotopic composition and molar mass traceable to the SI, exemplified by improved values for nitrogen. Metrologia, 33, 447-456</t>
  </si>
  <si>
    <t>Junk &amp; Svec (1958) The Absolute Abundance of the Nitrogen Isotopes in the Atmosphere and Compressed Gas from Various Sources. Geochim. Cosmochim. Acta. 14, 234-243</t>
  </si>
  <si>
    <t>Soloway (1951) Reference Standard for Mass Spectrometric Analysis of Nitrogen. Anal Chem, 23 (2), 386-386</t>
  </si>
  <si>
    <t>Zhang, Chang &amp; Ding (1989), Analysis of the reference material NBS-123 and the atomic weight of sulfur, Chin. Sci. Bull., 13, 1086-1089</t>
  </si>
  <si>
    <t>rounded from Junk &amp; Svec 1958</t>
  </si>
  <si>
    <t>refers to Chang &amp; Li 1990</t>
  </si>
  <si>
    <t>linear regression using CRMs (LSVEC, USGS41, IAEA-303A, IAEA-303B)</t>
  </si>
  <si>
    <t>consensus using recalculated values based upon Chang &amp; Li 1990, Noorgard, Russe and Valkiers 1999</t>
  </si>
  <si>
    <t>refers to De Bievre 1996</t>
  </si>
  <si>
    <t>XXXX</t>
  </si>
  <si>
    <t>X</t>
  </si>
  <si>
    <t>enter desired user-defined value in column C and D</t>
  </si>
  <si>
    <t>Reference  (not comprehensive list of known Rstd values)</t>
  </si>
  <si>
    <t>EasyIsoCalculator</t>
  </si>
  <si>
    <t>0.00000000  - blank space for user-defined value, add in Tables</t>
  </si>
  <si>
    <t>Craig, Geochim Cosmochim Acta, 1957, 12, 133-149</t>
  </si>
  <si>
    <t>Santrock et al, Anal. Chem. 1985, 57(7), 1444–1448</t>
  </si>
  <si>
    <t>Brand et al, Pure Appl Chem, 2010, 82, 1719-1733</t>
  </si>
  <si>
    <t>Lambda citation</t>
  </si>
  <si>
    <t>Citation</t>
  </si>
  <si>
    <t>Brand et al. (2010)</t>
  </si>
  <si>
    <t>Santrock et al. (1985)</t>
  </si>
  <si>
    <t>Craig (1957)</t>
  </si>
  <si>
    <t>Assonov and Brenninkmeijer 2003</t>
  </si>
  <si>
    <t>Assonov &amp; Brenninkmeijer, Rapid Commun. Mass Spectrom. 2003, 17, 1017-1029</t>
  </si>
  <si>
    <t>Li et al. 1988</t>
  </si>
  <si>
    <t>Absolute ratio citation</t>
  </si>
  <si>
    <t>RECALCULATED uncertainty</t>
  </si>
  <si>
    <t>Absolute Isotope Ratio (18O/16O)</t>
  </si>
  <si>
    <t>Absolute Isotope Ratio (13C/12C)</t>
  </si>
  <si>
    <t>Absolute Isotope Ratio (15N/14N)</t>
  </si>
  <si>
    <t>Absolute Isotope Ratio (34S/32S)</t>
  </si>
  <si>
    <r>
      <t>Absolute isotope ratio for delta zero-point R</t>
    </r>
    <r>
      <rPr>
        <b/>
        <vertAlign val="subscript"/>
        <sz val="10"/>
        <color rgb="FF0070C0"/>
        <rFont val="Calibri"/>
        <family val="2"/>
        <scheme val="minor"/>
      </rPr>
      <t>std</t>
    </r>
    <r>
      <rPr>
        <b/>
        <sz val="10"/>
        <color rgb="FF0070C0"/>
        <rFont val="Calibri"/>
        <family val="2"/>
        <scheme val="minor"/>
      </rPr>
      <t>(</t>
    </r>
    <r>
      <rPr>
        <b/>
        <vertAlign val="superscript"/>
        <sz val="10"/>
        <color rgb="FF0070C0"/>
        <rFont val="Calibri"/>
        <family val="2"/>
        <scheme val="minor"/>
      </rPr>
      <t>17</t>
    </r>
    <r>
      <rPr>
        <b/>
        <sz val="10"/>
        <color rgb="FF0070C0"/>
        <rFont val="Calibri"/>
        <family val="2"/>
        <scheme val="minor"/>
      </rPr>
      <t>O/</t>
    </r>
    <r>
      <rPr>
        <b/>
        <vertAlign val="superscript"/>
        <sz val="10"/>
        <color rgb="FF0070C0"/>
        <rFont val="Calibri"/>
        <family val="2"/>
        <scheme val="minor"/>
      </rPr>
      <t>16</t>
    </r>
    <r>
      <rPr>
        <b/>
        <sz val="10"/>
        <color rgb="FF0070C0"/>
        <rFont val="Calibri"/>
        <family val="2"/>
        <scheme val="minor"/>
      </rPr>
      <t>O)</t>
    </r>
  </si>
  <si>
    <r>
      <t>Absolute isotope ratio for delta zero-point uncertainty R</t>
    </r>
    <r>
      <rPr>
        <b/>
        <vertAlign val="subscript"/>
        <sz val="10"/>
        <color rgb="FF0070C0"/>
        <rFont val="Calibri"/>
        <family val="2"/>
        <scheme val="minor"/>
      </rPr>
      <t>std</t>
    </r>
    <r>
      <rPr>
        <b/>
        <sz val="10"/>
        <color rgb="FF0070C0"/>
        <rFont val="Calibri"/>
        <family val="2"/>
        <scheme val="minor"/>
      </rPr>
      <t>(</t>
    </r>
    <r>
      <rPr>
        <b/>
        <vertAlign val="superscript"/>
        <sz val="10"/>
        <color rgb="FF0070C0"/>
        <rFont val="Calibri"/>
        <family val="2"/>
        <scheme val="minor"/>
      </rPr>
      <t>17</t>
    </r>
    <r>
      <rPr>
        <b/>
        <sz val="10"/>
        <color rgb="FF0070C0"/>
        <rFont val="Calibri"/>
        <family val="2"/>
        <scheme val="minor"/>
      </rPr>
      <t>O/</t>
    </r>
    <r>
      <rPr>
        <b/>
        <vertAlign val="superscript"/>
        <sz val="10"/>
        <color rgb="FF0070C0"/>
        <rFont val="Calibri"/>
        <family val="2"/>
        <scheme val="minor"/>
      </rPr>
      <t>16</t>
    </r>
    <r>
      <rPr>
        <b/>
        <sz val="10"/>
        <color rgb="FF0070C0"/>
        <rFont val="Calibri"/>
        <family val="2"/>
        <scheme val="minor"/>
      </rPr>
      <t>O)</t>
    </r>
  </si>
  <si>
    <r>
      <t xml:space="preserve">Lambda </t>
    </r>
    <r>
      <rPr>
        <b/>
        <sz val="10"/>
        <color rgb="FF0070C0"/>
        <rFont val="Times New Roman"/>
        <family val="1"/>
      </rPr>
      <t>λ</t>
    </r>
    <r>
      <rPr>
        <b/>
        <vertAlign val="subscript"/>
        <sz val="10"/>
        <color rgb="FF0070C0"/>
        <rFont val="Times New Roman"/>
        <family val="1"/>
      </rPr>
      <t>36</t>
    </r>
  </si>
  <si>
    <r>
      <t xml:space="preserve">Select "Lambda </t>
    </r>
    <r>
      <rPr>
        <sz val="10"/>
        <color theme="1"/>
        <rFont val="Times New Roman"/>
        <family val="1"/>
      </rPr>
      <t>λ</t>
    </r>
    <r>
      <rPr>
        <vertAlign val="subscript"/>
        <sz val="10"/>
        <color theme="1"/>
        <rFont val="Times New Roman"/>
        <family val="1"/>
      </rPr>
      <t>17</t>
    </r>
    <r>
      <rPr>
        <sz val="10"/>
        <color theme="1"/>
        <rFont val="Times New Roman"/>
        <family val="1"/>
      </rPr>
      <t>"</t>
    </r>
  </si>
  <si>
    <r>
      <t>R</t>
    </r>
    <r>
      <rPr>
        <vertAlign val="subscript"/>
        <sz val="10"/>
        <rFont val="Arial"/>
        <family val="2"/>
      </rPr>
      <t>std</t>
    </r>
    <r>
      <rPr>
        <sz val="10"/>
        <rFont val="Arial"/>
        <family val="2"/>
      </rPr>
      <t>(34S/32S)</t>
    </r>
  </si>
  <si>
    <r>
      <t>R</t>
    </r>
    <r>
      <rPr>
        <vertAlign val="subscript"/>
        <sz val="10"/>
        <color rgb="FFFF0000"/>
        <rFont val="Arial"/>
        <family val="2"/>
      </rPr>
      <t>std</t>
    </r>
    <r>
      <rPr>
        <sz val="10"/>
        <color rgb="FFFF0000"/>
        <rFont val="Arial"/>
        <family val="2"/>
      </rPr>
      <t>(17O/16O)</t>
    </r>
  </si>
  <si>
    <r>
      <t>R</t>
    </r>
    <r>
      <rPr>
        <vertAlign val="subscript"/>
        <sz val="10"/>
        <color rgb="FFFF0000"/>
        <rFont val="Arial"/>
        <family val="2"/>
      </rPr>
      <t>std</t>
    </r>
    <r>
      <rPr>
        <sz val="10"/>
        <color rgb="FFFF0000"/>
        <rFont val="Arial"/>
        <family val="2"/>
      </rPr>
      <t>(18O/16O)</t>
    </r>
  </si>
  <si>
    <r>
      <t>R</t>
    </r>
    <r>
      <rPr>
        <vertAlign val="subscript"/>
        <sz val="10"/>
        <rFont val="Arial"/>
        <family val="2"/>
      </rPr>
      <t>std</t>
    </r>
    <r>
      <rPr>
        <sz val="10"/>
        <rFont val="Arial"/>
        <family val="2"/>
      </rPr>
      <t>(15N/14N)</t>
    </r>
  </si>
  <si>
    <r>
      <t>R</t>
    </r>
    <r>
      <rPr>
        <vertAlign val="subscript"/>
        <sz val="10"/>
        <rFont val="Arial"/>
        <family val="2"/>
      </rPr>
      <t>std</t>
    </r>
    <r>
      <rPr>
        <sz val="10"/>
        <rFont val="Arial"/>
        <family val="2"/>
      </rPr>
      <t>(13C/12C)</t>
    </r>
  </si>
  <si>
    <r>
      <t>R</t>
    </r>
    <r>
      <rPr>
        <vertAlign val="subscript"/>
        <sz val="10"/>
        <color rgb="FFFF0000"/>
        <rFont val="Arial"/>
        <family val="2"/>
      </rPr>
      <t>std</t>
    </r>
    <r>
      <rPr>
        <sz val="10"/>
        <color rgb="FFFF0000"/>
        <rFont val="Arial"/>
        <family val="2"/>
      </rPr>
      <t>(13C/12C)</t>
    </r>
  </si>
  <si>
    <r>
      <t>R</t>
    </r>
    <r>
      <rPr>
        <vertAlign val="subscript"/>
        <sz val="10"/>
        <rFont val="Arial"/>
        <family val="2"/>
      </rPr>
      <t>std</t>
    </r>
    <r>
      <rPr>
        <sz val="10"/>
        <rFont val="Arial"/>
        <family val="2"/>
      </rPr>
      <t>(2H/1H)</t>
    </r>
  </si>
  <si>
    <r>
      <t>R</t>
    </r>
    <r>
      <rPr>
        <vertAlign val="subscript"/>
        <sz val="10"/>
        <color rgb="FFFF0000"/>
        <rFont val="Arial"/>
        <family val="2"/>
      </rPr>
      <t>std</t>
    </r>
    <r>
      <rPr>
        <sz val="10"/>
        <color rgb="FFFF0000"/>
        <rFont val="Arial"/>
        <family val="2"/>
      </rPr>
      <t>(2H/1H)</t>
    </r>
  </si>
  <si>
    <r>
      <t>R</t>
    </r>
    <r>
      <rPr>
        <vertAlign val="subscript"/>
        <sz val="10"/>
        <rFont val="Arial"/>
        <family val="2"/>
      </rPr>
      <t>std</t>
    </r>
    <r>
      <rPr>
        <sz val="10"/>
        <rFont val="Arial"/>
        <family val="2"/>
      </rPr>
      <t>(33S/32S)</t>
    </r>
  </si>
  <si>
    <r>
      <t>R</t>
    </r>
    <r>
      <rPr>
        <vertAlign val="subscript"/>
        <sz val="10"/>
        <rFont val="Arial"/>
        <family val="2"/>
      </rPr>
      <t>std</t>
    </r>
    <r>
      <rPr>
        <sz val="10"/>
        <rFont val="Arial"/>
        <family val="2"/>
      </rPr>
      <t>(36S/32S)</t>
    </r>
  </si>
  <si>
    <r>
      <t>R</t>
    </r>
    <r>
      <rPr>
        <vertAlign val="subscript"/>
        <sz val="10"/>
        <color rgb="FFFF0000"/>
        <rFont val="Arial"/>
        <family val="2"/>
      </rPr>
      <t>std</t>
    </r>
    <r>
      <rPr>
        <sz val="10"/>
        <color rgb="FFFF0000"/>
        <rFont val="Arial"/>
        <family val="2"/>
      </rPr>
      <t>(36S/32S)</t>
    </r>
  </si>
  <si>
    <r>
      <t>R</t>
    </r>
    <r>
      <rPr>
        <vertAlign val="subscript"/>
        <sz val="10"/>
        <color rgb="FFFF0000"/>
        <rFont val="Arial"/>
        <family val="2"/>
      </rPr>
      <t>std</t>
    </r>
    <r>
      <rPr>
        <sz val="10"/>
        <color rgb="FFFF0000"/>
        <rFont val="Arial"/>
        <family val="2"/>
      </rPr>
      <t>(33S/32S)</t>
    </r>
  </si>
  <si>
    <r>
      <t xml:space="preserve">Select "Lambda </t>
    </r>
    <r>
      <rPr>
        <sz val="10"/>
        <color rgb="FFFF0000"/>
        <rFont val="Times New Roman"/>
        <family val="1"/>
      </rPr>
      <t>λ</t>
    </r>
    <r>
      <rPr>
        <vertAlign val="subscript"/>
        <sz val="10"/>
        <color rgb="FFFF0000"/>
        <rFont val="Times New Roman"/>
        <family val="1"/>
      </rPr>
      <t>33</t>
    </r>
    <r>
      <rPr>
        <sz val="10"/>
        <color rgb="FFFF0000"/>
        <rFont val="Times New Roman"/>
        <family val="1"/>
      </rPr>
      <t>"</t>
    </r>
  </si>
  <si>
    <r>
      <t xml:space="preserve">Select "Lambda </t>
    </r>
    <r>
      <rPr>
        <sz val="10"/>
        <color rgb="FFFF0000"/>
        <rFont val="Times New Roman"/>
        <family val="1"/>
      </rPr>
      <t>λ</t>
    </r>
    <r>
      <rPr>
        <vertAlign val="subscript"/>
        <sz val="10"/>
        <color rgb="FFFF0000"/>
        <rFont val="Times New Roman"/>
        <family val="1"/>
      </rPr>
      <t>36</t>
    </r>
    <r>
      <rPr>
        <sz val="10"/>
        <color rgb="FFFF0000"/>
        <rFont val="Times New Roman"/>
        <family val="1"/>
      </rPr>
      <t>"</t>
    </r>
  </si>
  <si>
    <t>Kaiser J, Röckmann T. Correction of mass spectrometric isotope ratio measurements for isobaric isotopologues of O2, CO, CO2, N2O and SO2. Rapid Communications in Mass Spectrometry. 2008;22(24):3997-4008.</t>
  </si>
  <si>
    <t>Select Rstd</t>
  </si>
  <si>
    <r>
      <t>Absolute isotope ratio R</t>
    </r>
    <r>
      <rPr>
        <vertAlign val="subscript"/>
        <sz val="10"/>
        <color theme="1"/>
        <rFont val="Calibri"/>
        <family val="2"/>
        <scheme val="minor"/>
      </rPr>
      <t>std</t>
    </r>
    <r>
      <rPr>
        <sz val="10"/>
        <color theme="1"/>
        <rFont val="Calibri"/>
        <family val="2"/>
        <scheme val="minor"/>
      </rPr>
      <t xml:space="preserve"> for delta zero-point</t>
    </r>
  </si>
  <si>
    <t>Select "Absolut isotope ratio Rstd for delta zero point"</t>
  </si>
  <si>
    <t xml:space="preserve">Select "Absolute isotope ratio Rstd for delta zero point" </t>
  </si>
  <si>
    <r>
      <t>Select "Absolute isotope ratio R</t>
    </r>
    <r>
      <rPr>
        <vertAlign val="subscript"/>
        <sz val="11"/>
        <rFont val="Calibri"/>
        <family val="2"/>
        <scheme val="minor"/>
      </rPr>
      <t>std</t>
    </r>
    <r>
      <rPr>
        <sz val="11"/>
        <rFont val="Calibri"/>
        <family val="2"/>
        <scheme val="minor"/>
      </rPr>
      <t>(17O/16O) for delta zero-point uncertainty"</t>
    </r>
  </si>
  <si>
    <r>
      <t>Absolute ratio R</t>
    </r>
    <r>
      <rPr>
        <b/>
        <vertAlign val="subscript"/>
        <sz val="10"/>
        <color rgb="FF0070C0"/>
        <rFont val="Calibri"/>
        <family val="2"/>
        <scheme val="minor"/>
      </rPr>
      <t>std</t>
    </r>
    <r>
      <rPr>
        <b/>
        <sz val="10"/>
        <color rgb="FF0070C0"/>
        <rFont val="Calibri"/>
        <family val="2"/>
        <scheme val="minor"/>
      </rPr>
      <t>(</t>
    </r>
    <r>
      <rPr>
        <b/>
        <vertAlign val="superscript"/>
        <sz val="10"/>
        <color rgb="FF0070C0"/>
        <rFont val="Calibri"/>
        <family val="2"/>
        <scheme val="minor"/>
      </rPr>
      <t>17</t>
    </r>
    <r>
      <rPr>
        <b/>
        <sz val="10"/>
        <color rgb="FF0070C0"/>
        <rFont val="Calibri"/>
        <family val="2"/>
        <scheme val="minor"/>
      </rPr>
      <t>O/</t>
    </r>
    <r>
      <rPr>
        <b/>
        <vertAlign val="superscript"/>
        <sz val="10"/>
        <color rgb="FF0070C0"/>
        <rFont val="Calibri"/>
        <family val="2"/>
        <scheme val="minor"/>
      </rPr>
      <t>16</t>
    </r>
    <r>
      <rPr>
        <b/>
        <sz val="10"/>
        <color rgb="FF0070C0"/>
        <rFont val="Calibri"/>
        <family val="2"/>
        <scheme val="minor"/>
      </rPr>
      <t>O) citation</t>
    </r>
  </si>
  <si>
    <r>
      <t>Select "Absolute isotope ratio R</t>
    </r>
    <r>
      <rPr>
        <vertAlign val="subscript"/>
        <sz val="11"/>
        <rFont val="Calibri"/>
        <family val="2"/>
        <scheme val="minor"/>
      </rPr>
      <t>std</t>
    </r>
    <r>
      <rPr>
        <sz val="11"/>
        <rFont val="Calibri"/>
        <family val="2"/>
        <scheme val="minor"/>
      </rPr>
      <t>(17O/16O) for delta zero-point"</t>
    </r>
  </si>
  <si>
    <r>
      <t>Select "Absolute isotope ratio R</t>
    </r>
    <r>
      <rPr>
        <vertAlign val="subscript"/>
        <sz val="11"/>
        <rFont val="Calibri"/>
        <family val="2"/>
        <scheme val="minor"/>
      </rPr>
      <t>std</t>
    </r>
    <r>
      <rPr>
        <sz val="11"/>
        <rFont val="Calibri"/>
        <family val="2"/>
        <scheme val="minor"/>
      </rPr>
      <t>(33S/32S) for delta zero-point"</t>
    </r>
  </si>
  <si>
    <t>Select "Absolute isotope ratio Rstd(36S/32S) for delta zero-point"</t>
  </si>
  <si>
    <t>this spreadsheet is a part of the research paper, please cite as follow:</t>
  </si>
  <si>
    <t>Please contact authors if you have any questions or concerns</t>
  </si>
  <si>
    <t>Kaiser &amp; Röckmann 2008</t>
  </si>
  <si>
    <t>enter desired user-defined value in column B</t>
  </si>
  <si>
    <t>0.00000000  - blank space for user-defined value, add in Constants</t>
  </si>
  <si>
    <t>XXXX-XXXX</t>
  </si>
  <si>
    <t>i</t>
  </si>
  <si>
    <t>Craig 1957</t>
  </si>
  <si>
    <t>c,r</t>
  </si>
  <si>
    <t>Allison 1995</t>
  </si>
  <si>
    <t>from 18R with lambda = 0.5</t>
  </si>
  <si>
    <t>Allison (1995) Recommendations for the reporting of stable isotope measurements of carbon and oxygen in CO2 gas. In Reference and Intercomparison Materials for Stable Isotopes of Light Elements (ed. IAEA). International Atomic Energy Agency, pp. 155–162. (IAEA-TECDOC-825)</t>
  </si>
  <si>
    <t>Werner and Brand 2001</t>
  </si>
  <si>
    <t>using 30.92 permil to convert from VSMOW reported by Li 1988</t>
  </si>
  <si>
    <t>+0.0000017, -0.0000021</t>
  </si>
  <si>
    <t>Kaiser &amp; Rockmann 2008</t>
  </si>
  <si>
    <t>Kaiser &amp; Rockmann (2008) Correction of mass spectrometric isotope ratio measurements for isobaric isotopologues of O2, CO, CO2, N2O and SO2, RCM, 22, 3997-4008</t>
  </si>
  <si>
    <t xml:space="preserve">Valkiers &amp; De Bievre 1993 </t>
  </si>
  <si>
    <t>Valkiers &amp; De Bievre (1993) Near-absolute (isotope) mass spectrometry: isotope abundances (and atomic weight) determinations of nitrogen and oxygen. Third  international Symposium on Separation Technology, pp. 953–957</t>
  </si>
  <si>
    <t>std err</t>
  </si>
  <si>
    <t>Santrock et al 1985</t>
  </si>
  <si>
    <t>Santrock et al (1985) Isotopic analyses based on the mass spectrum of carbon dioxide. Anal. Chem. 57(7), 1444–1448</t>
  </si>
  <si>
    <r>
      <t>R</t>
    </r>
    <r>
      <rPr>
        <vertAlign val="subscript"/>
        <sz val="10"/>
        <rFont val="Arial"/>
        <family val="2"/>
      </rPr>
      <t>std</t>
    </r>
    <r>
      <rPr>
        <sz val="10"/>
        <rFont val="Arial"/>
        <family val="2"/>
      </rPr>
      <t>(17O/16O)VSMOW</t>
    </r>
  </si>
  <si>
    <r>
      <t>R</t>
    </r>
    <r>
      <rPr>
        <vertAlign val="subscript"/>
        <sz val="10"/>
        <rFont val="Arial"/>
        <family val="2"/>
      </rPr>
      <t>std</t>
    </r>
    <r>
      <rPr>
        <sz val="10"/>
        <rFont val="Arial"/>
        <family val="2"/>
      </rPr>
      <t>(18O/16O)VSMOW</t>
    </r>
  </si>
  <si>
    <r>
      <t>R</t>
    </r>
    <r>
      <rPr>
        <vertAlign val="subscript"/>
        <sz val="10"/>
        <rFont val="Arial"/>
        <family val="2"/>
      </rPr>
      <t>std</t>
    </r>
    <r>
      <rPr>
        <sz val="10"/>
        <rFont val="Arial"/>
        <family val="2"/>
      </rPr>
      <t>(18O/16O)VPDB</t>
    </r>
  </si>
  <si>
    <t>from Baertchi 1976  VSMOW and 30.9 for VSMOW-VPDB conversion from Hut 1987</t>
  </si>
  <si>
    <r>
      <t>R</t>
    </r>
    <r>
      <rPr>
        <vertAlign val="subscript"/>
        <sz val="10"/>
        <rFont val="Arial"/>
        <family val="2"/>
      </rPr>
      <t>std</t>
    </r>
    <r>
      <rPr>
        <sz val="10"/>
        <rFont val="Arial"/>
        <family val="2"/>
      </rPr>
      <t>(17O/16O)VPDB</t>
    </r>
  </si>
  <si>
    <t>Scale info</t>
  </si>
  <si>
    <t>Valkiers &amp; De Bievre 1993</t>
  </si>
  <si>
    <t>VPDB or VSMOW</t>
  </si>
  <si>
    <t>Craig H. Isotopic standards for carbon and oxygen and correction factors for mass-spectrometric analysis of carbon dioxide. Geochimica et Cosmochimica Acta. 1957;12(1-2):133-149.</t>
  </si>
  <si>
    <t>Li W, Ni B, Jin D, Zhang TL. Measurement of the abundance of oxyge-17 in V-SMOW. Li et al, Chinese Science Bulletin. 1988;33(19):1610-1613.</t>
  </si>
  <si>
    <t>-</t>
  </si>
  <si>
    <t>Select "Absolute isotope ratio Rstd(17O/16O) for delta zero-point"</t>
  </si>
  <si>
    <r>
      <t>Absolute isotope ratio R</t>
    </r>
    <r>
      <rPr>
        <b/>
        <vertAlign val="subscript"/>
        <sz val="10"/>
        <color rgb="FF7030A0"/>
        <rFont val="Calibri"/>
        <family val="2"/>
        <scheme val="minor"/>
      </rPr>
      <t>std</t>
    </r>
    <r>
      <rPr>
        <b/>
        <sz val="10"/>
        <color rgb="FF7030A0"/>
        <rFont val="Calibri"/>
        <family val="2"/>
        <scheme val="minor"/>
      </rPr>
      <t xml:space="preserve"> for delta zero-point </t>
    </r>
  </si>
  <si>
    <r>
      <t>Absolute isotope ratio R</t>
    </r>
    <r>
      <rPr>
        <b/>
        <vertAlign val="subscript"/>
        <sz val="10"/>
        <color rgb="FF7030A0"/>
        <rFont val="Calibri"/>
        <family val="2"/>
        <scheme val="minor"/>
      </rPr>
      <t>std</t>
    </r>
    <r>
      <rPr>
        <b/>
        <sz val="10"/>
        <color rgb="FF7030A0"/>
        <rFont val="Calibri"/>
        <family val="2"/>
        <scheme val="minor"/>
      </rPr>
      <t xml:space="preserve"> for delta zero-point uncertainty</t>
    </r>
  </si>
  <si>
    <r>
      <t>Absolute ratio R</t>
    </r>
    <r>
      <rPr>
        <b/>
        <vertAlign val="subscript"/>
        <sz val="10"/>
        <color rgb="FF7030A0"/>
        <rFont val="Calibri"/>
        <family val="2"/>
        <scheme val="minor"/>
      </rPr>
      <t>std</t>
    </r>
    <r>
      <rPr>
        <b/>
        <sz val="10"/>
        <color rgb="FF7030A0"/>
        <rFont val="Calibri"/>
        <family val="2"/>
        <scheme val="minor"/>
      </rPr>
      <t xml:space="preserve"> citation </t>
    </r>
  </si>
  <si>
    <r>
      <t>Absolute isotope ratio for delta zero-point R</t>
    </r>
    <r>
      <rPr>
        <b/>
        <vertAlign val="subscript"/>
        <sz val="10"/>
        <color rgb="FF7030A0"/>
        <rFont val="Calibri"/>
        <family val="2"/>
        <scheme val="minor"/>
      </rPr>
      <t>std</t>
    </r>
    <r>
      <rPr>
        <b/>
        <sz val="10"/>
        <color rgb="FF7030A0"/>
        <rFont val="Calibri"/>
        <family val="2"/>
        <scheme val="minor"/>
      </rPr>
      <t>(</t>
    </r>
    <r>
      <rPr>
        <b/>
        <vertAlign val="superscript"/>
        <sz val="10"/>
        <color rgb="FF7030A0"/>
        <rFont val="Calibri"/>
        <family val="2"/>
        <scheme val="minor"/>
      </rPr>
      <t>18</t>
    </r>
    <r>
      <rPr>
        <b/>
        <sz val="10"/>
        <color rgb="FF7030A0"/>
        <rFont val="Calibri"/>
        <family val="2"/>
        <scheme val="minor"/>
      </rPr>
      <t>O/</t>
    </r>
    <r>
      <rPr>
        <b/>
        <vertAlign val="superscript"/>
        <sz val="10"/>
        <color rgb="FF7030A0"/>
        <rFont val="Calibri"/>
        <family val="2"/>
        <scheme val="minor"/>
      </rPr>
      <t>16</t>
    </r>
    <r>
      <rPr>
        <b/>
        <sz val="10"/>
        <color rgb="FF7030A0"/>
        <rFont val="Calibri"/>
        <family val="2"/>
        <scheme val="minor"/>
      </rPr>
      <t>O)</t>
    </r>
  </si>
  <si>
    <r>
      <t>Absolute isotope ratio for delta zero-point uncertainty R</t>
    </r>
    <r>
      <rPr>
        <b/>
        <vertAlign val="subscript"/>
        <sz val="10"/>
        <color rgb="FF7030A0"/>
        <rFont val="Calibri"/>
        <family val="2"/>
        <scheme val="minor"/>
      </rPr>
      <t>std</t>
    </r>
    <r>
      <rPr>
        <b/>
        <sz val="10"/>
        <color rgb="FF7030A0"/>
        <rFont val="Calibri"/>
        <family val="2"/>
        <scheme val="minor"/>
      </rPr>
      <t>(</t>
    </r>
    <r>
      <rPr>
        <b/>
        <vertAlign val="superscript"/>
        <sz val="10"/>
        <color rgb="FF7030A0"/>
        <rFont val="Calibri"/>
        <family val="2"/>
        <scheme val="minor"/>
      </rPr>
      <t>18</t>
    </r>
    <r>
      <rPr>
        <b/>
        <sz val="10"/>
        <color rgb="FF7030A0"/>
        <rFont val="Calibri"/>
        <family val="2"/>
        <scheme val="minor"/>
      </rPr>
      <t>O/</t>
    </r>
    <r>
      <rPr>
        <b/>
        <vertAlign val="superscript"/>
        <sz val="10"/>
        <color rgb="FF7030A0"/>
        <rFont val="Calibri"/>
        <family val="2"/>
        <scheme val="minor"/>
      </rPr>
      <t>16</t>
    </r>
    <r>
      <rPr>
        <b/>
        <sz val="10"/>
        <color rgb="FF7030A0"/>
        <rFont val="Calibri"/>
        <family val="2"/>
        <scheme val="minor"/>
      </rPr>
      <t>O)</t>
    </r>
  </si>
  <si>
    <r>
      <t xml:space="preserve">Lambda </t>
    </r>
    <r>
      <rPr>
        <b/>
        <sz val="10"/>
        <color theme="9" tint="-0.249977111117893"/>
        <rFont val="Times New Roman"/>
        <family val="1"/>
      </rPr>
      <t>λ</t>
    </r>
    <r>
      <rPr>
        <b/>
        <vertAlign val="subscript"/>
        <sz val="10"/>
        <color theme="9" tint="-0.249977111117893"/>
        <rFont val="Times New Roman"/>
        <family val="1"/>
      </rPr>
      <t>17</t>
    </r>
  </si>
  <si>
    <r>
      <t>Absolute isotope ratio for delta zero-point R</t>
    </r>
    <r>
      <rPr>
        <b/>
        <vertAlign val="subscript"/>
        <sz val="10"/>
        <color rgb="FF7030A0"/>
        <rFont val="Calibri"/>
        <family val="2"/>
        <scheme val="minor"/>
      </rPr>
      <t>std</t>
    </r>
    <r>
      <rPr>
        <b/>
        <sz val="10"/>
        <color rgb="FF7030A0"/>
        <rFont val="Calibri"/>
        <family val="2"/>
        <scheme val="minor"/>
      </rPr>
      <t>(</t>
    </r>
    <r>
      <rPr>
        <b/>
        <vertAlign val="superscript"/>
        <sz val="10"/>
        <color rgb="FF7030A0"/>
        <rFont val="Calibri"/>
        <family val="2"/>
        <scheme val="minor"/>
      </rPr>
      <t>34</t>
    </r>
    <r>
      <rPr>
        <b/>
        <sz val="10"/>
        <color rgb="FF7030A0"/>
        <rFont val="Calibri"/>
        <family val="2"/>
        <scheme val="minor"/>
      </rPr>
      <t>S/</t>
    </r>
    <r>
      <rPr>
        <b/>
        <vertAlign val="superscript"/>
        <sz val="10"/>
        <color rgb="FF7030A0"/>
        <rFont val="Calibri"/>
        <family val="2"/>
        <scheme val="minor"/>
      </rPr>
      <t>32</t>
    </r>
    <r>
      <rPr>
        <b/>
        <sz val="10"/>
        <color rgb="FF7030A0"/>
        <rFont val="Calibri"/>
        <family val="2"/>
        <scheme val="minor"/>
      </rPr>
      <t>S)</t>
    </r>
  </si>
  <si>
    <r>
      <t>Absolute isotope ratio for delta zero-point uncertainty R</t>
    </r>
    <r>
      <rPr>
        <b/>
        <vertAlign val="subscript"/>
        <sz val="10"/>
        <color rgb="FF7030A0"/>
        <rFont val="Calibri"/>
        <family val="2"/>
        <scheme val="minor"/>
      </rPr>
      <t>std</t>
    </r>
    <r>
      <rPr>
        <b/>
        <sz val="10"/>
        <color rgb="FF7030A0"/>
        <rFont val="Calibri"/>
        <family val="2"/>
        <scheme val="minor"/>
      </rPr>
      <t>(</t>
    </r>
    <r>
      <rPr>
        <b/>
        <vertAlign val="superscript"/>
        <sz val="10"/>
        <color rgb="FF7030A0"/>
        <rFont val="Calibri"/>
        <family val="2"/>
        <scheme val="minor"/>
      </rPr>
      <t>34</t>
    </r>
    <r>
      <rPr>
        <b/>
        <sz val="10"/>
        <color rgb="FF7030A0"/>
        <rFont val="Calibri"/>
        <family val="2"/>
        <scheme val="minor"/>
      </rPr>
      <t>S/</t>
    </r>
    <r>
      <rPr>
        <b/>
        <vertAlign val="superscript"/>
        <sz val="10"/>
        <color rgb="FF7030A0"/>
        <rFont val="Calibri"/>
        <family val="2"/>
        <scheme val="minor"/>
      </rPr>
      <t>32</t>
    </r>
    <r>
      <rPr>
        <b/>
        <sz val="10"/>
        <color rgb="FF7030A0"/>
        <rFont val="Calibri"/>
        <family val="2"/>
        <scheme val="minor"/>
      </rPr>
      <t>S)</t>
    </r>
  </si>
  <si>
    <r>
      <t>Absolute isotope ratio for delta zero-point R</t>
    </r>
    <r>
      <rPr>
        <b/>
        <vertAlign val="subscript"/>
        <sz val="10"/>
        <color theme="9" tint="-0.249977111117893"/>
        <rFont val="Calibri"/>
        <family val="2"/>
        <scheme val="minor"/>
      </rPr>
      <t>std</t>
    </r>
    <r>
      <rPr>
        <b/>
        <sz val="10"/>
        <color theme="9" tint="-0.249977111117893"/>
        <rFont val="Calibri"/>
        <family val="2"/>
        <scheme val="minor"/>
      </rPr>
      <t>(</t>
    </r>
    <r>
      <rPr>
        <b/>
        <vertAlign val="superscript"/>
        <sz val="10"/>
        <color theme="9" tint="-0.249977111117893"/>
        <rFont val="Calibri"/>
        <family val="2"/>
        <scheme val="minor"/>
      </rPr>
      <t>33</t>
    </r>
    <r>
      <rPr>
        <b/>
        <sz val="10"/>
        <color theme="9" tint="-0.249977111117893"/>
        <rFont val="Calibri"/>
        <family val="2"/>
        <scheme val="minor"/>
      </rPr>
      <t>S/</t>
    </r>
    <r>
      <rPr>
        <b/>
        <vertAlign val="superscript"/>
        <sz val="10"/>
        <color theme="9" tint="-0.249977111117893"/>
        <rFont val="Calibri"/>
        <family val="2"/>
        <scheme val="minor"/>
      </rPr>
      <t>32</t>
    </r>
    <r>
      <rPr>
        <b/>
        <sz val="10"/>
        <color theme="9" tint="-0.249977111117893"/>
        <rFont val="Calibri"/>
        <family val="2"/>
        <scheme val="minor"/>
      </rPr>
      <t>S)</t>
    </r>
  </si>
  <si>
    <r>
      <t>Absolute isotope ratio for delta zero-point uncertainty R</t>
    </r>
    <r>
      <rPr>
        <b/>
        <vertAlign val="subscript"/>
        <sz val="10"/>
        <color theme="9" tint="-0.249977111117893"/>
        <rFont val="Calibri"/>
        <family val="2"/>
        <scheme val="minor"/>
      </rPr>
      <t>std</t>
    </r>
    <r>
      <rPr>
        <b/>
        <sz val="10"/>
        <color theme="9" tint="-0.249977111117893"/>
        <rFont val="Calibri"/>
        <family val="2"/>
        <scheme val="minor"/>
      </rPr>
      <t>(</t>
    </r>
    <r>
      <rPr>
        <b/>
        <vertAlign val="superscript"/>
        <sz val="10"/>
        <color theme="9" tint="-0.249977111117893"/>
        <rFont val="Calibri"/>
        <family val="2"/>
        <scheme val="minor"/>
      </rPr>
      <t>33</t>
    </r>
    <r>
      <rPr>
        <b/>
        <sz val="10"/>
        <color theme="9" tint="-0.249977111117893"/>
        <rFont val="Calibri"/>
        <family val="2"/>
        <scheme val="minor"/>
      </rPr>
      <t>S/</t>
    </r>
    <r>
      <rPr>
        <b/>
        <vertAlign val="superscript"/>
        <sz val="10"/>
        <color theme="9" tint="-0.249977111117893"/>
        <rFont val="Calibri"/>
        <family val="2"/>
        <scheme val="minor"/>
      </rPr>
      <t>32</t>
    </r>
    <r>
      <rPr>
        <b/>
        <sz val="10"/>
        <color theme="9" tint="-0.249977111117893"/>
        <rFont val="Calibri"/>
        <family val="2"/>
        <scheme val="minor"/>
      </rPr>
      <t>S)</t>
    </r>
  </si>
  <si>
    <r>
      <t>Absolute isotope ratio for delta zero-point R</t>
    </r>
    <r>
      <rPr>
        <b/>
        <vertAlign val="subscript"/>
        <sz val="10"/>
        <color theme="8" tint="-0.499984740745262"/>
        <rFont val="Calibri"/>
        <family val="2"/>
        <scheme val="minor"/>
      </rPr>
      <t>std</t>
    </r>
    <r>
      <rPr>
        <b/>
        <sz val="10"/>
        <color theme="8" tint="-0.499984740745262"/>
        <rFont val="Calibri"/>
        <family val="2"/>
        <scheme val="minor"/>
      </rPr>
      <t>(</t>
    </r>
    <r>
      <rPr>
        <b/>
        <vertAlign val="superscript"/>
        <sz val="10"/>
        <color theme="8" tint="-0.499984740745262"/>
        <rFont val="Calibri"/>
        <family val="2"/>
        <scheme val="minor"/>
      </rPr>
      <t>36</t>
    </r>
    <r>
      <rPr>
        <b/>
        <sz val="10"/>
        <color theme="8" tint="-0.499984740745262"/>
        <rFont val="Calibri"/>
        <family val="2"/>
        <scheme val="minor"/>
      </rPr>
      <t>S/</t>
    </r>
    <r>
      <rPr>
        <b/>
        <vertAlign val="superscript"/>
        <sz val="10"/>
        <color theme="8" tint="-0.499984740745262"/>
        <rFont val="Calibri"/>
        <family val="2"/>
        <scheme val="minor"/>
      </rPr>
      <t>32</t>
    </r>
    <r>
      <rPr>
        <b/>
        <sz val="10"/>
        <color theme="8" tint="-0.499984740745262"/>
        <rFont val="Calibri"/>
        <family val="2"/>
        <scheme val="minor"/>
      </rPr>
      <t>S)</t>
    </r>
  </si>
  <si>
    <r>
      <t>Absolute isotope ratio for delta zero-point uncertainty R</t>
    </r>
    <r>
      <rPr>
        <b/>
        <vertAlign val="subscript"/>
        <sz val="10"/>
        <color theme="8" tint="-0.499984740745262"/>
        <rFont val="Calibri"/>
        <family val="2"/>
        <scheme val="minor"/>
      </rPr>
      <t>std</t>
    </r>
    <r>
      <rPr>
        <b/>
        <sz val="10"/>
        <color theme="8" tint="-0.499984740745262"/>
        <rFont val="Calibri"/>
        <family val="2"/>
        <scheme val="minor"/>
      </rPr>
      <t>(</t>
    </r>
    <r>
      <rPr>
        <b/>
        <vertAlign val="superscript"/>
        <sz val="10"/>
        <color theme="8" tint="-0.499984740745262"/>
        <rFont val="Calibri"/>
        <family val="2"/>
        <scheme val="minor"/>
      </rPr>
      <t>36</t>
    </r>
    <r>
      <rPr>
        <b/>
        <sz val="10"/>
        <color theme="8" tint="-0.499984740745262"/>
        <rFont val="Calibri"/>
        <family val="2"/>
        <scheme val="minor"/>
      </rPr>
      <t>S/</t>
    </r>
    <r>
      <rPr>
        <b/>
        <vertAlign val="superscript"/>
        <sz val="10"/>
        <color theme="8" tint="-0.499984740745262"/>
        <rFont val="Calibri"/>
        <family val="2"/>
        <scheme val="minor"/>
      </rPr>
      <t>32</t>
    </r>
    <r>
      <rPr>
        <b/>
        <sz val="10"/>
        <color theme="8" tint="-0.499984740745262"/>
        <rFont val="Calibri"/>
        <family val="2"/>
        <scheme val="minor"/>
      </rPr>
      <t>S)</t>
    </r>
  </si>
  <si>
    <r>
      <t xml:space="preserve">Lambda </t>
    </r>
    <r>
      <rPr>
        <b/>
        <sz val="10"/>
        <color rgb="FF00B050"/>
        <rFont val="Times New Roman"/>
        <family val="1"/>
      </rPr>
      <t>λ</t>
    </r>
    <r>
      <rPr>
        <b/>
        <vertAlign val="subscript"/>
        <sz val="10"/>
        <color rgb="FF00B050"/>
        <rFont val="Times New Roman"/>
        <family val="1"/>
      </rPr>
      <t>33</t>
    </r>
  </si>
  <si>
    <r>
      <t xml:space="preserve">Note that the applied </t>
    </r>
    <r>
      <rPr>
        <b/>
        <vertAlign val="superscript"/>
        <sz val="16"/>
        <rFont val="Calibri"/>
        <family val="2"/>
        <scheme val="minor"/>
      </rPr>
      <t>33</t>
    </r>
    <r>
      <rPr>
        <b/>
        <sz val="16"/>
        <rFont val="Calibri"/>
        <family val="2"/>
        <scheme val="minor"/>
      </rPr>
      <t xml:space="preserve">S and </t>
    </r>
    <r>
      <rPr>
        <b/>
        <vertAlign val="superscript"/>
        <sz val="16"/>
        <rFont val="Calibri"/>
        <family val="2"/>
        <scheme val="minor"/>
      </rPr>
      <t>36</t>
    </r>
    <r>
      <rPr>
        <b/>
        <sz val="16"/>
        <rFont val="Calibri"/>
        <family val="2"/>
        <scheme val="minor"/>
      </rPr>
      <t>S corrections are valid if the samples stable sulphur  isotope composition was formed during mass dependent fractionation processes</t>
    </r>
  </si>
  <si>
    <r>
      <t xml:space="preserve">Note that the applied </t>
    </r>
    <r>
      <rPr>
        <b/>
        <vertAlign val="superscript"/>
        <sz val="16"/>
        <rFont val="Calibri"/>
        <family val="2"/>
        <scheme val="minor"/>
      </rPr>
      <t>17</t>
    </r>
    <r>
      <rPr>
        <b/>
        <sz val="16"/>
        <rFont val="Calibri"/>
        <family val="2"/>
        <scheme val="minor"/>
      </rPr>
      <t>O correction is valid if the samples stable oxygen isotope composition was formed during mass dependent fractionation processes</t>
    </r>
  </si>
  <si>
    <r>
      <t>Select "Absolute isotope ratio R</t>
    </r>
    <r>
      <rPr>
        <b/>
        <vertAlign val="subscript"/>
        <sz val="11"/>
        <rFont val="Calibri"/>
        <family val="2"/>
        <scheme val="minor"/>
      </rPr>
      <t>std</t>
    </r>
    <r>
      <rPr>
        <b/>
        <sz val="11"/>
        <rFont val="Calibri"/>
        <family val="2"/>
        <scheme val="minor"/>
      </rPr>
      <t>(17O/16O) for delta zero-point"</t>
    </r>
  </si>
  <si>
    <r>
      <t>Select "Absolute isotope ratio R</t>
    </r>
    <r>
      <rPr>
        <b/>
        <vertAlign val="subscript"/>
        <sz val="11"/>
        <rFont val="Calibri"/>
        <family val="2"/>
        <scheme val="minor"/>
      </rPr>
      <t>std</t>
    </r>
    <r>
      <rPr>
        <b/>
        <sz val="11"/>
        <rFont val="Calibri"/>
        <family val="2"/>
        <scheme val="minor"/>
      </rPr>
      <t>(33S/32S) for delta zero-point"</t>
    </r>
  </si>
  <si>
    <t>Data entering instruction</t>
  </si>
  <si>
    <r>
      <t xml:space="preserve">The calculation procedure can be conducted following a few easy steps, selecting desired input and output expression, absolute values for the zero point of the isotope scale and pasting user data set for recalculation. The user can also extend the absolute ratio data base or add customise values.  
1. Open the EasyIsoCalculator.xlsx spreadsheet using Microsoft Excel 2010 (or higher) and select the sheet for the desired element (e.g. H, C, N). Note that in each sheet the dropdown selection menus for different conversions are in yellow. The selection will automatically populate cells in blue, whereas cells which require values to be typed in or copied and pasted are in orange. 
2. Select from the dropdown menu (yellow cell D3) the stable isotope expression for the required conversion. Note that blue cells D4 and D5, along with cells C12, D12, E12 and F12, will automatically be populated with respect to the conversion chosen in cell D3.
3. Select from the dropdown menu (yellow cell D6) the absolute ratio for the zero-point for the selected element (Rstd). The cell reporting uncertainty in determination of the absolute ratio will be populated accordingly in cell D7 (if known) and the source literature will be displayed in cell D8. For oxygen and sulphur is also require to select absolute values and lambda (λ) values for mass depended fractionation for minor isotopes.
4. Add information in D9 regarding the uncertainty of your analyses with respect to the instrument and analytical technique used.
5. Type (or copy and paste) your data to be converted into column C (yellow cells from C13 to C52), up to 50 results at a time. The recalculated values will automatically be displayed in the respective lines in columns D, E and F.
6. The uncertainty in the recalculated results will be displayed in columns K, L and M, corresponding to the expressions displayed in D, E and F, respectively.
For systems with more than two stable isotopes knowledge about the minor isotopes (e.g. </t>
    </r>
    <r>
      <rPr>
        <vertAlign val="superscript"/>
        <sz val="12"/>
        <color theme="1"/>
        <rFont val="Calibri"/>
        <family val="2"/>
        <scheme val="minor"/>
      </rPr>
      <t>17</t>
    </r>
    <r>
      <rPr>
        <sz val="12"/>
        <color theme="1"/>
        <rFont val="Calibri"/>
        <family val="2"/>
        <scheme val="minor"/>
      </rPr>
      <t xml:space="preserve">O for oxygen or </t>
    </r>
    <r>
      <rPr>
        <vertAlign val="superscript"/>
        <sz val="12"/>
        <color theme="1"/>
        <rFont val="Calibri"/>
        <family val="2"/>
        <scheme val="minor"/>
      </rPr>
      <t>33</t>
    </r>
    <r>
      <rPr>
        <sz val="12"/>
        <color theme="1"/>
        <rFont val="Calibri"/>
        <family val="2"/>
        <scheme val="minor"/>
      </rPr>
      <t xml:space="preserve">S, </t>
    </r>
    <r>
      <rPr>
        <vertAlign val="superscript"/>
        <sz val="12"/>
        <color theme="1"/>
        <rFont val="Calibri"/>
        <family val="2"/>
        <scheme val="minor"/>
      </rPr>
      <t>36</t>
    </r>
    <r>
      <rPr>
        <sz val="12"/>
        <color theme="1"/>
        <rFont val="Calibri"/>
        <family val="2"/>
        <scheme val="minor"/>
      </rPr>
      <t>S for sulphur) is required for a certain types of recalculation. By definition, the isotope ratio contains information about two isotopes only (e.g. R(</t>
    </r>
    <r>
      <rPr>
        <vertAlign val="superscript"/>
        <sz val="12"/>
        <color theme="1"/>
        <rFont val="Calibri"/>
        <family val="2"/>
        <scheme val="minor"/>
      </rPr>
      <t>18</t>
    </r>
    <r>
      <rPr>
        <sz val="12"/>
        <color theme="1"/>
        <rFont val="Calibri"/>
        <family val="2"/>
        <scheme val="minor"/>
      </rPr>
      <t>O/</t>
    </r>
    <r>
      <rPr>
        <vertAlign val="superscript"/>
        <sz val="12"/>
        <color theme="1"/>
        <rFont val="Calibri"/>
        <family val="2"/>
        <scheme val="minor"/>
      </rPr>
      <t>16</t>
    </r>
    <r>
      <rPr>
        <sz val="12"/>
        <color theme="1"/>
        <rFont val="Calibri"/>
        <family val="2"/>
        <scheme val="minor"/>
      </rPr>
      <t xml:space="preserve">O)) and therefore a direct accurate recalculation from ratio (R) to fraction (x) without information about </t>
    </r>
    <r>
      <rPr>
        <vertAlign val="superscript"/>
        <sz val="12"/>
        <color theme="1"/>
        <rFont val="Calibri"/>
        <family val="2"/>
        <scheme val="minor"/>
      </rPr>
      <t>17</t>
    </r>
    <r>
      <rPr>
        <sz val="12"/>
        <color theme="1"/>
        <rFont val="Calibri"/>
        <family val="2"/>
        <scheme val="minor"/>
      </rPr>
      <t>O/</t>
    </r>
    <r>
      <rPr>
        <vertAlign val="superscript"/>
        <sz val="12"/>
        <color theme="1"/>
        <rFont val="Calibri"/>
        <family val="2"/>
        <scheme val="minor"/>
      </rPr>
      <t>16</t>
    </r>
    <r>
      <rPr>
        <sz val="12"/>
        <color theme="1"/>
        <rFont val="Calibri"/>
        <family val="2"/>
        <scheme val="minor"/>
      </rPr>
      <t xml:space="preserve">O is not possible. Isotope delta is calculated from the ratio, therefore, direct accurate recalculation from delta to fraction also is not possible (Table 2). EasyIsoCalculator allows recalculation from ratio and delta to atom fraction using assumptions about the mass-dependent fractionation and known lambda values (Eq 14) (e.g. spreadsheet “Oxygen+17O(correction)”). All other conversions do not require knowledge about minor isotopes: ratio ↔ delta (only major isotopes are required), fraction → ratio and fraction → delta (we assume that true fractions that account for minor isotopes are used). A similar approach has been adopted for stable sulphur isotope composition including </t>
    </r>
    <r>
      <rPr>
        <vertAlign val="superscript"/>
        <sz val="12"/>
        <color theme="1"/>
        <rFont val="Calibri"/>
        <family val="2"/>
        <scheme val="minor"/>
      </rPr>
      <t>33</t>
    </r>
    <r>
      <rPr>
        <sz val="12"/>
        <color theme="1"/>
        <rFont val="Calibri"/>
        <family val="2"/>
        <scheme val="minor"/>
      </rPr>
      <t xml:space="preserve">S and </t>
    </r>
    <r>
      <rPr>
        <vertAlign val="superscript"/>
        <sz val="12"/>
        <color theme="1"/>
        <rFont val="Calibri"/>
        <family val="2"/>
        <scheme val="minor"/>
      </rPr>
      <t>36</t>
    </r>
    <r>
      <rPr>
        <sz val="12"/>
        <color theme="1"/>
        <rFont val="Calibri"/>
        <family val="2"/>
        <scheme val="minor"/>
      </rPr>
      <t xml:space="preserve">S corrections (“Sulphur+33S&amp;36S(correction)” see Eq 15 and 16). 
</t>
    </r>
  </si>
  <si>
    <t>EasyIsoCalculator ver 1.1</t>
  </si>
  <si>
    <t>for updates check the web page: easyisocalculator.gskrzypek.com</t>
  </si>
  <si>
    <r>
      <rPr>
        <i/>
        <sz val="10"/>
        <color theme="1"/>
        <rFont val="Calibri"/>
        <family val="2"/>
        <scheme val="minor"/>
      </rPr>
      <t>x</t>
    </r>
    <r>
      <rPr>
        <sz val="10"/>
        <color theme="1"/>
        <rFont val="Calibri"/>
        <family val="2"/>
        <scheme val="minor"/>
      </rPr>
      <t>(</t>
    </r>
    <r>
      <rPr>
        <vertAlign val="superscript"/>
        <sz val="10"/>
        <color theme="1"/>
        <rFont val="Calibri"/>
        <family val="2"/>
        <scheme val="minor"/>
      </rPr>
      <t>2</t>
    </r>
    <r>
      <rPr>
        <sz val="10"/>
        <color theme="1"/>
        <rFont val="Calibri"/>
        <family val="2"/>
        <scheme val="minor"/>
      </rPr>
      <t>H</t>
    </r>
    <r>
      <rPr>
        <sz val="10"/>
        <color theme="1"/>
        <rFont val="Calibri"/>
        <family val="2"/>
        <scheme val="minor"/>
      </rPr>
      <t>)</t>
    </r>
  </si>
  <si>
    <r>
      <rPr>
        <i/>
        <sz val="10"/>
        <color theme="1"/>
        <rFont val="Calibri"/>
        <family val="2"/>
        <scheme val="minor"/>
      </rPr>
      <t>x</t>
    </r>
    <r>
      <rPr>
        <sz val="10"/>
        <color theme="1"/>
        <rFont val="Calibri"/>
        <family val="2"/>
        <scheme val="minor"/>
      </rPr>
      <t>(</t>
    </r>
    <r>
      <rPr>
        <vertAlign val="superscript"/>
        <sz val="10"/>
        <color theme="1"/>
        <rFont val="Calibri"/>
        <family val="2"/>
        <scheme val="minor"/>
      </rPr>
      <t>13</t>
    </r>
    <r>
      <rPr>
        <sz val="10"/>
        <color theme="1"/>
        <rFont val="Calibri"/>
        <family val="2"/>
        <scheme val="minor"/>
      </rPr>
      <t>C</t>
    </r>
    <r>
      <rPr>
        <sz val="10"/>
        <color theme="1"/>
        <rFont val="Calibri"/>
        <family val="2"/>
        <scheme val="minor"/>
      </rPr>
      <t>)</t>
    </r>
  </si>
  <si>
    <r>
      <rPr>
        <i/>
        <sz val="10"/>
        <color theme="1"/>
        <rFont val="Calibri"/>
        <family val="2"/>
        <scheme val="minor"/>
      </rPr>
      <t>x</t>
    </r>
    <r>
      <rPr>
        <sz val="10"/>
        <color theme="1"/>
        <rFont val="Calibri"/>
        <family val="2"/>
        <scheme val="minor"/>
      </rPr>
      <t>(</t>
    </r>
    <r>
      <rPr>
        <vertAlign val="superscript"/>
        <sz val="10"/>
        <color theme="1"/>
        <rFont val="Calibri"/>
        <family val="2"/>
        <scheme val="minor"/>
      </rPr>
      <t>15</t>
    </r>
    <r>
      <rPr>
        <sz val="10"/>
        <color theme="1"/>
        <rFont val="Calibri"/>
        <family val="2"/>
        <scheme val="minor"/>
      </rPr>
      <t>N</t>
    </r>
    <r>
      <rPr>
        <sz val="10"/>
        <color theme="1"/>
        <rFont val="Calibri"/>
        <family val="2"/>
        <scheme val="minor"/>
      </rPr>
      <t>)</t>
    </r>
  </si>
  <si>
    <r>
      <rPr>
        <i/>
        <sz val="10"/>
        <color theme="1"/>
        <rFont val="Calibri"/>
        <family val="2"/>
        <scheme val="minor"/>
      </rPr>
      <t>x</t>
    </r>
    <r>
      <rPr>
        <sz val="10"/>
        <color theme="1"/>
        <rFont val="Calibri"/>
        <family val="2"/>
        <scheme val="minor"/>
      </rPr>
      <t>(</t>
    </r>
    <r>
      <rPr>
        <vertAlign val="superscript"/>
        <sz val="10"/>
        <color theme="1"/>
        <rFont val="Calibri"/>
        <family val="2"/>
        <scheme val="minor"/>
      </rPr>
      <t>18</t>
    </r>
    <r>
      <rPr>
        <sz val="10"/>
        <color theme="1"/>
        <rFont val="Calibri"/>
        <family val="2"/>
        <scheme val="minor"/>
      </rPr>
      <t>O</t>
    </r>
    <r>
      <rPr>
        <sz val="10"/>
        <color theme="1"/>
        <rFont val="Calibri"/>
        <family val="2"/>
        <scheme val="minor"/>
      </rPr>
      <t>)</t>
    </r>
  </si>
  <si>
    <r>
      <rPr>
        <i/>
        <sz val="10"/>
        <color theme="1"/>
        <rFont val="Calibri"/>
        <family val="2"/>
        <scheme val="minor"/>
      </rPr>
      <t>x</t>
    </r>
    <r>
      <rPr>
        <sz val="10"/>
        <color theme="1"/>
        <rFont val="Calibri"/>
        <family val="2"/>
        <scheme val="minor"/>
      </rPr>
      <t>(</t>
    </r>
    <r>
      <rPr>
        <vertAlign val="superscript"/>
        <sz val="10"/>
        <color theme="1"/>
        <rFont val="Calibri"/>
        <family val="2"/>
        <scheme val="minor"/>
      </rPr>
      <t>34</t>
    </r>
    <r>
      <rPr>
        <sz val="10"/>
        <color theme="1"/>
        <rFont val="Calibri"/>
        <family val="2"/>
        <scheme val="minor"/>
      </rPr>
      <t>S</t>
    </r>
    <r>
      <rPr>
        <sz val="10"/>
        <color theme="1"/>
        <rFont val="Calibri"/>
        <family val="2"/>
        <scheme val="minor"/>
      </rPr>
      <t>)</t>
    </r>
  </si>
  <si>
    <r>
      <rPr>
        <b/>
        <vertAlign val="superscript"/>
        <sz val="22"/>
        <color theme="1"/>
        <rFont val="Calibri"/>
        <family val="2"/>
        <scheme val="minor"/>
      </rPr>
      <t>34</t>
    </r>
    <r>
      <rPr>
        <b/>
        <sz val="22"/>
        <color theme="1"/>
        <rFont val="Calibri"/>
        <family val="2"/>
        <scheme val="minor"/>
      </rPr>
      <t xml:space="preserve">S and </t>
    </r>
    <r>
      <rPr>
        <b/>
        <vertAlign val="superscript"/>
        <sz val="22"/>
        <color theme="1"/>
        <rFont val="Calibri"/>
        <family val="2"/>
        <scheme val="minor"/>
      </rPr>
      <t>32</t>
    </r>
    <r>
      <rPr>
        <b/>
        <sz val="22"/>
        <color theme="1"/>
        <rFont val="Calibri"/>
        <family val="2"/>
        <scheme val="minor"/>
      </rPr>
      <t xml:space="preserve">S (with </t>
    </r>
    <r>
      <rPr>
        <b/>
        <vertAlign val="superscript"/>
        <sz val="22"/>
        <color theme="1"/>
        <rFont val="Calibri"/>
        <family val="2"/>
        <scheme val="minor"/>
      </rPr>
      <t>33</t>
    </r>
    <r>
      <rPr>
        <b/>
        <sz val="22"/>
        <color theme="1"/>
        <rFont val="Calibri"/>
        <family val="2"/>
        <scheme val="minor"/>
      </rPr>
      <t xml:space="preserve">S and </t>
    </r>
    <r>
      <rPr>
        <b/>
        <vertAlign val="superscript"/>
        <sz val="22"/>
        <color theme="1"/>
        <rFont val="Calibri"/>
        <family val="2"/>
        <scheme val="minor"/>
      </rPr>
      <t>36</t>
    </r>
    <r>
      <rPr>
        <b/>
        <sz val="22"/>
        <color theme="1"/>
        <rFont val="Calibri"/>
        <family val="2"/>
        <scheme val="minor"/>
      </rPr>
      <t>S corrections)</t>
    </r>
  </si>
  <si>
    <r>
      <rPr>
        <b/>
        <vertAlign val="superscript"/>
        <sz val="22"/>
        <color theme="1"/>
        <rFont val="Calibri"/>
        <family val="2"/>
        <scheme val="minor"/>
      </rPr>
      <t>18</t>
    </r>
    <r>
      <rPr>
        <b/>
        <sz val="22"/>
        <color theme="1"/>
        <rFont val="Calibri"/>
        <family val="2"/>
        <scheme val="minor"/>
      </rPr>
      <t xml:space="preserve">O and </t>
    </r>
    <r>
      <rPr>
        <b/>
        <vertAlign val="superscript"/>
        <sz val="22"/>
        <color theme="1"/>
        <rFont val="Calibri"/>
        <family val="2"/>
        <scheme val="minor"/>
      </rPr>
      <t>16</t>
    </r>
    <r>
      <rPr>
        <b/>
        <sz val="22"/>
        <color theme="1"/>
        <rFont val="Calibri"/>
        <family val="2"/>
        <scheme val="minor"/>
      </rPr>
      <t xml:space="preserve">O (with </t>
    </r>
    <r>
      <rPr>
        <b/>
        <vertAlign val="superscript"/>
        <sz val="22"/>
        <color theme="1"/>
        <rFont val="Calibri"/>
        <family val="2"/>
        <scheme val="minor"/>
      </rPr>
      <t>17</t>
    </r>
    <r>
      <rPr>
        <b/>
        <sz val="22"/>
        <color theme="1"/>
        <rFont val="Calibri"/>
        <family val="2"/>
        <scheme val="minor"/>
      </rPr>
      <t>O correction)</t>
    </r>
  </si>
  <si>
    <r>
      <rPr>
        <sz val="28"/>
        <color theme="1"/>
        <rFont val="Calibri"/>
        <family val="2"/>
        <scheme val="minor"/>
      </rPr>
      <t xml:space="preserve">The recalculation of stable isotope expressions for HCNOS - EasyIsoCalculator  </t>
    </r>
    <r>
      <rPr>
        <sz val="20"/>
        <color theme="1"/>
        <rFont val="Calibri"/>
        <family val="2"/>
        <scheme val="minor"/>
      </rPr>
      <t xml:space="preserve">
Grzegorz Skrzypek</t>
    </r>
    <r>
      <rPr>
        <vertAlign val="superscript"/>
        <sz val="20"/>
        <color theme="1"/>
        <rFont val="Calibri"/>
        <family val="2"/>
        <scheme val="minor"/>
      </rPr>
      <t>1</t>
    </r>
    <r>
      <rPr>
        <sz val="20"/>
        <color theme="1"/>
        <rFont val="Calibri"/>
        <family val="2"/>
        <scheme val="minor"/>
      </rPr>
      <t>, Philip J. H. Dunn</t>
    </r>
    <r>
      <rPr>
        <vertAlign val="superscript"/>
        <sz val="20"/>
        <color theme="1"/>
        <rFont val="Calibri"/>
        <family val="2"/>
        <scheme val="minor"/>
      </rPr>
      <t>2</t>
    </r>
    <r>
      <rPr>
        <sz val="20"/>
        <color theme="1"/>
        <rFont val="Calibri"/>
        <family val="2"/>
        <scheme val="minor"/>
      </rPr>
      <t xml:space="preserve"> 
1. West Australian Biogeochemistry Centre, The University of Western Australia, 
Perth 6009, Western Australia, Australia, grzegorz.skrzypek@uwa.edu.au
2. National Measurement Laboratory, LGC, Teddington, 
Middlesex TW11 0LY, UK, philip.dunn@lgcgroup.com
</t>
    </r>
  </si>
  <si>
    <t>Select "Lambda λ17"</t>
  </si>
  <si>
    <t>listed as VPDB-CO2</t>
  </si>
  <si>
    <r>
      <t>using 30.92</t>
    </r>
    <r>
      <rPr>
        <sz val="11"/>
        <rFont val="Calibri"/>
        <family val="2"/>
      </rPr>
      <t>‰</t>
    </r>
    <r>
      <rPr>
        <sz val="11"/>
        <rFont val="Calibri"/>
        <family val="2"/>
        <scheme val="minor"/>
      </rPr>
      <t xml:space="preserve"> to convert from VSMOW</t>
    </r>
  </si>
  <si>
    <t>7 July 2020</t>
  </si>
  <si>
    <t xml:space="preserve">Delta (13C/12C)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</si>
</sst>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00000"/>
    <numFmt numFmtId="165" formatCode="0.0000000000"/>
    <numFmt numFmtId="166" formatCode="0.00000000000"/>
    <numFmt numFmtId="167" formatCode="0.0000000000000"/>
    <numFmt numFmtId="168" formatCode="0.000"/>
    <numFmt numFmtId="169" formatCode="0.000000000000"/>
    <numFmt numFmtId="170" formatCode="0.0000000"/>
    <numFmt numFmtId="171" formatCode="0.0"/>
    <numFmt numFmtId="172" formatCode="0.00000000000000"/>
  </numFmts>
  <fonts count="82" x14ac:knownFonts="1">
    <font>
      <sz val="11"/>
      <color theme="1"/>
      <name val="Calibri"/>
      <family val="2"/>
      <scheme val="minor"/>
    </font>
    <font>
      <sz val="12"/>
      <color theme="1"/>
      <name val="Calibri"/>
      <family val="2"/>
      <scheme val="minor"/>
    </font>
    <font>
      <sz val="20"/>
      <color theme="1"/>
      <name val="Calibri"/>
      <family val="2"/>
      <scheme val="minor"/>
    </font>
    <font>
      <i/>
      <sz val="11"/>
      <color theme="1"/>
      <name val="Symbol"/>
      <family val="1"/>
      <charset val="2"/>
    </font>
    <font>
      <i/>
      <sz val="11"/>
      <color theme="1"/>
      <name val="Calibri"/>
      <family val="2"/>
      <scheme val="minor"/>
    </font>
    <font>
      <b/>
      <sz val="22"/>
      <color theme="1"/>
      <name val="Calibri"/>
      <family val="2"/>
      <scheme val="minor"/>
    </font>
    <font>
      <b/>
      <vertAlign val="superscript"/>
      <sz val="22"/>
      <color theme="1"/>
      <name val="Calibri"/>
      <family val="2"/>
      <scheme val="minor"/>
    </font>
    <font>
      <b/>
      <sz val="10"/>
      <color theme="1"/>
      <name val="Calibri"/>
      <family val="2"/>
      <scheme val="minor"/>
    </font>
    <font>
      <sz val="10"/>
      <name val="Calibri"/>
      <family val="2"/>
      <scheme val="minor"/>
    </font>
    <font>
      <sz val="10"/>
      <color theme="1"/>
      <name val="Calibri"/>
      <family val="2"/>
      <scheme val="minor"/>
    </font>
    <font>
      <sz val="10"/>
      <color theme="1"/>
      <name val="Symbol"/>
      <family val="1"/>
      <charset val="2"/>
    </font>
    <font>
      <i/>
      <sz val="10"/>
      <color theme="1"/>
      <name val="Symbol"/>
      <family val="1"/>
      <charset val="2"/>
    </font>
    <font>
      <vertAlign val="subscript"/>
      <sz val="10"/>
      <color theme="1"/>
      <name val="Symbol"/>
      <family val="1"/>
      <charset val="2"/>
    </font>
    <font>
      <sz val="10"/>
      <color theme="1"/>
      <name val="Arial"/>
      <family val="2"/>
    </font>
    <font>
      <vertAlign val="superscript"/>
      <sz val="10"/>
      <color theme="1"/>
      <name val="Arial"/>
      <family val="2"/>
    </font>
    <font>
      <i/>
      <sz val="10"/>
      <color theme="1"/>
      <name val="Arial"/>
      <family val="2"/>
    </font>
    <font>
      <i/>
      <vertAlign val="subscript"/>
      <sz val="10"/>
      <color theme="1"/>
      <name val="Arial"/>
      <family val="2"/>
    </font>
    <font>
      <i/>
      <sz val="10"/>
      <color theme="1"/>
      <name val="Calibri"/>
      <family val="2"/>
      <scheme val="minor"/>
    </font>
    <font>
      <vertAlign val="superscript"/>
      <sz val="10"/>
      <color theme="1"/>
      <name val="Calibri"/>
      <family val="2"/>
      <scheme val="minor"/>
    </font>
    <font>
      <b/>
      <sz val="10"/>
      <color theme="1"/>
      <name val="Calibri"/>
      <family val="2"/>
    </font>
    <font>
      <sz val="11"/>
      <color rgb="FFFF0000"/>
      <name val="Calibri"/>
      <family val="2"/>
      <scheme val="minor"/>
    </font>
    <font>
      <sz val="10"/>
      <color theme="0" tint="-0.499984740745262"/>
      <name val="Calibri"/>
      <family val="2"/>
      <scheme val="minor"/>
    </font>
    <font>
      <sz val="10"/>
      <color theme="0" tint="-0.499984740745262"/>
      <name val="Calibri"/>
      <family val="2"/>
    </font>
    <font>
      <sz val="11"/>
      <color theme="0" tint="-0.499984740745262"/>
      <name val="Calibri"/>
      <family val="2"/>
      <scheme val="minor"/>
    </font>
    <font>
      <b/>
      <sz val="10"/>
      <name val="Calibri"/>
      <family val="2"/>
      <scheme val="minor"/>
    </font>
    <font>
      <b/>
      <sz val="11"/>
      <name val="Calibri"/>
      <family val="2"/>
      <scheme val="minor"/>
    </font>
    <font>
      <sz val="11"/>
      <name val="Calibri"/>
      <family val="2"/>
      <scheme val="minor"/>
    </font>
    <font>
      <sz val="10"/>
      <name val="Arial"/>
      <family val="2"/>
    </font>
    <font>
      <sz val="10"/>
      <color rgb="FFFF0000"/>
      <name val="Arial"/>
      <family val="2"/>
    </font>
    <font>
      <b/>
      <sz val="11"/>
      <color rgb="FFFF0000"/>
      <name val="Calibri"/>
      <family val="2"/>
      <scheme val="minor"/>
    </font>
    <font>
      <sz val="16"/>
      <color theme="1"/>
      <name val="Calibri"/>
      <family val="2"/>
      <scheme val="minor"/>
    </font>
    <font>
      <sz val="48"/>
      <color theme="1"/>
      <name val="Calibri"/>
      <family val="2"/>
      <scheme val="minor"/>
    </font>
    <font>
      <sz val="10"/>
      <color theme="1"/>
      <name val="Times New Roman"/>
      <family val="1"/>
    </font>
    <font>
      <b/>
      <sz val="10"/>
      <color rgb="FF0070C0"/>
      <name val="Calibri"/>
      <family val="2"/>
      <scheme val="minor"/>
    </font>
    <font>
      <sz val="10"/>
      <color rgb="FF0070C0"/>
      <name val="Calibri"/>
      <family val="2"/>
      <scheme val="minor"/>
    </font>
    <font>
      <b/>
      <sz val="10"/>
      <color rgb="FF0070C0"/>
      <name val="Times New Roman"/>
      <family val="1"/>
    </font>
    <font>
      <sz val="10"/>
      <color rgb="FFFF0000"/>
      <name val="Calibri"/>
      <family val="2"/>
      <scheme val="minor"/>
    </font>
    <font>
      <vertAlign val="superscript"/>
      <sz val="20"/>
      <color theme="1"/>
      <name val="Calibri"/>
      <family val="2"/>
      <scheme val="minor"/>
    </font>
    <font>
      <b/>
      <vertAlign val="subscript"/>
      <sz val="10"/>
      <color rgb="FF0070C0"/>
      <name val="Times New Roman"/>
      <family val="1"/>
    </font>
    <font>
      <b/>
      <vertAlign val="subscript"/>
      <sz val="10"/>
      <color rgb="FF0070C0"/>
      <name val="Calibri"/>
      <family val="2"/>
      <scheme val="minor"/>
    </font>
    <font>
      <b/>
      <vertAlign val="superscript"/>
      <sz val="10"/>
      <color rgb="FF0070C0"/>
      <name val="Calibri"/>
      <family val="2"/>
      <scheme val="minor"/>
    </font>
    <font>
      <vertAlign val="subscript"/>
      <sz val="10"/>
      <color theme="1"/>
      <name val="Times New Roman"/>
      <family val="1"/>
    </font>
    <font>
      <vertAlign val="subscript"/>
      <sz val="10"/>
      <name val="Arial"/>
      <family val="2"/>
    </font>
    <font>
      <vertAlign val="subscript"/>
      <sz val="10"/>
      <color rgb="FFFF0000"/>
      <name val="Arial"/>
      <family val="2"/>
    </font>
    <font>
      <vertAlign val="subscript"/>
      <sz val="11"/>
      <name val="Calibri"/>
      <family val="2"/>
      <scheme val="minor"/>
    </font>
    <font>
      <sz val="10"/>
      <color rgb="FFFF0000"/>
      <name val="Times New Roman"/>
      <family val="1"/>
    </font>
    <font>
      <vertAlign val="subscript"/>
      <sz val="10"/>
      <color rgb="FFFF0000"/>
      <name val="Times New Roman"/>
      <family val="1"/>
    </font>
    <font>
      <vertAlign val="subscript"/>
      <sz val="10"/>
      <color theme="1"/>
      <name val="Calibri"/>
      <family val="2"/>
      <scheme val="minor"/>
    </font>
    <font>
      <sz val="11"/>
      <color theme="1"/>
      <name val="Calibri"/>
      <family val="1"/>
      <charset val="2"/>
      <scheme val="minor"/>
    </font>
    <font>
      <b/>
      <sz val="28"/>
      <color theme="1"/>
      <name val="Calibri"/>
      <family val="2"/>
      <scheme val="minor"/>
    </font>
    <font>
      <b/>
      <sz val="14"/>
      <color rgb="FFFF0000"/>
      <name val="Calibri"/>
      <family val="2"/>
      <scheme val="minor"/>
    </font>
    <font>
      <b/>
      <sz val="11"/>
      <color theme="9" tint="-0.249977111117893"/>
      <name val="Calibri"/>
      <family val="2"/>
      <scheme val="minor"/>
    </font>
    <font>
      <b/>
      <sz val="16"/>
      <color rgb="FFFF0000"/>
      <name val="Calibri"/>
      <family val="2"/>
      <scheme val="minor"/>
    </font>
    <font>
      <b/>
      <sz val="12"/>
      <color theme="5" tint="-0.249977111117893"/>
      <name val="Calibri"/>
      <family val="2"/>
      <scheme val="minor"/>
    </font>
    <font>
      <b/>
      <sz val="10"/>
      <color theme="5" tint="-0.249977111117893"/>
      <name val="Calibri"/>
      <family val="2"/>
      <scheme val="minor"/>
    </font>
    <font>
      <sz val="10"/>
      <color theme="5" tint="-0.249977111117893"/>
      <name val="Calibri"/>
      <family val="2"/>
      <scheme val="minor"/>
    </font>
    <font>
      <b/>
      <sz val="10"/>
      <color rgb="FF7030A0"/>
      <name val="Calibri"/>
      <family val="2"/>
      <scheme val="minor"/>
    </font>
    <font>
      <b/>
      <vertAlign val="subscript"/>
      <sz val="10"/>
      <color rgb="FF7030A0"/>
      <name val="Calibri"/>
      <family val="2"/>
      <scheme val="minor"/>
    </font>
    <font>
      <sz val="10"/>
      <color rgb="FF7030A0"/>
      <name val="Calibri"/>
      <family val="2"/>
      <scheme val="minor"/>
    </font>
    <font>
      <b/>
      <sz val="10"/>
      <color rgb="FF00B050"/>
      <name val="Calibri"/>
      <family val="2"/>
      <scheme val="minor"/>
    </font>
    <font>
      <sz val="10"/>
      <color rgb="FF00B050"/>
      <name val="Calibri"/>
      <family val="2"/>
      <scheme val="minor"/>
    </font>
    <font>
      <b/>
      <vertAlign val="superscript"/>
      <sz val="10"/>
      <color rgb="FF7030A0"/>
      <name val="Calibri"/>
      <family val="2"/>
      <scheme val="minor"/>
    </font>
    <font>
      <b/>
      <sz val="10"/>
      <color theme="9" tint="-0.249977111117893"/>
      <name val="Calibri"/>
      <family val="2"/>
      <scheme val="minor"/>
    </font>
    <font>
      <b/>
      <sz val="10"/>
      <color theme="9" tint="-0.249977111117893"/>
      <name val="Times New Roman"/>
      <family val="1"/>
    </font>
    <font>
      <b/>
      <vertAlign val="subscript"/>
      <sz val="10"/>
      <color theme="9" tint="-0.249977111117893"/>
      <name val="Times New Roman"/>
      <family val="1"/>
    </font>
    <font>
      <sz val="10"/>
      <color theme="9" tint="-0.249977111117893"/>
      <name val="Calibri"/>
      <family val="2"/>
      <scheme val="minor"/>
    </font>
    <font>
      <b/>
      <sz val="10"/>
      <color theme="8" tint="-0.499984740745262"/>
      <name val="Calibri"/>
      <family val="2"/>
      <scheme val="minor"/>
    </font>
    <font>
      <b/>
      <vertAlign val="subscript"/>
      <sz val="10"/>
      <color theme="8" tint="-0.499984740745262"/>
      <name val="Calibri"/>
      <family val="2"/>
      <scheme val="minor"/>
    </font>
    <font>
      <b/>
      <vertAlign val="superscript"/>
      <sz val="10"/>
      <color theme="8" tint="-0.499984740745262"/>
      <name val="Calibri"/>
      <family val="2"/>
      <scheme val="minor"/>
    </font>
    <font>
      <sz val="10"/>
      <color theme="8" tint="-0.499984740745262"/>
      <name val="Calibri"/>
      <family val="2"/>
      <scheme val="minor"/>
    </font>
    <font>
      <b/>
      <vertAlign val="subscript"/>
      <sz val="10"/>
      <color theme="9" tint="-0.249977111117893"/>
      <name val="Calibri"/>
      <family val="2"/>
      <scheme val="minor"/>
    </font>
    <font>
      <b/>
      <vertAlign val="superscript"/>
      <sz val="10"/>
      <color theme="9" tint="-0.249977111117893"/>
      <name val="Calibri"/>
      <family val="2"/>
      <scheme val="minor"/>
    </font>
    <font>
      <b/>
      <sz val="10"/>
      <color rgb="FF00B050"/>
      <name val="Times New Roman"/>
      <family val="1"/>
    </font>
    <font>
      <b/>
      <vertAlign val="subscript"/>
      <sz val="10"/>
      <color rgb="FF00B050"/>
      <name val="Times New Roman"/>
      <family val="1"/>
    </font>
    <font>
      <b/>
      <sz val="16"/>
      <name val="Calibri"/>
      <family val="2"/>
      <scheme val="minor"/>
    </font>
    <font>
      <b/>
      <vertAlign val="superscript"/>
      <sz val="16"/>
      <name val="Calibri"/>
      <family val="2"/>
      <scheme val="minor"/>
    </font>
    <font>
      <b/>
      <vertAlign val="subscript"/>
      <sz val="11"/>
      <name val="Calibri"/>
      <family val="2"/>
      <scheme val="minor"/>
    </font>
    <font>
      <sz val="12"/>
      <color theme="1"/>
      <name val="Calibri"/>
      <family val="2"/>
      <scheme val="minor"/>
    </font>
    <font>
      <vertAlign val="superscript"/>
      <sz val="12"/>
      <color theme="1"/>
      <name val="Calibri"/>
      <family val="2"/>
      <scheme val="minor"/>
    </font>
    <font>
      <sz val="28"/>
      <color theme="1"/>
      <name val="Calibri"/>
      <family val="2"/>
      <scheme val="minor"/>
    </font>
    <font>
      <sz val="11"/>
      <name val="Calibri"/>
      <family val="2"/>
    </font>
    <font>
      <sz val="22"/>
      <color theme="1"/>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FC000"/>
        <bgColor indexed="64"/>
      </patternFill>
    </fill>
    <fill>
      <patternFill patternType="lightUp">
        <bgColor theme="0"/>
      </patternFill>
    </fill>
    <fill>
      <patternFill patternType="solid">
        <fgColor theme="7"/>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0" tint="-0.14999847407452621"/>
        <bgColor indexed="64"/>
      </patternFill>
    </fill>
    <fill>
      <patternFill patternType="lightUp"/>
    </fill>
    <fill>
      <patternFill patternType="solid">
        <fgColor theme="2" tint="-9.9978637043366805E-2"/>
        <bgColor indexed="64"/>
      </patternFill>
    </fill>
    <fill>
      <patternFill patternType="gray0625">
        <bgColor theme="0"/>
      </patternFill>
    </fill>
    <fill>
      <patternFill patternType="solid">
        <fgColor indexed="65"/>
        <bgColor indexed="64"/>
      </patternFill>
    </fill>
    <fill>
      <patternFill patternType="solid">
        <fgColor theme="4" tint="0.59996337778862885"/>
        <bgColor indexed="64"/>
      </patternFill>
    </fill>
    <fill>
      <patternFill patternType="solid">
        <fgColor theme="4" tint="0.59999389629810485"/>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style="double">
        <color indexed="64"/>
      </top>
      <bottom style="thin">
        <color indexed="64"/>
      </bottom>
      <diagonal/>
    </border>
    <border>
      <left style="thin">
        <color indexed="64"/>
      </left>
      <right/>
      <top/>
      <bottom style="double">
        <color indexed="64"/>
      </bottom>
      <diagonal/>
    </border>
    <border>
      <left style="thin">
        <color indexed="64"/>
      </left>
      <right/>
      <top style="double">
        <color indexed="64"/>
      </top>
      <bottom style="medium">
        <color indexed="64"/>
      </bottom>
      <diagonal/>
    </border>
    <border>
      <left style="thin">
        <color indexed="64"/>
      </left>
      <right/>
      <top style="medium">
        <color indexed="64"/>
      </top>
      <bottom style="double">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style="double">
        <color indexed="64"/>
      </bottom>
      <diagonal/>
    </border>
  </borders>
  <cellStyleXfs count="1">
    <xf numFmtId="0" fontId="0" fillId="0" borderId="0"/>
  </cellStyleXfs>
  <cellXfs count="365">
    <xf numFmtId="0" fontId="0" fillId="0" borderId="0" xfId="0"/>
    <xf numFmtId="0" fontId="7" fillId="3" borderId="5" xfId="0" applyFont="1" applyFill="1" applyBorder="1" applyAlignment="1">
      <alignment vertical="center"/>
    </xf>
    <xf numFmtId="0" fontId="9" fillId="4" borderId="0" xfId="0" applyFont="1" applyFill="1" applyAlignment="1">
      <alignment vertical="center"/>
    </xf>
    <xf numFmtId="0" fontId="13" fillId="3" borderId="1" xfId="0" applyFont="1" applyFill="1" applyBorder="1" applyAlignment="1">
      <alignment horizontal="center" vertical="center"/>
    </xf>
    <xf numFmtId="0" fontId="10" fillId="3" borderId="11"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18" xfId="0" applyFont="1" applyFill="1" applyBorder="1" applyAlignment="1">
      <alignment horizontal="center" vertical="center"/>
    </xf>
    <xf numFmtId="0" fontId="7" fillId="3" borderId="17" xfId="0" applyFont="1" applyFill="1" applyBorder="1" applyAlignment="1">
      <alignment horizontal="center" vertical="center"/>
    </xf>
    <xf numFmtId="0" fontId="7" fillId="3" borderId="26" xfId="0" applyFont="1" applyFill="1" applyBorder="1" applyAlignment="1">
      <alignment horizontal="center" vertical="center"/>
    </xf>
    <xf numFmtId="0" fontId="19" fillId="3" borderId="27" xfId="0" applyFont="1" applyFill="1" applyBorder="1" applyAlignment="1">
      <alignment horizontal="center" vertical="center"/>
    </xf>
    <xf numFmtId="0" fontId="9" fillId="7" borderId="0" xfId="0" applyFont="1" applyFill="1" applyAlignment="1">
      <alignment vertical="center"/>
    </xf>
    <xf numFmtId="0" fontId="9" fillId="7" borderId="30" xfId="0" applyFont="1" applyFill="1" applyBorder="1" applyAlignment="1">
      <alignment vertical="center"/>
    </xf>
    <xf numFmtId="0" fontId="9" fillId="7" borderId="16" xfId="0" applyFont="1" applyFill="1" applyBorder="1" applyAlignment="1">
      <alignment vertical="center"/>
    </xf>
    <xf numFmtId="0" fontId="9" fillId="7" borderId="28" xfId="0" applyFont="1" applyFill="1" applyBorder="1" applyAlignment="1">
      <alignment vertical="center"/>
    </xf>
    <xf numFmtId="0" fontId="9" fillId="7" borderId="29" xfId="0" applyFont="1" applyFill="1" applyBorder="1" applyAlignment="1">
      <alignment vertical="center"/>
    </xf>
    <xf numFmtId="0" fontId="9" fillId="7" borderId="5" xfId="0" applyFont="1" applyFill="1" applyBorder="1" applyAlignment="1">
      <alignment vertical="center"/>
    </xf>
    <xf numFmtId="0" fontId="9" fillId="7" borderId="7" xfId="0" applyFont="1" applyFill="1" applyBorder="1" applyAlignment="1">
      <alignment vertical="center"/>
    </xf>
    <xf numFmtId="0" fontId="9" fillId="3" borderId="42" xfId="0" applyFont="1" applyFill="1" applyBorder="1" applyAlignment="1">
      <alignment horizontal="center" vertical="center"/>
    </xf>
    <xf numFmtId="0" fontId="9" fillId="3" borderId="7" xfId="0" applyFont="1" applyFill="1" applyBorder="1" applyAlignment="1">
      <alignment horizontal="center" vertical="center"/>
    </xf>
    <xf numFmtId="0" fontId="10" fillId="3"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24" xfId="0" applyFont="1" applyFill="1" applyBorder="1" applyAlignment="1">
      <alignment horizontal="center" vertical="center"/>
    </xf>
    <xf numFmtId="0" fontId="10" fillId="3" borderId="8" xfId="0" applyFont="1" applyFill="1" applyBorder="1" applyAlignment="1">
      <alignment horizontal="center" vertical="center"/>
    </xf>
    <xf numFmtId="0" fontId="9" fillId="3" borderId="29" xfId="0" applyFont="1" applyFill="1" applyBorder="1" applyAlignment="1">
      <alignment horizontal="center" vertical="center"/>
    </xf>
    <xf numFmtId="0" fontId="7" fillId="3" borderId="31" xfId="0" applyFont="1" applyFill="1" applyBorder="1" applyAlignment="1">
      <alignment horizontal="center" vertical="center"/>
    </xf>
    <xf numFmtId="0" fontId="7" fillId="3" borderId="44" xfId="0" applyFont="1" applyFill="1" applyBorder="1" applyAlignment="1">
      <alignment horizontal="center" vertical="center"/>
    </xf>
    <xf numFmtId="0" fontId="21" fillId="2" borderId="32" xfId="0" applyFont="1" applyFill="1" applyBorder="1" applyAlignment="1">
      <alignment horizontal="right" vertical="center"/>
    </xf>
    <xf numFmtId="0" fontId="21" fillId="3" borderId="32" xfId="0" applyFont="1" applyFill="1" applyBorder="1" applyAlignment="1">
      <alignment horizontal="right" vertical="center"/>
    </xf>
    <xf numFmtId="0" fontId="21" fillId="6" borderId="32" xfId="0" applyFont="1" applyFill="1" applyBorder="1" applyAlignment="1">
      <alignment horizontal="right" vertical="center"/>
    </xf>
    <xf numFmtId="0" fontId="21" fillId="6" borderId="38" xfId="0" applyFont="1" applyFill="1" applyBorder="1" applyAlignment="1">
      <alignment horizontal="right" vertical="center"/>
    </xf>
    <xf numFmtId="0" fontId="21" fillId="6" borderId="39" xfId="0" applyFont="1" applyFill="1" applyBorder="1" applyAlignment="1">
      <alignment horizontal="right" vertical="center"/>
    </xf>
    <xf numFmtId="0" fontId="21" fillId="6" borderId="22" xfId="0" applyFont="1" applyFill="1" applyBorder="1" applyAlignment="1">
      <alignment horizontal="right" vertical="center"/>
    </xf>
    <xf numFmtId="0" fontId="21" fillId="6" borderId="23" xfId="0" applyFont="1" applyFill="1" applyBorder="1" applyAlignment="1">
      <alignment horizontal="right" vertical="center"/>
    </xf>
    <xf numFmtId="0" fontId="24" fillId="3" borderId="26" xfId="0" applyFont="1" applyFill="1" applyBorder="1" applyAlignment="1">
      <alignment horizontal="center" vertical="center"/>
    </xf>
    <xf numFmtId="0" fontId="21" fillId="3" borderId="28" xfId="0" applyFont="1" applyFill="1" applyBorder="1" applyAlignment="1">
      <alignment horizontal="right" vertical="center"/>
    </xf>
    <xf numFmtId="0" fontId="9" fillId="3" borderId="41" xfId="0" applyFont="1" applyFill="1" applyBorder="1" applyAlignment="1">
      <alignment horizontal="center" vertical="center"/>
    </xf>
    <xf numFmtId="0" fontId="9" fillId="3" borderId="29" xfId="0" quotePrefix="1" applyFont="1" applyFill="1" applyBorder="1" applyAlignment="1">
      <alignment horizontal="center" vertical="center"/>
    </xf>
    <xf numFmtId="0" fontId="20" fillId="5" borderId="1" xfId="0" applyFont="1" applyFill="1" applyBorder="1" applyAlignment="1">
      <alignment horizontal="left" vertical="center"/>
    </xf>
    <xf numFmtId="0" fontId="9" fillId="0" borderId="0" xfId="0" applyFont="1" applyAlignment="1">
      <alignment horizontal="left"/>
    </xf>
    <xf numFmtId="0" fontId="9" fillId="0" borderId="0" xfId="0" applyFont="1"/>
    <xf numFmtId="0" fontId="9" fillId="0" borderId="0" xfId="0" applyFont="1" applyAlignment="1">
      <alignment horizontal="left" vertical="center"/>
    </xf>
    <xf numFmtId="0" fontId="9" fillId="7" borderId="40" xfId="0" applyFont="1" applyFill="1" applyBorder="1" applyAlignment="1">
      <alignment vertical="center"/>
    </xf>
    <xf numFmtId="0" fontId="7" fillId="3" borderId="22" xfId="0" applyFont="1" applyFill="1" applyBorder="1" applyAlignment="1">
      <alignment horizontal="center" vertical="center"/>
    </xf>
    <xf numFmtId="0" fontId="7" fillId="3" borderId="1" xfId="0" applyFont="1" applyFill="1" applyBorder="1" applyAlignment="1">
      <alignment horizontal="center" vertical="center"/>
    </xf>
    <xf numFmtId="0" fontId="0" fillId="7" borderId="0" xfId="0" applyFill="1" applyAlignment="1">
      <alignment vertical="center"/>
    </xf>
    <xf numFmtId="0" fontId="0" fillId="7" borderId="0" xfId="0" applyFill="1" applyAlignment="1">
      <alignment horizontal="right" vertical="center"/>
    </xf>
    <xf numFmtId="0" fontId="0" fillId="4" borderId="0" xfId="0" applyFill="1" applyAlignment="1">
      <alignment vertical="center"/>
    </xf>
    <xf numFmtId="0" fontId="2" fillId="7" borderId="0" xfId="0" applyFont="1" applyFill="1" applyAlignment="1">
      <alignment vertical="center"/>
    </xf>
    <xf numFmtId="0" fontId="2" fillId="4" borderId="0" xfId="0" applyFont="1" applyFill="1" applyAlignment="1">
      <alignment vertical="center"/>
    </xf>
    <xf numFmtId="164" fontId="9" fillId="6" borderId="27" xfId="0" applyNumberFormat="1" applyFont="1" applyFill="1" applyBorder="1" applyAlignment="1">
      <alignment horizontal="center" vertical="center"/>
    </xf>
    <xf numFmtId="164" fontId="9" fillId="5" borderId="22" xfId="0" applyNumberFormat="1" applyFont="1" applyFill="1" applyBorder="1" applyAlignment="1">
      <alignment horizontal="center" vertical="center"/>
    </xf>
    <xf numFmtId="164" fontId="9" fillId="5" borderId="1" xfId="0" applyNumberFormat="1" applyFont="1" applyFill="1" applyBorder="1" applyAlignment="1">
      <alignment horizontal="center" vertical="center"/>
    </xf>
    <xf numFmtId="164" fontId="9" fillId="5" borderId="17" xfId="0" applyNumberFormat="1" applyFont="1" applyFill="1" applyBorder="1" applyAlignment="1">
      <alignment horizontal="center" vertical="center"/>
    </xf>
    <xf numFmtId="165" fontId="9" fillId="5" borderId="22" xfId="0" applyNumberFormat="1" applyFont="1" applyFill="1" applyBorder="1" applyAlignment="1">
      <alignment horizontal="center" vertical="center"/>
    </xf>
    <xf numFmtId="165" fontId="9" fillId="5" borderId="1" xfId="0" applyNumberFormat="1" applyFont="1" applyFill="1" applyBorder="1" applyAlignment="1">
      <alignment horizontal="center" vertical="center"/>
    </xf>
    <xf numFmtId="164" fontId="9" fillId="6" borderId="33" xfId="0" applyNumberFormat="1" applyFont="1" applyFill="1" applyBorder="1" applyAlignment="1">
      <alignment horizontal="center" vertical="center"/>
    </xf>
    <xf numFmtId="164" fontId="9" fillId="5" borderId="23" xfId="0" applyNumberFormat="1" applyFont="1" applyFill="1" applyBorder="1" applyAlignment="1">
      <alignment horizontal="center" vertical="center"/>
    </xf>
    <xf numFmtId="164" fontId="9" fillId="5" borderId="24" xfId="0" applyNumberFormat="1" applyFont="1" applyFill="1" applyBorder="1" applyAlignment="1">
      <alignment horizontal="center" vertical="center"/>
    </xf>
    <xf numFmtId="164" fontId="9" fillId="5" borderId="25" xfId="0" applyNumberFormat="1" applyFont="1" applyFill="1" applyBorder="1" applyAlignment="1">
      <alignment horizontal="center" vertical="center"/>
    </xf>
    <xf numFmtId="0" fontId="0" fillId="7" borderId="7" xfId="0" applyFill="1" applyBorder="1" applyAlignment="1">
      <alignment vertical="center"/>
    </xf>
    <xf numFmtId="165" fontId="9" fillId="5" borderId="23" xfId="0" applyNumberFormat="1" applyFont="1" applyFill="1" applyBorder="1" applyAlignment="1">
      <alignment horizontal="center" vertical="center"/>
    </xf>
    <xf numFmtId="165" fontId="9" fillId="5" borderId="24" xfId="0" applyNumberFormat="1" applyFont="1" applyFill="1" applyBorder="1" applyAlignment="1">
      <alignment horizontal="center" vertical="center"/>
    </xf>
    <xf numFmtId="0" fontId="23" fillId="7" borderId="0" xfId="0" applyFont="1" applyFill="1" applyAlignment="1">
      <alignment horizontal="right" vertical="center"/>
    </xf>
    <xf numFmtId="0" fontId="9" fillId="7" borderId="6" xfId="0" applyFont="1" applyFill="1" applyBorder="1" applyAlignment="1">
      <alignment vertical="center"/>
    </xf>
    <xf numFmtId="0" fontId="25" fillId="2" borderId="1" xfId="0" applyFont="1" applyFill="1" applyBorder="1" applyAlignment="1">
      <alignment horizontal="center" vertical="center"/>
    </xf>
    <xf numFmtId="164" fontId="25" fillId="2" borderId="1" xfId="0" applyNumberFormat="1" applyFont="1" applyFill="1" applyBorder="1" applyAlignment="1">
      <alignment horizontal="center" vertical="center"/>
    </xf>
    <xf numFmtId="0" fontId="25" fillId="2" borderId="1" xfId="0" applyFont="1" applyFill="1" applyBorder="1" applyAlignment="1">
      <alignment horizontal="center" vertical="center" wrapText="1"/>
    </xf>
    <xf numFmtId="0" fontId="25" fillId="2" borderId="1" xfId="0" applyFont="1" applyFill="1" applyBorder="1" applyAlignment="1">
      <alignment horizontal="left" vertical="center"/>
    </xf>
    <xf numFmtId="0" fontId="26" fillId="2" borderId="1" xfId="0" applyFont="1" applyFill="1" applyBorder="1" applyAlignment="1">
      <alignment horizontal="center" vertical="center"/>
    </xf>
    <xf numFmtId="0" fontId="26" fillId="2" borderId="1" xfId="0" applyFont="1" applyFill="1" applyBorder="1" applyAlignment="1">
      <alignment horizontal="left" vertical="center"/>
    </xf>
    <xf numFmtId="0" fontId="26" fillId="5" borderId="1" xfId="0" applyFont="1" applyFill="1" applyBorder="1" applyAlignment="1">
      <alignment horizontal="center" vertical="center"/>
    </xf>
    <xf numFmtId="0" fontId="27" fillId="5" borderId="1" xfId="0" applyFont="1" applyFill="1" applyBorder="1" applyAlignment="1">
      <alignment horizontal="center" vertical="center"/>
    </xf>
    <xf numFmtId="164" fontId="25" fillId="5" borderId="1" xfId="0" applyNumberFormat="1" applyFont="1" applyFill="1" applyBorder="1" applyAlignment="1">
      <alignment horizontal="center" vertical="center"/>
    </xf>
    <xf numFmtId="0" fontId="26" fillId="5" borderId="1" xfId="0" applyFont="1" applyFill="1" applyBorder="1" applyAlignment="1">
      <alignment horizontal="center" vertical="center" wrapText="1"/>
    </xf>
    <xf numFmtId="0" fontId="26" fillId="5" borderId="1" xfId="0" applyFont="1" applyFill="1" applyBorder="1" applyAlignment="1">
      <alignment horizontal="left" vertical="center"/>
    </xf>
    <xf numFmtId="0" fontId="26" fillId="5" borderId="1" xfId="0" applyFont="1" applyFill="1" applyBorder="1" applyAlignment="1">
      <alignment vertical="center"/>
    </xf>
    <xf numFmtId="0" fontId="26" fillId="9" borderId="1" xfId="0" applyFont="1" applyFill="1" applyBorder="1" applyAlignment="1">
      <alignment horizontal="center" vertical="center"/>
    </xf>
    <xf numFmtId="0" fontId="27" fillId="9" borderId="1" xfId="0" applyFont="1" applyFill="1" applyBorder="1" applyAlignment="1">
      <alignment horizontal="center" vertical="center"/>
    </xf>
    <xf numFmtId="164" fontId="25" fillId="9" borderId="1" xfId="0" applyNumberFormat="1" applyFont="1" applyFill="1" applyBorder="1" applyAlignment="1">
      <alignment horizontal="center" vertical="center"/>
    </xf>
    <xf numFmtId="0" fontId="26" fillId="9" borderId="1" xfId="0" applyFont="1" applyFill="1" applyBorder="1" applyAlignment="1">
      <alignment horizontal="center" vertical="center" wrapText="1"/>
    </xf>
    <xf numFmtId="0" fontId="26" fillId="9" borderId="1" xfId="0" applyFont="1" applyFill="1" applyBorder="1" applyAlignment="1">
      <alignment horizontal="left" vertical="center"/>
    </xf>
    <xf numFmtId="0" fontId="26" fillId="0" borderId="1" xfId="0" applyFont="1" applyBorder="1" applyAlignment="1">
      <alignment horizontal="center" vertical="center"/>
    </xf>
    <xf numFmtId="164" fontId="25" fillId="0" borderId="1" xfId="0" applyNumberFormat="1" applyFont="1" applyBorder="1" applyAlignment="1">
      <alignment horizontal="center" vertical="center"/>
    </xf>
    <xf numFmtId="0" fontId="26" fillId="0" borderId="1" xfId="0" applyFont="1" applyBorder="1" applyAlignment="1">
      <alignment horizontal="center" vertical="center" wrapText="1"/>
    </xf>
    <xf numFmtId="0" fontId="26" fillId="0" borderId="1" xfId="0" applyFont="1" applyBorder="1" applyAlignment="1">
      <alignment vertical="center"/>
    </xf>
    <xf numFmtId="0" fontId="26" fillId="0" borderId="1" xfId="0" applyFont="1" applyBorder="1" applyAlignment="1">
      <alignment horizontal="left" vertical="center"/>
    </xf>
    <xf numFmtId="0" fontId="20" fillId="9" borderId="1" xfId="0" applyFont="1" applyFill="1" applyBorder="1" applyAlignment="1">
      <alignment horizontal="left" vertical="center"/>
    </xf>
    <xf numFmtId="0" fontId="20" fillId="5" borderId="1" xfId="0" applyFont="1" applyFill="1" applyBorder="1" applyAlignment="1">
      <alignment horizontal="center" vertical="center"/>
    </xf>
    <xf numFmtId="0" fontId="28" fillId="5" borderId="1" xfId="0" applyFont="1" applyFill="1" applyBorder="1" applyAlignment="1">
      <alignment horizontal="center" vertical="center"/>
    </xf>
    <xf numFmtId="164" fontId="29" fillId="5" borderId="1" xfId="0" applyNumberFormat="1" applyFont="1" applyFill="1" applyBorder="1" applyAlignment="1">
      <alignment horizontal="left" vertical="center"/>
    </xf>
    <xf numFmtId="0" fontId="20" fillId="5" borderId="1" xfId="0" applyFont="1" applyFill="1" applyBorder="1" applyAlignment="1">
      <alignment horizontal="center" vertical="center" wrapText="1"/>
    </xf>
    <xf numFmtId="0" fontId="20" fillId="5" borderId="1" xfId="0" applyFont="1" applyFill="1" applyBorder="1" applyAlignment="1">
      <alignment vertical="center"/>
    </xf>
    <xf numFmtId="0" fontId="20" fillId="9" borderId="1" xfId="0" applyFont="1" applyFill="1" applyBorder="1" applyAlignment="1">
      <alignment horizontal="center" vertical="center"/>
    </xf>
    <xf numFmtId="0" fontId="28" fillId="9" borderId="1" xfId="0" applyFont="1" applyFill="1" applyBorder="1" applyAlignment="1">
      <alignment horizontal="center" vertical="center"/>
    </xf>
    <xf numFmtId="164" fontId="29" fillId="9" borderId="1" xfId="0" applyNumberFormat="1" applyFont="1" applyFill="1" applyBorder="1" applyAlignment="1">
      <alignment horizontal="left" vertical="center"/>
    </xf>
    <xf numFmtId="0" fontId="20" fillId="9" borderId="1" xfId="0" applyFont="1" applyFill="1" applyBorder="1" applyAlignment="1">
      <alignment horizontal="center" vertical="center" wrapText="1"/>
    </xf>
    <xf numFmtId="0" fontId="20" fillId="9" borderId="1" xfId="0" applyFont="1" applyFill="1" applyBorder="1" applyAlignment="1">
      <alignment vertical="center"/>
    </xf>
    <xf numFmtId="168" fontId="9" fillId="0" borderId="0" xfId="0" applyNumberFormat="1" applyFont="1" applyAlignment="1">
      <alignment horizontal="left"/>
    </xf>
    <xf numFmtId="0" fontId="36" fillId="7" borderId="0" xfId="0" applyFont="1" applyFill="1" applyAlignment="1">
      <alignment vertical="center"/>
    </xf>
    <xf numFmtId="0" fontId="36" fillId="4" borderId="0" xfId="0" applyFont="1" applyFill="1" applyAlignment="1">
      <alignment vertical="center"/>
    </xf>
    <xf numFmtId="0" fontId="26" fillId="10" borderId="1" xfId="0" applyFont="1" applyFill="1" applyBorder="1" applyAlignment="1">
      <alignment horizontal="center" vertical="center"/>
    </xf>
    <xf numFmtId="0" fontId="28" fillId="10" borderId="1" xfId="0" applyFont="1" applyFill="1" applyBorder="1" applyAlignment="1">
      <alignment horizontal="center" vertical="center"/>
    </xf>
    <xf numFmtId="164" fontId="25" fillId="10" borderId="1" xfId="0" applyNumberFormat="1" applyFont="1" applyFill="1" applyBorder="1" applyAlignment="1">
      <alignment horizontal="center" vertical="center"/>
    </xf>
    <xf numFmtId="0" fontId="26" fillId="10" borderId="1" xfId="0" applyFont="1" applyFill="1" applyBorder="1" applyAlignment="1">
      <alignment horizontal="center" vertical="center" wrapText="1"/>
    </xf>
    <xf numFmtId="0" fontId="26" fillId="10" borderId="1" xfId="0" applyFont="1" applyFill="1" applyBorder="1" applyAlignment="1">
      <alignment vertical="center"/>
    </xf>
    <xf numFmtId="0" fontId="26" fillId="10" borderId="1" xfId="0" applyFont="1" applyFill="1" applyBorder="1" applyAlignment="1">
      <alignment horizontal="left" vertical="center"/>
    </xf>
    <xf numFmtId="0" fontId="20" fillId="10" borderId="1" xfId="0" applyFont="1" applyFill="1" applyBorder="1" applyAlignment="1">
      <alignment horizontal="center" vertical="center"/>
    </xf>
    <xf numFmtId="164" fontId="29" fillId="10" borderId="1" xfId="0" applyNumberFormat="1" applyFont="1" applyFill="1" applyBorder="1" applyAlignment="1">
      <alignment horizontal="left" vertical="center"/>
    </xf>
    <xf numFmtId="0" fontId="20" fillId="10" borderId="1" xfId="0" applyFont="1" applyFill="1" applyBorder="1" applyAlignment="1">
      <alignment horizontal="center" vertical="center" wrapText="1"/>
    </xf>
    <xf numFmtId="0" fontId="20" fillId="10" borderId="1" xfId="0" applyFont="1" applyFill="1" applyBorder="1" applyAlignment="1">
      <alignment vertical="center"/>
    </xf>
    <xf numFmtId="0" fontId="20" fillId="10" borderId="1" xfId="0" applyFont="1" applyFill="1" applyBorder="1" applyAlignment="1">
      <alignment horizontal="left" vertical="center"/>
    </xf>
    <xf numFmtId="0" fontId="27" fillId="10" borderId="1" xfId="0" applyFont="1" applyFill="1" applyBorder="1" applyAlignment="1">
      <alignment horizontal="center" vertical="center"/>
    </xf>
    <xf numFmtId="0" fontId="20" fillId="10" borderId="1" xfId="0" quotePrefix="1" applyFont="1" applyFill="1" applyBorder="1" applyAlignment="1">
      <alignment vertical="center"/>
    </xf>
    <xf numFmtId="165" fontId="8" fillId="5" borderId="22" xfId="0" applyNumberFormat="1" applyFont="1" applyFill="1" applyBorder="1" applyAlignment="1">
      <alignment horizontal="center" vertical="center"/>
    </xf>
    <xf numFmtId="165" fontId="8" fillId="5" borderId="1" xfId="0" applyNumberFormat="1" applyFont="1" applyFill="1" applyBorder="1" applyAlignment="1">
      <alignment horizontal="center" vertical="center"/>
    </xf>
    <xf numFmtId="164" fontId="8" fillId="5" borderId="17" xfId="0" applyNumberFormat="1" applyFont="1" applyFill="1" applyBorder="1" applyAlignment="1">
      <alignment horizontal="center" vertical="center"/>
    </xf>
    <xf numFmtId="167" fontId="9" fillId="7" borderId="29" xfId="0" applyNumberFormat="1" applyFont="1" applyFill="1" applyBorder="1" applyAlignment="1">
      <alignment vertical="center"/>
    </xf>
    <xf numFmtId="164" fontId="8" fillId="6" borderId="27" xfId="0" applyNumberFormat="1" applyFont="1" applyFill="1" applyBorder="1" applyAlignment="1">
      <alignment horizontal="center" vertical="center"/>
    </xf>
    <xf numFmtId="164" fontId="8" fillId="5" borderId="22" xfId="0" applyNumberFormat="1" applyFont="1" applyFill="1" applyBorder="1" applyAlignment="1">
      <alignment horizontal="center" vertical="center"/>
    </xf>
    <xf numFmtId="164" fontId="8" fillId="5" borderId="1" xfId="0" applyNumberFormat="1" applyFont="1" applyFill="1" applyBorder="1" applyAlignment="1">
      <alignment horizontal="center" vertical="center"/>
    </xf>
    <xf numFmtId="0" fontId="8" fillId="7" borderId="28" xfId="0" applyFont="1" applyFill="1" applyBorder="1" applyAlignment="1">
      <alignment vertical="center"/>
    </xf>
    <xf numFmtId="0" fontId="8" fillId="7" borderId="0" xfId="0" applyFont="1" applyFill="1" applyAlignment="1">
      <alignment vertical="center"/>
    </xf>
    <xf numFmtId="167" fontId="8" fillId="7" borderId="0" xfId="0" applyNumberFormat="1" applyFont="1" applyFill="1" applyAlignment="1">
      <alignment vertical="center"/>
    </xf>
    <xf numFmtId="167" fontId="8" fillId="7" borderId="29" xfId="0" applyNumberFormat="1" applyFont="1" applyFill="1" applyBorder="1" applyAlignment="1">
      <alignment vertical="center"/>
    </xf>
    <xf numFmtId="0" fontId="8" fillId="7" borderId="29" xfId="0" applyFont="1" applyFill="1" applyBorder="1" applyAlignment="1">
      <alignment vertical="center"/>
    </xf>
    <xf numFmtId="164" fontId="8" fillId="6" borderId="33" xfId="0" applyNumberFormat="1" applyFont="1" applyFill="1" applyBorder="1" applyAlignment="1">
      <alignment horizontal="center" vertical="center"/>
    </xf>
    <xf numFmtId="164" fontId="8" fillId="5" borderId="23" xfId="0" applyNumberFormat="1" applyFont="1" applyFill="1" applyBorder="1" applyAlignment="1">
      <alignment horizontal="center" vertical="center"/>
    </xf>
    <xf numFmtId="164" fontId="8" fillId="5" borderId="24" xfId="0" applyNumberFormat="1" applyFont="1" applyFill="1" applyBorder="1" applyAlignment="1">
      <alignment horizontal="center" vertical="center"/>
    </xf>
    <xf numFmtId="164" fontId="8" fillId="5" borderId="25" xfId="0" applyNumberFormat="1" applyFont="1" applyFill="1" applyBorder="1" applyAlignment="1">
      <alignment horizontal="center" vertical="center"/>
    </xf>
    <xf numFmtId="0" fontId="8" fillId="7" borderId="5" xfId="0" applyFont="1" applyFill="1" applyBorder="1" applyAlignment="1">
      <alignment vertical="center"/>
    </xf>
    <xf numFmtId="0" fontId="8" fillId="7" borderId="6" xfId="0" applyFont="1" applyFill="1" applyBorder="1" applyAlignment="1">
      <alignment vertical="center"/>
    </xf>
    <xf numFmtId="0" fontId="8" fillId="7" borderId="7" xfId="0" applyFont="1" applyFill="1" applyBorder="1" applyAlignment="1">
      <alignment vertical="center"/>
    </xf>
    <xf numFmtId="165" fontId="8" fillId="5" borderId="23" xfId="0" applyNumberFormat="1" applyFont="1" applyFill="1" applyBorder="1" applyAlignment="1">
      <alignment horizontal="center" vertical="center"/>
    </xf>
    <xf numFmtId="165" fontId="8" fillId="5" borderId="24" xfId="0" applyNumberFormat="1" applyFont="1" applyFill="1" applyBorder="1" applyAlignment="1">
      <alignment horizontal="center" vertical="center"/>
    </xf>
    <xf numFmtId="0" fontId="20" fillId="5" borderId="1" xfId="0" quotePrefix="1" applyFont="1" applyFill="1" applyBorder="1" applyAlignment="1">
      <alignment vertical="center"/>
    </xf>
    <xf numFmtId="0" fontId="26" fillId="11" borderId="1" xfId="0" applyFont="1" applyFill="1" applyBorder="1" applyAlignment="1">
      <alignment horizontal="center" vertical="center"/>
    </xf>
    <xf numFmtId="0" fontId="27" fillId="11" borderId="1" xfId="0" applyFont="1" applyFill="1" applyBorder="1" applyAlignment="1">
      <alignment horizontal="center" vertical="center"/>
    </xf>
    <xf numFmtId="164" fontId="25" fillId="11" borderId="1" xfId="0" applyNumberFormat="1" applyFont="1" applyFill="1" applyBorder="1" applyAlignment="1">
      <alignment horizontal="center" vertical="center"/>
    </xf>
    <xf numFmtId="0" fontId="26" fillId="11" borderId="1" xfId="0" applyFont="1" applyFill="1" applyBorder="1" applyAlignment="1">
      <alignment horizontal="center" vertical="center" wrapText="1"/>
    </xf>
    <xf numFmtId="0" fontId="26" fillId="11" borderId="1" xfId="0" applyFont="1" applyFill="1" applyBorder="1" applyAlignment="1">
      <alignment vertical="center"/>
    </xf>
    <xf numFmtId="0" fontId="26" fillId="11" borderId="1" xfId="0" applyFont="1" applyFill="1" applyBorder="1" applyAlignment="1">
      <alignment horizontal="left" vertical="center"/>
    </xf>
    <xf numFmtId="0" fontId="20" fillId="11" borderId="1" xfId="0" applyFont="1" applyFill="1" applyBorder="1" applyAlignment="1">
      <alignment horizontal="center" vertical="center"/>
    </xf>
    <xf numFmtId="164" fontId="29" fillId="11" borderId="1" xfId="0" applyNumberFormat="1" applyFont="1" applyFill="1" applyBorder="1" applyAlignment="1">
      <alignment horizontal="left" vertical="center"/>
    </xf>
    <xf numFmtId="0" fontId="20" fillId="11" borderId="1" xfId="0" applyFont="1" applyFill="1" applyBorder="1" applyAlignment="1">
      <alignment horizontal="center" vertical="center" wrapText="1"/>
    </xf>
    <xf numFmtId="0" fontId="20" fillId="11" borderId="1" xfId="0" quotePrefix="1" applyFont="1" applyFill="1" applyBorder="1" applyAlignment="1">
      <alignment vertical="center"/>
    </xf>
    <xf numFmtId="0" fontId="20" fillId="11" borderId="1" xfId="0" applyFont="1" applyFill="1" applyBorder="1" applyAlignment="1">
      <alignment horizontal="left" vertical="center"/>
    </xf>
    <xf numFmtId="0" fontId="20" fillId="11" borderId="1" xfId="0" applyFont="1" applyFill="1" applyBorder="1" applyAlignment="1">
      <alignment vertical="center"/>
    </xf>
    <xf numFmtId="0" fontId="28" fillId="11" borderId="1" xfId="0" applyFont="1" applyFill="1" applyBorder="1" applyAlignment="1">
      <alignment horizontal="center" vertical="center"/>
    </xf>
    <xf numFmtId="0" fontId="25" fillId="2" borderId="1" xfId="0" applyFont="1" applyFill="1" applyBorder="1" applyAlignment="1">
      <alignment vertical="center"/>
    </xf>
    <xf numFmtId="0" fontId="26" fillId="9" borderId="1" xfId="0" applyFont="1" applyFill="1" applyBorder="1" applyAlignment="1">
      <alignment vertical="center"/>
    </xf>
    <xf numFmtId="0" fontId="26" fillId="9" borderId="1" xfId="0" applyFont="1" applyFill="1" applyBorder="1" applyAlignment="1">
      <alignment vertical="center" wrapText="1"/>
    </xf>
    <xf numFmtId="164" fontId="26" fillId="5" borderId="1" xfId="0" applyNumberFormat="1" applyFont="1" applyFill="1" applyBorder="1" applyAlignment="1">
      <alignment vertical="center"/>
    </xf>
    <xf numFmtId="164" fontId="26" fillId="2" borderId="1" xfId="0" applyNumberFormat="1" applyFont="1" applyFill="1" applyBorder="1" applyAlignment="1">
      <alignment horizontal="left" vertical="center"/>
    </xf>
    <xf numFmtId="0" fontId="26" fillId="2" borderId="1" xfId="0" applyFont="1" applyFill="1" applyBorder="1" applyAlignment="1">
      <alignment horizontal="center" vertical="center" wrapText="1"/>
    </xf>
    <xf numFmtId="0" fontId="26" fillId="2" borderId="1" xfId="0" applyFont="1" applyFill="1" applyBorder="1" applyAlignment="1">
      <alignment vertical="center"/>
    </xf>
    <xf numFmtId="0" fontId="0" fillId="12" borderId="0" xfId="0" applyFill="1"/>
    <xf numFmtId="0" fontId="36" fillId="0" borderId="0" xfId="0" applyFont="1"/>
    <xf numFmtId="168" fontId="8" fillId="0" borderId="0" xfId="0" applyNumberFormat="1" applyFont="1" applyAlignment="1">
      <alignment horizontal="left"/>
    </xf>
    <xf numFmtId="168" fontId="36" fillId="0" borderId="0" xfId="0" applyNumberFormat="1" applyFont="1" applyAlignment="1">
      <alignment horizontal="left"/>
    </xf>
    <xf numFmtId="164" fontId="26" fillId="0" borderId="0" xfId="0" applyNumberFormat="1" applyFont="1" applyAlignment="1">
      <alignment vertical="center"/>
    </xf>
    <xf numFmtId="168" fontId="0" fillId="0" borderId="0" xfId="0" applyNumberFormat="1" applyAlignment="1">
      <alignment horizontal="left" vertical="center"/>
    </xf>
    <xf numFmtId="0" fontId="20" fillId="0" borderId="0" xfId="0" applyFont="1" applyAlignment="1">
      <alignment vertical="center"/>
    </xf>
    <xf numFmtId="166" fontId="9" fillId="5" borderId="22" xfId="0" applyNumberFormat="1" applyFont="1" applyFill="1" applyBorder="1" applyAlignment="1">
      <alignment horizontal="center" vertical="center"/>
    </xf>
    <xf numFmtId="0" fontId="9" fillId="3" borderId="47" xfId="0" applyFont="1" applyFill="1" applyBorder="1" applyAlignment="1">
      <alignment horizontal="center" vertical="center"/>
    </xf>
    <xf numFmtId="166" fontId="9" fillId="5" borderId="23" xfId="0" applyNumberFormat="1" applyFont="1" applyFill="1" applyBorder="1" applyAlignment="1">
      <alignment horizontal="center" vertical="center"/>
    </xf>
    <xf numFmtId="0" fontId="9" fillId="12" borderId="0" xfId="0" applyFont="1" applyFill="1" applyAlignment="1">
      <alignment vertical="center"/>
    </xf>
    <xf numFmtId="0" fontId="48" fillId="12" borderId="0" xfId="0" applyFont="1" applyFill="1" applyAlignment="1">
      <alignment horizontal="center" vertical="center"/>
    </xf>
    <xf numFmtId="0" fontId="0" fillId="12" borderId="0" xfId="0" applyFill="1" applyAlignment="1">
      <alignment horizontal="center" vertical="center"/>
    </xf>
    <xf numFmtId="170" fontId="0" fillId="12" borderId="0" xfId="0" applyNumberFormat="1" applyFill="1" applyAlignment="1">
      <alignment horizontal="center" vertical="center"/>
    </xf>
    <xf numFmtId="164" fontId="0" fillId="12" borderId="0" xfId="0" applyNumberFormat="1" applyFill="1" applyAlignment="1">
      <alignment horizontal="center" vertical="center"/>
    </xf>
    <xf numFmtId="164" fontId="9" fillId="12" borderId="0" xfId="0" applyNumberFormat="1" applyFont="1" applyFill="1" applyAlignment="1">
      <alignment vertical="center"/>
    </xf>
    <xf numFmtId="170" fontId="0" fillId="12" borderId="0" xfId="0" applyNumberFormat="1" applyFill="1" applyAlignment="1">
      <alignment horizontal="center"/>
    </xf>
    <xf numFmtId="168" fontId="0" fillId="12" borderId="0" xfId="0" applyNumberFormat="1" applyFill="1" applyAlignment="1">
      <alignment horizontal="center" vertical="center"/>
    </xf>
    <xf numFmtId="171" fontId="0" fillId="12" borderId="0" xfId="0" applyNumberFormat="1" applyFill="1" applyAlignment="1">
      <alignment horizontal="center" vertical="center"/>
    </xf>
    <xf numFmtId="2" fontId="0" fillId="12" borderId="0" xfId="0" applyNumberFormat="1" applyFill="1" applyAlignment="1">
      <alignment horizontal="center" vertical="center"/>
    </xf>
    <xf numFmtId="169" fontId="9" fillId="12" borderId="0" xfId="0" applyNumberFormat="1" applyFont="1" applyFill="1" applyAlignment="1">
      <alignment vertical="center"/>
    </xf>
    <xf numFmtId="2" fontId="20" fillId="12" borderId="0" xfId="0" applyNumberFormat="1" applyFont="1" applyFill="1" applyAlignment="1">
      <alignment horizontal="center" vertical="center"/>
    </xf>
    <xf numFmtId="170" fontId="0" fillId="12" borderId="0" xfId="0" applyNumberFormat="1" applyFill="1"/>
    <xf numFmtId="169" fontId="0" fillId="12" borderId="0" xfId="0" applyNumberFormat="1" applyFill="1" applyAlignment="1">
      <alignment horizontal="center" vertical="center"/>
    </xf>
    <xf numFmtId="169" fontId="0" fillId="12" borderId="0" xfId="0" applyNumberFormat="1" applyFill="1"/>
    <xf numFmtId="0" fontId="0" fillId="12" borderId="0" xfId="0" applyFill="1" applyAlignment="1">
      <alignment vertical="center"/>
    </xf>
    <xf numFmtId="172" fontId="0" fillId="12" borderId="0" xfId="0" applyNumberFormat="1" applyFill="1" applyAlignment="1">
      <alignment horizontal="center" vertical="center"/>
    </xf>
    <xf numFmtId="167" fontId="0" fillId="12" borderId="0" xfId="0" applyNumberFormat="1" applyFill="1" applyAlignment="1">
      <alignment horizontal="center" vertical="center"/>
    </xf>
    <xf numFmtId="172" fontId="0" fillId="12" borderId="0" xfId="0" applyNumberFormat="1" applyFill="1"/>
    <xf numFmtId="2" fontId="0" fillId="12" borderId="0" xfId="0" applyNumberFormat="1" applyFill="1" applyAlignment="1">
      <alignment horizontal="center"/>
    </xf>
    <xf numFmtId="0" fontId="50" fillId="7" borderId="0" xfId="0" applyFont="1" applyFill="1" applyAlignment="1">
      <alignment vertical="center"/>
    </xf>
    <xf numFmtId="164" fontId="51" fillId="5" borderId="1" xfId="0" applyNumberFormat="1" applyFont="1" applyFill="1" applyBorder="1" applyAlignment="1">
      <alignment horizontal="center" vertical="center"/>
    </xf>
    <xf numFmtId="164" fontId="25" fillId="13" borderId="1" xfId="0" applyNumberFormat="1" applyFont="1" applyFill="1" applyBorder="1" applyAlignment="1">
      <alignment horizontal="center" vertical="center"/>
    </xf>
    <xf numFmtId="0" fontId="26" fillId="10" borderId="1" xfId="0" quotePrefix="1" applyFont="1" applyFill="1" applyBorder="1" applyAlignment="1">
      <alignment vertical="center"/>
    </xf>
    <xf numFmtId="164" fontId="26" fillId="10" borderId="1" xfId="0" applyNumberFormat="1" applyFont="1" applyFill="1" applyBorder="1" applyAlignment="1">
      <alignment horizontal="center" vertical="center"/>
    </xf>
    <xf numFmtId="0" fontId="21" fillId="3" borderId="51" xfId="0" applyFont="1" applyFill="1" applyBorder="1" applyAlignment="1">
      <alignment horizontal="right" vertical="center"/>
    </xf>
    <xf numFmtId="0" fontId="21" fillId="2" borderId="26" xfId="0" applyFont="1" applyFill="1" applyBorder="1" applyAlignment="1">
      <alignment horizontal="right" vertical="center"/>
    </xf>
    <xf numFmtId="0" fontId="21" fillId="3" borderId="27" xfId="0" applyFont="1" applyFill="1" applyBorder="1" applyAlignment="1">
      <alignment horizontal="right" vertical="center"/>
    </xf>
    <xf numFmtId="0" fontId="33" fillId="3" borderId="38" xfId="0" applyFont="1" applyFill="1" applyBorder="1" applyAlignment="1">
      <alignment vertical="center" wrapText="1"/>
    </xf>
    <xf numFmtId="164" fontId="34" fillId="3" borderId="52" xfId="0" applyNumberFormat="1" applyFont="1" applyFill="1" applyBorder="1" applyAlignment="1">
      <alignment horizontal="left" vertical="center"/>
    </xf>
    <xf numFmtId="164" fontId="34" fillId="3" borderId="41" xfId="0" applyNumberFormat="1" applyFont="1" applyFill="1" applyBorder="1" applyAlignment="1">
      <alignment horizontal="left" vertical="center"/>
    </xf>
    <xf numFmtId="0" fontId="33" fillId="3" borderId="43" xfId="0" applyFont="1" applyFill="1" applyBorder="1" applyAlignment="1">
      <alignment vertical="center" wrapText="1"/>
    </xf>
    <xf numFmtId="0" fontId="21" fillId="2" borderId="37" xfId="0" applyFont="1" applyFill="1" applyBorder="1" applyAlignment="1">
      <alignment horizontal="right" vertical="center"/>
    </xf>
    <xf numFmtId="0" fontId="21" fillId="3" borderId="38" xfId="0" applyFont="1" applyFill="1" applyBorder="1" applyAlignment="1">
      <alignment horizontal="right" vertical="center"/>
    </xf>
    <xf numFmtId="0" fontId="21" fillId="3" borderId="5" xfId="0" applyFont="1" applyFill="1" applyBorder="1" applyAlignment="1">
      <alignment horizontal="right" vertical="center"/>
    </xf>
    <xf numFmtId="166" fontId="9" fillId="8" borderId="10" xfId="0" applyNumberFormat="1" applyFont="1" applyFill="1" applyBorder="1" applyAlignment="1">
      <alignment horizontal="left" vertical="center"/>
    </xf>
    <xf numFmtId="166" fontId="9" fillId="8" borderId="7" xfId="0" applyNumberFormat="1" applyFont="1" applyFill="1" applyBorder="1" applyAlignment="1">
      <alignment horizontal="left" vertical="center"/>
    </xf>
    <xf numFmtId="0" fontId="21" fillId="2" borderId="2" xfId="0" applyFont="1" applyFill="1" applyBorder="1" applyAlignment="1">
      <alignment horizontal="right" vertical="center"/>
    </xf>
    <xf numFmtId="0" fontId="21" fillId="3" borderId="2" xfId="0" applyFont="1" applyFill="1" applyBorder="1" applyAlignment="1">
      <alignment horizontal="right" vertical="center"/>
    </xf>
    <xf numFmtId="0" fontId="21" fillId="6" borderId="2" xfId="0" applyFont="1" applyFill="1" applyBorder="1" applyAlignment="1">
      <alignment horizontal="right" vertical="center"/>
    </xf>
    <xf numFmtId="0" fontId="7" fillId="3" borderId="65" xfId="0" applyFont="1" applyFill="1" applyBorder="1" applyAlignment="1">
      <alignment vertical="center"/>
    </xf>
    <xf numFmtId="166" fontId="9" fillId="8" borderId="57" xfId="0" applyNumberFormat="1" applyFont="1" applyFill="1" applyBorder="1" applyAlignment="1">
      <alignment horizontal="left" vertical="center"/>
    </xf>
    <xf numFmtId="166" fontId="9" fillId="8" borderId="66" xfId="0" applyNumberFormat="1" applyFont="1" applyFill="1" applyBorder="1" applyAlignment="1">
      <alignment horizontal="left" vertical="center"/>
    </xf>
    <xf numFmtId="164" fontId="34" fillId="2" borderId="53" xfId="0" applyNumberFormat="1" applyFont="1" applyFill="1" applyBorder="1" applyAlignment="1">
      <alignment horizontal="left" vertical="center" wrapText="1"/>
    </xf>
    <xf numFmtId="164" fontId="34" fillId="3" borderId="42" xfId="0" applyNumberFormat="1" applyFont="1" applyFill="1" applyBorder="1" applyAlignment="1">
      <alignment horizontal="left" vertical="center" wrapText="1"/>
    </xf>
    <xf numFmtId="0" fontId="33" fillId="3" borderId="63" xfId="0" applyFont="1" applyFill="1" applyBorder="1" applyAlignment="1">
      <alignment vertical="center" wrapText="1"/>
    </xf>
    <xf numFmtId="0" fontId="34" fillId="3" borderId="56" xfId="0" applyFont="1" applyFill="1" applyBorder="1" applyAlignment="1">
      <alignment horizontal="left" vertical="center"/>
    </xf>
    <xf numFmtId="0" fontId="34" fillId="3" borderId="64" xfId="0" applyFont="1" applyFill="1" applyBorder="1" applyAlignment="1">
      <alignment horizontal="left" vertical="center"/>
    </xf>
    <xf numFmtId="0" fontId="33" fillId="3" borderId="61" xfId="0" applyFont="1" applyFill="1" applyBorder="1" applyAlignment="1">
      <alignment vertical="center"/>
    </xf>
    <xf numFmtId="168" fontId="34" fillId="2" borderId="55" xfId="0" applyNumberFormat="1" applyFont="1" applyFill="1" applyBorder="1" applyAlignment="1">
      <alignment horizontal="left" vertical="center"/>
    </xf>
    <xf numFmtId="168" fontId="34" fillId="2" borderId="62" xfId="0" applyNumberFormat="1" applyFont="1" applyFill="1" applyBorder="1" applyAlignment="1">
      <alignment horizontal="left" vertical="center"/>
    </xf>
    <xf numFmtId="0" fontId="33" fillId="3" borderId="63" xfId="0" applyFont="1" applyFill="1" applyBorder="1" applyAlignment="1">
      <alignment vertical="center"/>
    </xf>
    <xf numFmtId="0" fontId="34" fillId="3" borderId="56" xfId="0" applyFont="1" applyFill="1" applyBorder="1" applyAlignment="1">
      <alignment horizontal="left" vertical="center" wrapText="1"/>
    </xf>
    <xf numFmtId="0" fontId="34" fillId="3" borderId="64" xfId="0" applyFont="1" applyFill="1" applyBorder="1" applyAlignment="1">
      <alignment horizontal="left" vertical="center" wrapText="1"/>
    </xf>
    <xf numFmtId="0" fontId="53" fillId="3" borderId="2" xfId="0" applyFont="1" applyFill="1" applyBorder="1" applyAlignment="1">
      <alignment vertical="center"/>
    </xf>
    <xf numFmtId="0" fontId="53" fillId="3" borderId="5" xfId="0" applyFont="1" applyFill="1" applyBorder="1" applyAlignment="1">
      <alignment vertical="center"/>
    </xf>
    <xf numFmtId="0" fontId="54" fillId="3" borderId="59" xfId="0" applyFont="1" applyFill="1" applyBorder="1" applyAlignment="1">
      <alignment vertical="center"/>
    </xf>
    <xf numFmtId="0" fontId="56" fillId="3" borderId="61" xfId="0" applyFont="1" applyFill="1" applyBorder="1" applyAlignment="1">
      <alignment vertical="center" wrapText="1"/>
    </xf>
    <xf numFmtId="0" fontId="56" fillId="3" borderId="38" xfId="0" applyFont="1" applyFill="1" applyBorder="1" applyAlignment="1">
      <alignment vertical="center" wrapText="1"/>
    </xf>
    <xf numFmtId="0" fontId="56" fillId="3" borderId="63" xfId="0" applyFont="1" applyFill="1" applyBorder="1" applyAlignment="1">
      <alignment vertical="center"/>
    </xf>
    <xf numFmtId="164" fontId="58" fillId="3" borderId="52" xfId="0" applyNumberFormat="1" applyFont="1" applyFill="1" applyBorder="1" applyAlignment="1">
      <alignment horizontal="left" vertical="center"/>
    </xf>
    <xf numFmtId="164" fontId="58" fillId="3" borderId="41" xfId="0" applyNumberFormat="1" applyFont="1" applyFill="1" applyBorder="1" applyAlignment="1">
      <alignment vertical="center"/>
    </xf>
    <xf numFmtId="0" fontId="53" fillId="3" borderId="30" xfId="0" applyFont="1" applyFill="1" applyBorder="1" applyAlignment="1">
      <alignment vertical="center"/>
    </xf>
    <xf numFmtId="164" fontId="58" fillId="2" borderId="52" xfId="0" applyNumberFormat="1" applyFont="1" applyFill="1" applyBorder="1" applyAlignment="1">
      <alignment horizontal="left" vertical="center"/>
    </xf>
    <xf numFmtId="164" fontId="58" fillId="3" borderId="41" xfId="0" applyNumberFormat="1" applyFont="1" applyFill="1" applyBorder="1" applyAlignment="1">
      <alignment horizontal="left" vertical="center" wrapText="1"/>
    </xf>
    <xf numFmtId="164" fontId="58" fillId="3" borderId="41" xfId="0" applyNumberFormat="1" applyFont="1" applyFill="1" applyBorder="1" applyAlignment="1">
      <alignment horizontal="left" vertical="center"/>
    </xf>
    <xf numFmtId="0" fontId="56" fillId="3" borderId="67" xfId="0" applyFont="1" applyFill="1" applyBorder="1" applyAlignment="1">
      <alignment vertical="center"/>
    </xf>
    <xf numFmtId="0" fontId="58" fillId="3" borderId="68" xfId="0" applyFont="1" applyFill="1" applyBorder="1" applyAlignment="1">
      <alignment horizontal="left" vertical="center"/>
    </xf>
    <xf numFmtId="0" fontId="58" fillId="3" borderId="69" xfId="0" applyFont="1" applyFill="1" applyBorder="1" applyAlignment="1">
      <alignment horizontal="left" vertical="center"/>
    </xf>
    <xf numFmtId="0" fontId="62" fillId="3" borderId="61" xfId="0" applyFont="1" applyFill="1" applyBorder="1" applyAlignment="1">
      <alignment vertical="center"/>
    </xf>
    <xf numFmtId="168" fontId="65" fillId="2" borderId="55" xfId="0" applyNumberFormat="1" applyFont="1" applyFill="1" applyBorder="1" applyAlignment="1">
      <alignment horizontal="left" vertical="center"/>
    </xf>
    <xf numFmtId="168" fontId="65" fillId="2" borderId="62" xfId="0" applyNumberFormat="1" applyFont="1" applyFill="1" applyBorder="1" applyAlignment="1">
      <alignment horizontal="left" vertical="center"/>
    </xf>
    <xf numFmtId="0" fontId="62" fillId="3" borderId="63" xfId="0" applyFont="1" applyFill="1" applyBorder="1" applyAlignment="1">
      <alignment vertical="center"/>
    </xf>
    <xf numFmtId="0" fontId="65" fillId="3" borderId="56" xfId="0" applyFont="1" applyFill="1" applyBorder="1" applyAlignment="1">
      <alignment horizontal="left" vertical="center" wrapText="1"/>
    </xf>
    <xf numFmtId="0" fontId="65" fillId="3" borderId="64" xfId="0" applyFont="1" applyFill="1" applyBorder="1" applyAlignment="1">
      <alignment horizontal="left" vertical="center" wrapText="1"/>
    </xf>
    <xf numFmtId="0" fontId="66" fillId="3" borderId="61" xfId="0" applyFont="1" applyFill="1" applyBorder="1" applyAlignment="1">
      <alignment vertical="center" wrapText="1"/>
    </xf>
    <xf numFmtId="0" fontId="66" fillId="3" borderId="38" xfId="0" applyFont="1" applyFill="1" applyBorder="1" applyAlignment="1">
      <alignment vertical="center" wrapText="1"/>
    </xf>
    <xf numFmtId="164" fontId="69" fillId="3" borderId="52" xfId="0" applyNumberFormat="1" applyFont="1" applyFill="1" applyBorder="1" applyAlignment="1">
      <alignment horizontal="left" vertical="center"/>
    </xf>
    <xf numFmtId="0" fontId="66" fillId="3" borderId="63" xfId="0" applyFont="1" applyFill="1" applyBorder="1" applyAlignment="1">
      <alignment vertical="center"/>
    </xf>
    <xf numFmtId="0" fontId="62" fillId="3" borderId="61" xfId="0" applyFont="1" applyFill="1" applyBorder="1" applyAlignment="1">
      <alignment vertical="center" wrapText="1"/>
    </xf>
    <xf numFmtId="164" fontId="65" fillId="2" borderId="55" xfId="0" applyNumberFormat="1" applyFont="1" applyFill="1" applyBorder="1" applyAlignment="1">
      <alignment horizontal="left" vertical="center"/>
    </xf>
    <xf numFmtId="164" fontId="65" fillId="2" borderId="62" xfId="0" applyNumberFormat="1" applyFont="1" applyFill="1" applyBorder="1" applyAlignment="1">
      <alignment horizontal="left" vertical="center"/>
    </xf>
    <xf numFmtId="0" fontId="62" fillId="3" borderId="38" xfId="0" applyFont="1" applyFill="1" applyBorder="1" applyAlignment="1">
      <alignment vertical="center" wrapText="1"/>
    </xf>
    <xf numFmtId="164" fontId="65" fillId="3" borderId="52" xfId="0" applyNumberFormat="1" applyFont="1" applyFill="1" applyBorder="1" applyAlignment="1">
      <alignment horizontal="left" vertical="center"/>
    </xf>
    <xf numFmtId="164" fontId="65" fillId="3" borderId="41" xfId="0" applyNumberFormat="1" applyFont="1" applyFill="1" applyBorder="1" applyAlignment="1">
      <alignment horizontal="left" vertical="center"/>
    </xf>
    <xf numFmtId="0" fontId="65" fillId="3" borderId="56" xfId="0" applyFont="1" applyFill="1" applyBorder="1" applyAlignment="1">
      <alignment horizontal="left" vertical="center"/>
    </xf>
    <xf numFmtId="0" fontId="65" fillId="3" borderId="64" xfId="0" applyFont="1" applyFill="1" applyBorder="1" applyAlignment="1">
      <alignment horizontal="left" vertical="center"/>
    </xf>
    <xf numFmtId="164" fontId="69" fillId="2" borderId="55" xfId="0" applyNumberFormat="1" applyFont="1" applyFill="1" applyBorder="1" applyAlignment="1">
      <alignment horizontal="left" vertical="center"/>
    </xf>
    <xf numFmtId="164" fontId="69" fillId="2" borderId="62" xfId="0" applyNumberFormat="1" applyFont="1" applyFill="1" applyBorder="1" applyAlignment="1">
      <alignment horizontal="left" vertical="center"/>
    </xf>
    <xf numFmtId="164" fontId="69" fillId="3" borderId="41" xfId="0" applyNumberFormat="1" applyFont="1" applyFill="1" applyBorder="1" applyAlignment="1">
      <alignment horizontal="left" vertical="center"/>
    </xf>
    <xf numFmtId="0" fontId="69" fillId="3" borderId="56" xfId="0" applyFont="1" applyFill="1" applyBorder="1" applyAlignment="1">
      <alignment horizontal="left" vertical="center"/>
    </xf>
    <xf numFmtId="0" fontId="69" fillId="3" borderId="64" xfId="0" applyFont="1" applyFill="1" applyBorder="1" applyAlignment="1">
      <alignment horizontal="left" vertical="center"/>
    </xf>
    <xf numFmtId="0" fontId="59" fillId="3" borderId="61" xfId="0" applyFont="1" applyFill="1" applyBorder="1" applyAlignment="1">
      <alignment vertical="center"/>
    </xf>
    <xf numFmtId="168" fontId="60" fillId="2" borderId="55" xfId="0" applyNumberFormat="1" applyFont="1" applyFill="1" applyBorder="1" applyAlignment="1">
      <alignment horizontal="left" vertical="center"/>
    </xf>
    <xf numFmtId="168" fontId="60" fillId="2" borderId="62" xfId="0" applyNumberFormat="1" applyFont="1" applyFill="1" applyBorder="1" applyAlignment="1">
      <alignment horizontal="left" vertical="center"/>
    </xf>
    <xf numFmtId="0" fontId="59" fillId="3" borderId="63" xfId="0" applyFont="1" applyFill="1" applyBorder="1" applyAlignment="1">
      <alignment vertical="center"/>
    </xf>
    <xf numFmtId="0" fontId="60" fillId="3" borderId="56" xfId="0" applyFont="1" applyFill="1" applyBorder="1" applyAlignment="1">
      <alignment horizontal="left" vertical="center" wrapText="1"/>
    </xf>
    <xf numFmtId="0" fontId="60" fillId="3" borderId="64" xfId="0" applyFont="1" applyFill="1" applyBorder="1" applyAlignment="1">
      <alignment horizontal="left" vertical="center" wrapText="1"/>
    </xf>
    <xf numFmtId="164" fontId="26" fillId="5" borderId="1" xfId="0" applyNumberFormat="1" applyFont="1" applyFill="1" applyBorder="1" applyAlignment="1">
      <alignment horizontal="center" vertical="center"/>
    </xf>
    <xf numFmtId="164" fontId="20" fillId="5" borderId="1" xfId="0" applyNumberFormat="1" applyFont="1" applyFill="1" applyBorder="1" applyAlignment="1">
      <alignment horizontal="center" vertical="center"/>
    </xf>
    <xf numFmtId="164" fontId="26" fillId="9" borderId="1" xfId="0" applyNumberFormat="1" applyFont="1" applyFill="1" applyBorder="1" applyAlignment="1">
      <alignment horizontal="center" vertical="center"/>
    </xf>
    <xf numFmtId="164" fontId="20" fillId="9" borderId="1" xfId="0" applyNumberFormat="1" applyFont="1" applyFill="1" applyBorder="1" applyAlignment="1">
      <alignment horizontal="center" vertical="center"/>
    </xf>
    <xf numFmtId="164" fontId="26" fillId="13" borderId="1" xfId="0" applyNumberFormat="1" applyFont="1" applyFill="1" applyBorder="1" applyAlignment="1">
      <alignment horizontal="center" vertical="center"/>
    </xf>
    <xf numFmtId="164" fontId="20" fillId="10" borderId="1" xfId="0" applyNumberFormat="1" applyFont="1" applyFill="1" applyBorder="1" applyAlignment="1">
      <alignment horizontal="left" vertical="center"/>
    </xf>
    <xf numFmtId="164" fontId="26" fillId="11" borderId="1" xfId="0" applyNumberFormat="1" applyFont="1" applyFill="1" applyBorder="1" applyAlignment="1">
      <alignment horizontal="center" vertical="center"/>
    </xf>
    <xf numFmtId="164" fontId="26" fillId="0" borderId="1" xfId="0" applyNumberFormat="1" applyFont="1" applyBorder="1" applyAlignment="1">
      <alignment horizontal="center" vertical="center"/>
    </xf>
    <xf numFmtId="164" fontId="25" fillId="2" borderId="1" xfId="0" applyNumberFormat="1" applyFont="1" applyFill="1" applyBorder="1" applyAlignment="1">
      <alignment horizontal="left" vertical="center"/>
    </xf>
    <xf numFmtId="164" fontId="26" fillId="10" borderId="1" xfId="0" applyNumberFormat="1" applyFont="1" applyFill="1" applyBorder="1" applyAlignment="1">
      <alignment horizontal="center" vertical="center" wrapText="1"/>
    </xf>
    <xf numFmtId="164" fontId="20" fillId="10" borderId="1" xfId="0" applyNumberFormat="1" applyFont="1" applyFill="1" applyBorder="1" applyAlignment="1">
      <alignment horizontal="center" vertical="center" wrapText="1"/>
    </xf>
    <xf numFmtId="164" fontId="20" fillId="5" borderId="1" xfId="0" applyNumberFormat="1" applyFont="1" applyFill="1" applyBorder="1" applyAlignment="1">
      <alignment horizontal="center" vertical="center" wrapText="1"/>
    </xf>
    <xf numFmtId="164" fontId="20" fillId="11" borderId="1" xfId="0" applyNumberFormat="1" applyFont="1" applyFill="1" applyBorder="1" applyAlignment="1">
      <alignment horizontal="center" vertical="center" wrapText="1"/>
    </xf>
    <xf numFmtId="0" fontId="0" fillId="16" borderId="28" xfId="0" applyFill="1" applyBorder="1"/>
    <xf numFmtId="0" fontId="0" fillId="16" borderId="0" xfId="0" applyFill="1"/>
    <xf numFmtId="0" fontId="0" fillId="16" borderId="29" xfId="0" applyFill="1" applyBorder="1"/>
    <xf numFmtId="0" fontId="0" fillId="16" borderId="5" xfId="0" applyFill="1" applyBorder="1"/>
    <xf numFmtId="0" fontId="0" fillId="16" borderId="6" xfId="0" applyFill="1" applyBorder="1"/>
    <xf numFmtId="0" fontId="0" fillId="16" borderId="7" xfId="0" applyFill="1" applyBorder="1"/>
    <xf numFmtId="170" fontId="9" fillId="5" borderId="1" xfId="0" applyNumberFormat="1" applyFont="1" applyFill="1" applyBorder="1" applyAlignment="1">
      <alignment horizontal="center" vertical="center"/>
    </xf>
    <xf numFmtId="0" fontId="31" fillId="17" borderId="30" xfId="0" applyFont="1" applyFill="1" applyBorder="1" applyAlignment="1">
      <alignment horizontal="center"/>
    </xf>
    <xf numFmtId="0" fontId="31" fillId="17" borderId="16" xfId="0" applyFont="1" applyFill="1" applyBorder="1" applyAlignment="1">
      <alignment horizontal="center"/>
    </xf>
    <xf numFmtId="0" fontId="31" fillId="17" borderId="40" xfId="0" applyFont="1" applyFill="1" applyBorder="1" applyAlignment="1">
      <alignment horizontal="center"/>
    </xf>
    <xf numFmtId="0" fontId="30" fillId="17" borderId="28" xfId="0" applyFont="1" applyFill="1" applyBorder="1" applyAlignment="1">
      <alignment horizontal="center"/>
    </xf>
    <xf numFmtId="0" fontId="30" fillId="17" borderId="0" xfId="0" applyFont="1" applyFill="1" applyAlignment="1">
      <alignment horizontal="center"/>
    </xf>
    <xf numFmtId="0" fontId="30" fillId="17" borderId="29" xfId="0" applyFont="1" applyFill="1" applyBorder="1" applyAlignment="1">
      <alignment horizontal="center"/>
    </xf>
    <xf numFmtId="0" fontId="2" fillId="0" borderId="28" xfId="0" applyFont="1" applyBorder="1" applyAlignment="1">
      <alignment horizontal="center" wrapText="1"/>
    </xf>
    <xf numFmtId="0" fontId="2" fillId="0" borderId="0" xfId="0" applyFont="1" applyAlignment="1">
      <alignment horizontal="center" wrapText="1"/>
    </xf>
    <xf numFmtId="0" fontId="2" fillId="0" borderId="29" xfId="0" applyFont="1" applyBorder="1" applyAlignment="1">
      <alignment horizontal="center" wrapText="1"/>
    </xf>
    <xf numFmtId="0" fontId="30" fillId="17" borderId="28" xfId="0" applyFont="1" applyFill="1" applyBorder="1" applyAlignment="1">
      <alignment horizontal="center" vertical="center"/>
    </xf>
    <xf numFmtId="0" fontId="30" fillId="17" borderId="0" xfId="0" applyFont="1" applyFill="1" applyAlignment="1">
      <alignment horizontal="center" vertical="center"/>
    </xf>
    <xf numFmtId="0" fontId="30" fillId="17" borderId="29" xfId="0" applyFont="1" applyFill="1" applyBorder="1" applyAlignment="1">
      <alignment horizontal="center" vertical="center"/>
    </xf>
    <xf numFmtId="0" fontId="30" fillId="17" borderId="5" xfId="0" applyFont="1" applyFill="1" applyBorder="1" applyAlignment="1">
      <alignment horizontal="center" vertical="center"/>
    </xf>
    <xf numFmtId="0" fontId="30" fillId="17" borderId="6" xfId="0" applyFont="1" applyFill="1" applyBorder="1" applyAlignment="1">
      <alignment horizontal="center" vertical="center"/>
    </xf>
    <xf numFmtId="0" fontId="30" fillId="17" borderId="7" xfId="0" applyFont="1" applyFill="1" applyBorder="1" applyAlignment="1">
      <alignment horizontal="center" vertical="center"/>
    </xf>
    <xf numFmtId="15" fontId="81" fillId="17" borderId="28" xfId="0" quotePrefix="1" applyNumberFormat="1" applyFont="1" applyFill="1" applyBorder="1" applyAlignment="1">
      <alignment horizontal="center" wrapText="1"/>
    </xf>
    <xf numFmtId="0" fontId="81" fillId="17" borderId="0" xfId="0" applyFont="1" applyFill="1" applyAlignment="1">
      <alignment horizontal="center" wrapText="1"/>
    </xf>
    <xf numFmtId="0" fontId="81" fillId="17" borderId="29" xfId="0" applyFont="1" applyFill="1" applyBorder="1" applyAlignment="1">
      <alignment horizontal="center" wrapText="1"/>
    </xf>
    <xf numFmtId="0" fontId="77" fillId="15" borderId="28" xfId="0" applyFont="1" applyFill="1" applyBorder="1" applyAlignment="1">
      <alignment horizontal="left" vertical="top" wrapText="1"/>
    </xf>
    <xf numFmtId="0" fontId="77" fillId="15" borderId="0" xfId="0" applyFont="1" applyFill="1" applyAlignment="1">
      <alignment horizontal="left" vertical="top" wrapText="1"/>
    </xf>
    <xf numFmtId="0" fontId="77" fillId="15" borderId="29" xfId="0" applyFont="1" applyFill="1" applyBorder="1" applyAlignment="1">
      <alignment horizontal="left" vertical="top" wrapText="1"/>
    </xf>
    <xf numFmtId="0" fontId="31" fillId="17" borderId="30" xfId="0" applyFont="1" applyFill="1" applyBorder="1" applyAlignment="1">
      <alignment horizontal="center" vertical="center"/>
    </xf>
    <xf numFmtId="0" fontId="31" fillId="17" borderId="16" xfId="0" applyFont="1" applyFill="1" applyBorder="1" applyAlignment="1">
      <alignment horizontal="center" vertical="center"/>
    </xf>
    <xf numFmtId="0" fontId="31" fillId="17" borderId="40" xfId="0" applyFont="1" applyFill="1" applyBorder="1" applyAlignment="1">
      <alignment horizontal="center" vertical="center"/>
    </xf>
    <xf numFmtId="0" fontId="7" fillId="3" borderId="38" xfId="0" applyFont="1" applyFill="1" applyBorder="1" applyAlignment="1">
      <alignment horizontal="right" vertical="center"/>
    </xf>
    <xf numFmtId="0" fontId="9" fillId="3" borderId="14" xfId="0" applyFont="1" applyFill="1" applyBorder="1" applyAlignment="1">
      <alignment horizontal="right" vertical="center"/>
    </xf>
    <xf numFmtId="0" fontId="9" fillId="3" borderId="15" xfId="0" applyFont="1" applyFill="1" applyBorder="1" applyAlignment="1">
      <alignment horizontal="right" vertical="center"/>
    </xf>
    <xf numFmtId="0" fontId="9" fillId="3" borderId="38" xfId="0" applyFont="1" applyFill="1" applyBorder="1" applyAlignment="1">
      <alignment horizontal="right" vertical="center"/>
    </xf>
    <xf numFmtId="0" fontId="55" fillId="3" borderId="58" xfId="0" applyFont="1" applyFill="1" applyBorder="1" applyAlignment="1">
      <alignment horizontal="left" vertical="center"/>
    </xf>
    <xf numFmtId="0" fontId="55" fillId="3" borderId="60" xfId="0" applyFont="1" applyFill="1" applyBorder="1" applyAlignment="1">
      <alignment horizontal="left" vertical="center"/>
    </xf>
    <xf numFmtId="0" fontId="9" fillId="7" borderId="16" xfId="0" applyFont="1" applyFill="1" applyBorder="1" applyAlignment="1">
      <alignment horizontal="center" vertical="center"/>
    </xf>
    <xf numFmtId="0" fontId="9" fillId="7" borderId="0" xfId="0" applyFont="1" applyFill="1" applyAlignment="1">
      <alignment horizontal="center" vertical="center"/>
    </xf>
    <xf numFmtId="0" fontId="9" fillId="7" borderId="6"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3" xfId="0" applyFont="1" applyFill="1" applyBorder="1" applyAlignment="1">
      <alignment horizontal="center" vertical="center"/>
    </xf>
    <xf numFmtId="0" fontId="7" fillId="3" borderId="37" xfId="0" applyFont="1" applyFill="1" applyBorder="1" applyAlignment="1">
      <alignment horizontal="center" vertical="center"/>
    </xf>
    <xf numFmtId="0" fontId="7" fillId="3" borderId="34" xfId="0" applyFont="1" applyFill="1" applyBorder="1" applyAlignment="1">
      <alignment horizontal="center" vertical="center"/>
    </xf>
    <xf numFmtId="0" fontId="7" fillId="3" borderId="46" xfId="0" applyFont="1" applyFill="1" applyBorder="1" applyAlignment="1">
      <alignment horizontal="center" vertical="center"/>
    </xf>
    <xf numFmtId="0" fontId="9" fillId="3" borderId="39" xfId="0" applyFont="1" applyFill="1" applyBorder="1" applyAlignment="1">
      <alignment horizontal="right" vertical="center"/>
    </xf>
    <xf numFmtId="0" fontId="9" fillId="3" borderId="35" xfId="0" applyFont="1" applyFill="1" applyBorder="1" applyAlignment="1">
      <alignment horizontal="right" vertical="center"/>
    </xf>
    <xf numFmtId="0" fontId="9" fillId="3" borderId="36" xfId="0" applyFont="1" applyFill="1" applyBorder="1" applyAlignment="1">
      <alignment horizontal="right" vertical="center"/>
    </xf>
    <xf numFmtId="0" fontId="5" fillId="3" borderId="4" xfId="0" applyFont="1" applyFill="1" applyBorder="1" applyAlignment="1">
      <alignment horizontal="center" vertical="center"/>
    </xf>
    <xf numFmtId="0" fontId="49" fillId="14" borderId="30" xfId="0" applyFont="1" applyFill="1" applyBorder="1" applyAlignment="1">
      <alignment horizontal="center" vertical="center" textRotation="90"/>
    </xf>
    <xf numFmtId="0" fontId="49" fillId="14" borderId="16" xfId="0" applyFont="1" applyFill="1" applyBorder="1" applyAlignment="1">
      <alignment horizontal="center" vertical="center" textRotation="90"/>
    </xf>
    <xf numFmtId="0" fontId="49" fillId="14" borderId="28" xfId="0" applyFont="1" applyFill="1" applyBorder="1" applyAlignment="1">
      <alignment horizontal="center" vertical="center" textRotation="90"/>
    </xf>
    <xf numFmtId="0" fontId="49" fillId="14" borderId="29" xfId="0" applyFont="1" applyFill="1" applyBorder="1" applyAlignment="1">
      <alignment horizontal="center" vertical="center" textRotation="90"/>
    </xf>
    <xf numFmtId="0" fontId="49" fillId="14" borderId="5" xfId="0" applyFont="1" applyFill="1" applyBorder="1" applyAlignment="1">
      <alignment horizontal="center" vertical="center" textRotation="90"/>
    </xf>
    <xf numFmtId="0" fontId="49" fillId="14" borderId="7" xfId="0" applyFont="1" applyFill="1" applyBorder="1" applyAlignment="1">
      <alignment horizontal="center" vertical="center" textRotation="90"/>
    </xf>
    <xf numFmtId="0" fontId="7" fillId="3" borderId="19" xfId="0" applyFont="1" applyFill="1" applyBorder="1" applyAlignment="1">
      <alignment horizontal="center" vertical="center"/>
    </xf>
    <xf numFmtId="0" fontId="7" fillId="3" borderId="20" xfId="0" applyFont="1" applyFill="1" applyBorder="1" applyAlignment="1">
      <alignment horizontal="center" vertical="center"/>
    </xf>
    <xf numFmtId="0" fontId="7" fillId="3" borderId="21" xfId="0" applyFont="1" applyFill="1" applyBorder="1" applyAlignment="1">
      <alignment horizontal="center" vertical="center"/>
    </xf>
    <xf numFmtId="0" fontId="58" fillId="3" borderId="56" xfId="0" applyFont="1" applyFill="1" applyBorder="1" applyAlignment="1">
      <alignment horizontal="left" vertical="center"/>
    </xf>
    <xf numFmtId="0" fontId="58" fillId="3" borderId="64" xfId="0" applyFont="1" applyFill="1" applyBorder="1" applyAlignment="1">
      <alignment horizontal="left" vertical="center"/>
    </xf>
    <xf numFmtId="0" fontId="53" fillId="3" borderId="9" xfId="0" applyFont="1" applyFill="1" applyBorder="1" applyAlignment="1">
      <alignment horizontal="left" vertical="center" wrapText="1"/>
    </xf>
    <xf numFmtId="0" fontId="53" fillId="3" borderId="4" xfId="0" applyFont="1" applyFill="1" applyBorder="1" applyAlignment="1">
      <alignment horizontal="left" vertical="center" wrapText="1"/>
    </xf>
    <xf numFmtId="0" fontId="53" fillId="2" borderId="9" xfId="0" applyFont="1" applyFill="1" applyBorder="1" applyAlignment="1">
      <alignment horizontal="left" vertical="center"/>
    </xf>
    <xf numFmtId="0" fontId="53" fillId="2" borderId="4" xfId="0" applyFont="1" applyFill="1" applyBorder="1" applyAlignment="1">
      <alignment horizontal="left" vertical="center"/>
    </xf>
    <xf numFmtId="164" fontId="58" fillId="2" borderId="55" xfId="0" applyNumberFormat="1" applyFont="1" applyFill="1" applyBorder="1" applyAlignment="1">
      <alignment horizontal="left" vertical="center"/>
    </xf>
    <xf numFmtId="164" fontId="58" fillId="2" borderId="62" xfId="0" applyNumberFormat="1" applyFont="1" applyFill="1" applyBorder="1" applyAlignment="1">
      <alignment horizontal="left" vertical="center"/>
    </xf>
    <xf numFmtId="164" fontId="58" fillId="3" borderId="52" xfId="0" applyNumberFormat="1" applyFont="1" applyFill="1" applyBorder="1" applyAlignment="1">
      <alignment horizontal="left" vertical="center"/>
    </xf>
    <xf numFmtId="164" fontId="58" fillId="3" borderId="41" xfId="0" applyNumberFormat="1" applyFont="1" applyFill="1" applyBorder="1" applyAlignment="1">
      <alignment horizontal="left" vertical="center"/>
    </xf>
    <xf numFmtId="0" fontId="7" fillId="3" borderId="45" xfId="0" applyFont="1" applyFill="1" applyBorder="1" applyAlignment="1">
      <alignment horizontal="right" vertical="center"/>
    </xf>
    <xf numFmtId="0" fontId="7" fillId="3" borderId="31" xfId="0" applyFont="1" applyFill="1" applyBorder="1" applyAlignment="1">
      <alignment horizontal="right" vertical="center"/>
    </xf>
    <xf numFmtId="0" fontId="9" fillId="3" borderId="43" xfId="0" applyFont="1" applyFill="1" applyBorder="1" applyAlignment="1">
      <alignment horizontal="right" vertical="center"/>
    </xf>
    <xf numFmtId="0" fontId="9" fillId="3" borderId="12" xfId="0" applyFont="1" applyFill="1" applyBorder="1" applyAlignment="1">
      <alignment horizontal="right" vertical="center"/>
    </xf>
    <xf numFmtId="0" fontId="9" fillId="3" borderId="13" xfId="0" applyFont="1" applyFill="1" applyBorder="1" applyAlignment="1">
      <alignment horizontal="right" vertical="center"/>
    </xf>
    <xf numFmtId="0" fontId="5" fillId="3" borderId="40" xfId="0" applyFont="1" applyFill="1" applyBorder="1" applyAlignment="1">
      <alignment horizontal="center" vertical="center"/>
    </xf>
    <xf numFmtId="0" fontId="52" fillId="4" borderId="2" xfId="0" applyFont="1" applyFill="1" applyBorder="1" applyAlignment="1">
      <alignment horizontal="center" vertical="center"/>
    </xf>
    <xf numFmtId="0" fontId="52" fillId="4" borderId="3" xfId="0" applyFont="1" applyFill="1" applyBorder="1" applyAlignment="1">
      <alignment horizontal="center" vertical="center"/>
    </xf>
    <xf numFmtId="0" fontId="52" fillId="4" borderId="4" xfId="0" applyFont="1" applyFill="1" applyBorder="1" applyAlignment="1">
      <alignment horizontal="center" vertical="center"/>
    </xf>
    <xf numFmtId="0" fontId="74" fillId="4" borderId="16" xfId="0" applyFont="1" applyFill="1" applyBorder="1" applyAlignment="1">
      <alignment horizontal="center" vertical="center" wrapText="1"/>
    </xf>
    <xf numFmtId="0" fontId="74" fillId="4" borderId="0" xfId="0" applyFont="1" applyFill="1" applyAlignment="1">
      <alignment horizontal="center" vertical="center" wrapText="1"/>
    </xf>
    <xf numFmtId="0" fontId="9" fillId="7" borderId="30" xfId="0" applyFont="1" applyFill="1" applyBorder="1" applyAlignment="1">
      <alignment horizontal="center" vertical="center"/>
    </xf>
    <xf numFmtId="0" fontId="9" fillId="7" borderId="28" xfId="0" applyFont="1" applyFill="1" applyBorder="1" applyAlignment="1">
      <alignment horizontal="center" vertical="center"/>
    </xf>
    <xf numFmtId="0" fontId="53" fillId="3" borderId="54" xfId="0" applyFont="1" applyFill="1" applyBorder="1" applyAlignment="1">
      <alignment horizontal="left" vertical="center" wrapText="1"/>
    </xf>
    <xf numFmtId="0" fontId="53" fillId="3" borderId="40" xfId="0" applyFont="1" applyFill="1" applyBorder="1" applyAlignment="1">
      <alignment horizontal="left" vertical="center" wrapText="1"/>
    </xf>
    <xf numFmtId="164" fontId="9" fillId="8" borderId="10" xfId="0" applyNumberFormat="1" applyFont="1" applyFill="1" applyBorder="1" applyAlignment="1">
      <alignment horizontal="left" vertical="center"/>
    </xf>
    <xf numFmtId="164" fontId="9" fillId="8" borderId="7" xfId="0" applyNumberFormat="1" applyFont="1" applyFill="1" applyBorder="1" applyAlignment="1">
      <alignment horizontal="left" vertical="center"/>
    </xf>
    <xf numFmtId="0" fontId="9" fillId="3" borderId="50" xfId="0" applyFont="1" applyFill="1" applyBorder="1" applyAlignment="1">
      <alignment horizontal="right" vertical="center"/>
    </xf>
    <xf numFmtId="0" fontId="9" fillId="3" borderId="49" xfId="0" applyFont="1" applyFill="1" applyBorder="1" applyAlignment="1">
      <alignment horizontal="right" vertical="center"/>
    </xf>
    <xf numFmtId="0" fontId="9" fillId="3" borderId="48" xfId="0" applyFont="1" applyFill="1" applyBorder="1" applyAlignment="1">
      <alignment horizontal="right" vertical="center"/>
    </xf>
  </cellXfs>
  <cellStyles count="1">
    <cellStyle name="Normal" xfId="0" builtinId="0"/>
  </cellStyles>
  <dxfs count="50">
    <dxf>
      <numFmt numFmtId="2" formatCode="0.00"/>
    </dxf>
    <dxf>
      <numFmt numFmtId="2" formatCode="0.00"/>
    </dxf>
    <dxf>
      <numFmt numFmtId="2" formatCode="0.00"/>
    </dxf>
    <dxf>
      <numFmt numFmtId="2" formatCode="0.00"/>
    </dxf>
    <dxf>
      <numFmt numFmtId="2" formatCode="0.00"/>
    </dxf>
    <dxf>
      <numFmt numFmtId="164" formatCode="0.0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0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6"/>
  <sheetViews>
    <sheetView zoomScale="90" zoomScaleNormal="90" workbookViewId="0">
      <selection activeCell="A3" sqref="A3:R3"/>
    </sheetView>
  </sheetViews>
  <sheetFormatPr baseColWidth="10" defaultColWidth="9.1640625" defaultRowHeight="15" x14ac:dyDescent="0.2"/>
  <cols>
    <col min="1" max="16384" width="9.1640625" style="155"/>
  </cols>
  <sheetData>
    <row r="1" spans="1:18" ht="62" x14ac:dyDescent="0.7">
      <c r="A1" s="283" t="s">
        <v>318</v>
      </c>
      <c r="B1" s="284"/>
      <c r="C1" s="284"/>
      <c r="D1" s="284"/>
      <c r="E1" s="284"/>
      <c r="F1" s="284"/>
      <c r="G1" s="284"/>
      <c r="H1" s="284"/>
      <c r="I1" s="284"/>
      <c r="J1" s="284"/>
      <c r="K1" s="284"/>
      <c r="L1" s="284"/>
      <c r="M1" s="284"/>
      <c r="N1" s="284"/>
      <c r="O1" s="284"/>
      <c r="P1" s="284"/>
      <c r="Q1" s="284"/>
      <c r="R1" s="285"/>
    </row>
    <row r="2" spans="1:18" ht="33.75" customHeight="1" x14ac:dyDescent="0.35">
      <c r="A2" s="298" t="s">
        <v>331</v>
      </c>
      <c r="B2" s="299"/>
      <c r="C2" s="299"/>
      <c r="D2" s="299"/>
      <c r="E2" s="299"/>
      <c r="F2" s="299"/>
      <c r="G2" s="299"/>
      <c r="H2" s="299"/>
      <c r="I2" s="299"/>
      <c r="J2" s="299"/>
      <c r="K2" s="299"/>
      <c r="L2" s="299"/>
      <c r="M2" s="299"/>
      <c r="N2" s="299"/>
      <c r="O2" s="299"/>
      <c r="P2" s="299"/>
      <c r="Q2" s="299"/>
      <c r="R2" s="300"/>
    </row>
    <row r="3" spans="1:18" ht="21" x14ac:dyDescent="0.25">
      <c r="A3" s="286" t="s">
        <v>265</v>
      </c>
      <c r="B3" s="287"/>
      <c r="C3" s="287"/>
      <c r="D3" s="287"/>
      <c r="E3" s="287"/>
      <c r="F3" s="287"/>
      <c r="G3" s="287"/>
      <c r="H3" s="287"/>
      <c r="I3" s="287"/>
      <c r="J3" s="287"/>
      <c r="K3" s="287"/>
      <c r="L3" s="287"/>
      <c r="M3" s="287"/>
      <c r="N3" s="287"/>
      <c r="O3" s="287"/>
      <c r="P3" s="287"/>
      <c r="Q3" s="287"/>
      <c r="R3" s="288"/>
    </row>
    <row r="4" spans="1:18" ht="15" customHeight="1" x14ac:dyDescent="0.2">
      <c r="A4" s="289" t="s">
        <v>327</v>
      </c>
      <c r="B4" s="290"/>
      <c r="C4" s="290"/>
      <c r="D4" s="290"/>
      <c r="E4" s="290"/>
      <c r="F4" s="290"/>
      <c r="G4" s="290"/>
      <c r="H4" s="290"/>
      <c r="I4" s="290"/>
      <c r="J4" s="290"/>
      <c r="K4" s="290"/>
      <c r="L4" s="290"/>
      <c r="M4" s="290"/>
      <c r="N4" s="290"/>
      <c r="O4" s="290"/>
      <c r="P4" s="290"/>
      <c r="Q4" s="290"/>
      <c r="R4" s="291"/>
    </row>
    <row r="5" spans="1:18" ht="15" customHeight="1" x14ac:dyDescent="0.2">
      <c r="A5" s="289"/>
      <c r="B5" s="290"/>
      <c r="C5" s="290"/>
      <c r="D5" s="290"/>
      <c r="E5" s="290"/>
      <c r="F5" s="290"/>
      <c r="G5" s="290"/>
      <c r="H5" s="290"/>
      <c r="I5" s="290"/>
      <c r="J5" s="290"/>
      <c r="K5" s="290"/>
      <c r="L5" s="290"/>
      <c r="M5" s="290"/>
      <c r="N5" s="290"/>
      <c r="O5" s="290"/>
      <c r="P5" s="290"/>
      <c r="Q5" s="290"/>
      <c r="R5" s="291"/>
    </row>
    <row r="6" spans="1:18" ht="15" customHeight="1" x14ac:dyDescent="0.2">
      <c r="A6" s="289"/>
      <c r="B6" s="290"/>
      <c r="C6" s="290"/>
      <c r="D6" s="290"/>
      <c r="E6" s="290"/>
      <c r="F6" s="290"/>
      <c r="G6" s="290"/>
      <c r="H6" s="290"/>
      <c r="I6" s="290"/>
      <c r="J6" s="290"/>
      <c r="K6" s="290"/>
      <c r="L6" s="290"/>
      <c r="M6" s="290"/>
      <c r="N6" s="290"/>
      <c r="O6" s="290"/>
      <c r="P6" s="290"/>
      <c r="Q6" s="290"/>
      <c r="R6" s="291"/>
    </row>
    <row r="7" spans="1:18" ht="15" customHeight="1" x14ac:dyDescent="0.2">
      <c r="A7" s="289"/>
      <c r="B7" s="290"/>
      <c r="C7" s="290"/>
      <c r="D7" s="290"/>
      <c r="E7" s="290"/>
      <c r="F7" s="290"/>
      <c r="G7" s="290"/>
      <c r="H7" s="290"/>
      <c r="I7" s="290"/>
      <c r="J7" s="290"/>
      <c r="K7" s="290"/>
      <c r="L7" s="290"/>
      <c r="M7" s="290"/>
      <c r="N7" s="290"/>
      <c r="O7" s="290"/>
      <c r="P7" s="290"/>
      <c r="Q7" s="290"/>
      <c r="R7" s="291"/>
    </row>
    <row r="8" spans="1:18" ht="15" customHeight="1" x14ac:dyDescent="0.2">
      <c r="A8" s="289"/>
      <c r="B8" s="290"/>
      <c r="C8" s="290"/>
      <c r="D8" s="290"/>
      <c r="E8" s="290"/>
      <c r="F8" s="290"/>
      <c r="G8" s="290"/>
      <c r="H8" s="290"/>
      <c r="I8" s="290"/>
      <c r="J8" s="290"/>
      <c r="K8" s="290"/>
      <c r="L8" s="290"/>
      <c r="M8" s="290"/>
      <c r="N8" s="290"/>
      <c r="O8" s="290"/>
      <c r="P8" s="290"/>
      <c r="Q8" s="290"/>
      <c r="R8" s="291"/>
    </row>
    <row r="9" spans="1:18" ht="15" customHeight="1" x14ac:dyDescent="0.2">
      <c r="A9" s="289"/>
      <c r="B9" s="290"/>
      <c r="C9" s="290"/>
      <c r="D9" s="290"/>
      <c r="E9" s="290"/>
      <c r="F9" s="290"/>
      <c r="G9" s="290"/>
      <c r="H9" s="290"/>
      <c r="I9" s="290"/>
      <c r="J9" s="290"/>
      <c r="K9" s="290"/>
      <c r="L9" s="290"/>
      <c r="M9" s="290"/>
      <c r="N9" s="290"/>
      <c r="O9" s="290"/>
      <c r="P9" s="290"/>
      <c r="Q9" s="290"/>
      <c r="R9" s="291"/>
    </row>
    <row r="10" spans="1:18" ht="15" customHeight="1" x14ac:dyDescent="0.2">
      <c r="A10" s="289"/>
      <c r="B10" s="290"/>
      <c r="C10" s="290"/>
      <c r="D10" s="290"/>
      <c r="E10" s="290"/>
      <c r="F10" s="290"/>
      <c r="G10" s="290"/>
      <c r="H10" s="290"/>
      <c r="I10" s="290"/>
      <c r="J10" s="290"/>
      <c r="K10" s="290"/>
      <c r="L10" s="290"/>
      <c r="M10" s="290"/>
      <c r="N10" s="290"/>
      <c r="O10" s="290"/>
      <c r="P10" s="290"/>
      <c r="Q10" s="290"/>
      <c r="R10" s="291"/>
    </row>
    <row r="11" spans="1:18" ht="15" customHeight="1" x14ac:dyDescent="0.2">
      <c r="A11" s="289"/>
      <c r="B11" s="290"/>
      <c r="C11" s="290"/>
      <c r="D11" s="290"/>
      <c r="E11" s="290"/>
      <c r="F11" s="290"/>
      <c r="G11" s="290"/>
      <c r="H11" s="290"/>
      <c r="I11" s="290"/>
      <c r="J11" s="290"/>
      <c r="K11" s="290"/>
      <c r="L11" s="290"/>
      <c r="M11" s="290"/>
      <c r="N11" s="290"/>
      <c r="O11" s="290"/>
      <c r="P11" s="290"/>
      <c r="Q11" s="290"/>
      <c r="R11" s="291"/>
    </row>
    <row r="12" spans="1:18" ht="15" customHeight="1" x14ac:dyDescent="0.2">
      <c r="A12" s="289"/>
      <c r="B12" s="290"/>
      <c r="C12" s="290"/>
      <c r="D12" s="290"/>
      <c r="E12" s="290"/>
      <c r="F12" s="290"/>
      <c r="G12" s="290"/>
      <c r="H12" s="290"/>
      <c r="I12" s="290"/>
      <c r="J12" s="290"/>
      <c r="K12" s="290"/>
      <c r="L12" s="290"/>
      <c r="M12" s="290"/>
      <c r="N12" s="290"/>
      <c r="O12" s="290"/>
      <c r="P12" s="290"/>
      <c r="Q12" s="290"/>
      <c r="R12" s="291"/>
    </row>
    <row r="13" spans="1:18" ht="15" customHeight="1" x14ac:dyDescent="0.2">
      <c r="A13" s="289"/>
      <c r="B13" s="290"/>
      <c r="C13" s="290"/>
      <c r="D13" s="290"/>
      <c r="E13" s="290"/>
      <c r="F13" s="290"/>
      <c r="G13" s="290"/>
      <c r="H13" s="290"/>
      <c r="I13" s="290"/>
      <c r="J13" s="290"/>
      <c r="K13" s="290"/>
      <c r="L13" s="290"/>
      <c r="M13" s="290"/>
      <c r="N13" s="290"/>
      <c r="O13" s="290"/>
      <c r="P13" s="290"/>
      <c r="Q13" s="290"/>
      <c r="R13" s="291"/>
    </row>
    <row r="14" spans="1:18" ht="15" customHeight="1" x14ac:dyDescent="0.2">
      <c r="A14" s="289"/>
      <c r="B14" s="290"/>
      <c r="C14" s="290"/>
      <c r="D14" s="290"/>
      <c r="E14" s="290"/>
      <c r="F14" s="290"/>
      <c r="G14" s="290"/>
      <c r="H14" s="290"/>
      <c r="I14" s="290"/>
      <c r="J14" s="290"/>
      <c r="K14" s="290"/>
      <c r="L14" s="290"/>
      <c r="M14" s="290"/>
      <c r="N14" s="290"/>
      <c r="O14" s="290"/>
      <c r="P14" s="290"/>
      <c r="Q14" s="290"/>
      <c r="R14" s="291"/>
    </row>
    <row r="15" spans="1:18" ht="15" customHeight="1" x14ac:dyDescent="0.2">
      <c r="A15" s="289"/>
      <c r="B15" s="290"/>
      <c r="C15" s="290"/>
      <c r="D15" s="290"/>
      <c r="E15" s="290"/>
      <c r="F15" s="290"/>
      <c r="G15" s="290"/>
      <c r="H15" s="290"/>
      <c r="I15" s="290"/>
      <c r="J15" s="290"/>
      <c r="K15" s="290"/>
      <c r="L15" s="290"/>
      <c r="M15" s="290"/>
      <c r="N15" s="290"/>
      <c r="O15" s="290"/>
      <c r="P15" s="290"/>
      <c r="Q15" s="290"/>
      <c r="R15" s="291"/>
    </row>
    <row r="16" spans="1:18" ht="15" customHeight="1" x14ac:dyDescent="0.2">
      <c r="A16" s="289"/>
      <c r="B16" s="290"/>
      <c r="C16" s="290"/>
      <c r="D16" s="290"/>
      <c r="E16" s="290"/>
      <c r="F16" s="290"/>
      <c r="G16" s="290"/>
      <c r="H16" s="290"/>
      <c r="I16" s="290"/>
      <c r="J16" s="290"/>
      <c r="K16" s="290"/>
      <c r="L16" s="290"/>
      <c r="M16" s="290"/>
      <c r="N16" s="290"/>
      <c r="O16" s="290"/>
      <c r="P16" s="290"/>
      <c r="Q16" s="290"/>
      <c r="R16" s="291"/>
    </row>
    <row r="17" spans="1:18" ht="15" customHeight="1" x14ac:dyDescent="0.2">
      <c r="A17" s="289"/>
      <c r="B17" s="290"/>
      <c r="C17" s="290"/>
      <c r="D17" s="290"/>
      <c r="E17" s="290"/>
      <c r="F17" s="290"/>
      <c r="G17" s="290"/>
      <c r="H17" s="290"/>
      <c r="I17" s="290"/>
      <c r="J17" s="290"/>
      <c r="K17" s="290"/>
      <c r="L17" s="290"/>
      <c r="M17" s="290"/>
      <c r="N17" s="290"/>
      <c r="O17" s="290"/>
      <c r="P17" s="290"/>
      <c r="Q17" s="290"/>
      <c r="R17" s="291"/>
    </row>
    <row r="18" spans="1:18" ht="15" customHeight="1" x14ac:dyDescent="0.2">
      <c r="A18" s="289"/>
      <c r="B18" s="290"/>
      <c r="C18" s="290"/>
      <c r="D18" s="290"/>
      <c r="E18" s="290"/>
      <c r="F18" s="290"/>
      <c r="G18" s="290"/>
      <c r="H18" s="290"/>
      <c r="I18" s="290"/>
      <c r="J18" s="290"/>
      <c r="K18" s="290"/>
      <c r="L18" s="290"/>
      <c r="M18" s="290"/>
      <c r="N18" s="290"/>
      <c r="O18" s="290"/>
      <c r="P18" s="290"/>
      <c r="Q18" s="290"/>
      <c r="R18" s="291"/>
    </row>
    <row r="19" spans="1:18" ht="15" customHeight="1" x14ac:dyDescent="0.2">
      <c r="A19" s="289"/>
      <c r="B19" s="290"/>
      <c r="C19" s="290"/>
      <c r="D19" s="290"/>
      <c r="E19" s="290"/>
      <c r="F19" s="290"/>
      <c r="G19" s="290"/>
      <c r="H19" s="290"/>
      <c r="I19" s="290"/>
      <c r="J19" s="290"/>
      <c r="K19" s="290"/>
      <c r="L19" s="290"/>
      <c r="M19" s="290"/>
      <c r="N19" s="290"/>
      <c r="O19" s="290"/>
      <c r="P19" s="290"/>
      <c r="Q19" s="290"/>
      <c r="R19" s="291"/>
    </row>
    <row r="20" spans="1:18" ht="15" customHeight="1" x14ac:dyDescent="0.2">
      <c r="A20" s="289"/>
      <c r="B20" s="290"/>
      <c r="C20" s="290"/>
      <c r="D20" s="290"/>
      <c r="E20" s="290"/>
      <c r="F20" s="290"/>
      <c r="G20" s="290"/>
      <c r="H20" s="290"/>
      <c r="I20" s="290"/>
      <c r="J20" s="290"/>
      <c r="K20" s="290"/>
      <c r="L20" s="290"/>
      <c r="M20" s="290"/>
      <c r="N20" s="290"/>
      <c r="O20" s="290"/>
      <c r="P20" s="290"/>
      <c r="Q20" s="290"/>
      <c r="R20" s="291"/>
    </row>
    <row r="21" spans="1:18" ht="15" customHeight="1" x14ac:dyDescent="0.2">
      <c r="A21" s="289"/>
      <c r="B21" s="290"/>
      <c r="C21" s="290"/>
      <c r="D21" s="290"/>
      <c r="E21" s="290"/>
      <c r="F21" s="290"/>
      <c r="G21" s="290"/>
      <c r="H21" s="290"/>
      <c r="I21" s="290"/>
      <c r="J21" s="290"/>
      <c r="K21" s="290"/>
      <c r="L21" s="290"/>
      <c r="M21" s="290"/>
      <c r="N21" s="290"/>
      <c r="O21" s="290"/>
      <c r="P21" s="290"/>
      <c r="Q21" s="290"/>
      <c r="R21" s="291"/>
    </row>
    <row r="22" spans="1:18" x14ac:dyDescent="0.2">
      <c r="A22" s="289"/>
      <c r="B22" s="290"/>
      <c r="C22" s="290"/>
      <c r="D22" s="290"/>
      <c r="E22" s="290"/>
      <c r="F22" s="290"/>
      <c r="G22" s="290"/>
      <c r="H22" s="290"/>
      <c r="I22" s="290"/>
      <c r="J22" s="290"/>
      <c r="K22" s="290"/>
      <c r="L22" s="290"/>
      <c r="M22" s="290"/>
      <c r="N22" s="290"/>
      <c r="O22" s="290"/>
      <c r="P22" s="290"/>
      <c r="Q22" s="290"/>
      <c r="R22" s="291"/>
    </row>
    <row r="23" spans="1:18" x14ac:dyDescent="0.2">
      <c r="A23" s="289"/>
      <c r="B23" s="290"/>
      <c r="C23" s="290"/>
      <c r="D23" s="290"/>
      <c r="E23" s="290"/>
      <c r="F23" s="290"/>
      <c r="G23" s="290"/>
      <c r="H23" s="290"/>
      <c r="I23" s="290"/>
      <c r="J23" s="290"/>
      <c r="K23" s="290"/>
      <c r="L23" s="290"/>
      <c r="M23" s="290"/>
      <c r="N23" s="290"/>
      <c r="O23" s="290"/>
      <c r="P23" s="290"/>
      <c r="Q23" s="290"/>
      <c r="R23" s="291"/>
    </row>
    <row r="24" spans="1:18" x14ac:dyDescent="0.2">
      <c r="A24" s="289"/>
      <c r="B24" s="290"/>
      <c r="C24" s="290"/>
      <c r="D24" s="290"/>
      <c r="E24" s="290"/>
      <c r="F24" s="290"/>
      <c r="G24" s="290"/>
      <c r="H24" s="290"/>
      <c r="I24" s="290"/>
      <c r="J24" s="290"/>
      <c r="K24" s="290"/>
      <c r="L24" s="290"/>
      <c r="M24" s="290"/>
      <c r="N24" s="290"/>
      <c r="O24" s="290"/>
      <c r="P24" s="290"/>
      <c r="Q24" s="290"/>
      <c r="R24" s="291"/>
    </row>
    <row r="25" spans="1:18" x14ac:dyDescent="0.2">
      <c r="A25" s="289"/>
      <c r="B25" s="290"/>
      <c r="C25" s="290"/>
      <c r="D25" s="290"/>
      <c r="E25" s="290"/>
      <c r="F25" s="290"/>
      <c r="G25" s="290"/>
      <c r="H25" s="290"/>
      <c r="I25" s="290"/>
      <c r="J25" s="290"/>
      <c r="K25" s="290"/>
      <c r="L25" s="290"/>
      <c r="M25" s="290"/>
      <c r="N25" s="290"/>
      <c r="O25" s="290"/>
      <c r="P25" s="290"/>
      <c r="Q25" s="290"/>
      <c r="R25" s="291"/>
    </row>
    <row r="26" spans="1:18" x14ac:dyDescent="0.2">
      <c r="A26" s="289"/>
      <c r="B26" s="290"/>
      <c r="C26" s="290"/>
      <c r="D26" s="290"/>
      <c r="E26" s="290"/>
      <c r="F26" s="290"/>
      <c r="G26" s="290"/>
      <c r="H26" s="290"/>
      <c r="I26" s="290"/>
      <c r="J26" s="290"/>
      <c r="K26" s="290"/>
      <c r="L26" s="290"/>
      <c r="M26" s="290"/>
      <c r="N26" s="290"/>
      <c r="O26" s="290"/>
      <c r="P26" s="290"/>
      <c r="Q26" s="290"/>
      <c r="R26" s="291"/>
    </row>
    <row r="27" spans="1:18" x14ac:dyDescent="0.2">
      <c r="A27" s="289"/>
      <c r="B27" s="290"/>
      <c r="C27" s="290"/>
      <c r="D27" s="290"/>
      <c r="E27" s="290"/>
      <c r="F27" s="290"/>
      <c r="G27" s="290"/>
      <c r="H27" s="290"/>
      <c r="I27" s="290"/>
      <c r="J27" s="290"/>
      <c r="K27" s="290"/>
      <c r="L27" s="290"/>
      <c r="M27" s="290"/>
      <c r="N27" s="290"/>
      <c r="O27" s="290"/>
      <c r="P27" s="290"/>
      <c r="Q27" s="290"/>
      <c r="R27" s="291"/>
    </row>
    <row r="28" spans="1:18" x14ac:dyDescent="0.2">
      <c r="A28" s="289"/>
      <c r="B28" s="290"/>
      <c r="C28" s="290"/>
      <c r="D28" s="290"/>
      <c r="E28" s="290"/>
      <c r="F28" s="290"/>
      <c r="G28" s="290"/>
      <c r="H28" s="290"/>
      <c r="I28" s="290"/>
      <c r="J28" s="290"/>
      <c r="K28" s="290"/>
      <c r="L28" s="290"/>
      <c r="M28" s="290"/>
      <c r="N28" s="290"/>
      <c r="O28" s="290"/>
      <c r="P28" s="290"/>
      <c r="Q28" s="290"/>
      <c r="R28" s="291"/>
    </row>
    <row r="29" spans="1:18" x14ac:dyDescent="0.2">
      <c r="A29" s="289"/>
      <c r="B29" s="290"/>
      <c r="C29" s="290"/>
      <c r="D29" s="290"/>
      <c r="E29" s="290"/>
      <c r="F29" s="290"/>
      <c r="G29" s="290"/>
      <c r="H29" s="290"/>
      <c r="I29" s="290"/>
      <c r="J29" s="290"/>
      <c r="K29" s="290"/>
      <c r="L29" s="290"/>
      <c r="M29" s="290"/>
      <c r="N29" s="290"/>
      <c r="O29" s="290"/>
      <c r="P29" s="290"/>
      <c r="Q29" s="290"/>
      <c r="R29" s="291"/>
    </row>
    <row r="30" spans="1:18" x14ac:dyDescent="0.2">
      <c r="A30" s="289"/>
      <c r="B30" s="290"/>
      <c r="C30" s="290"/>
      <c r="D30" s="290"/>
      <c r="E30" s="290"/>
      <c r="F30" s="290"/>
      <c r="G30" s="290"/>
      <c r="H30" s="290"/>
      <c r="I30" s="290"/>
      <c r="J30" s="290"/>
      <c r="K30" s="290"/>
      <c r="L30" s="290"/>
      <c r="M30" s="290"/>
      <c r="N30" s="290"/>
      <c r="O30" s="290"/>
      <c r="P30" s="290"/>
      <c r="Q30" s="290"/>
      <c r="R30" s="291"/>
    </row>
    <row r="31" spans="1:18" x14ac:dyDescent="0.2">
      <c r="A31" s="289"/>
      <c r="B31" s="290"/>
      <c r="C31" s="290"/>
      <c r="D31" s="290"/>
      <c r="E31" s="290"/>
      <c r="F31" s="290"/>
      <c r="G31" s="290"/>
      <c r="H31" s="290"/>
      <c r="I31" s="290"/>
      <c r="J31" s="290"/>
      <c r="K31" s="290"/>
      <c r="L31" s="290"/>
      <c r="M31" s="290"/>
      <c r="N31" s="290"/>
      <c r="O31" s="290"/>
      <c r="P31" s="290"/>
      <c r="Q31" s="290"/>
      <c r="R31" s="291"/>
    </row>
    <row r="32" spans="1:18" x14ac:dyDescent="0.2">
      <c r="A32" s="289"/>
      <c r="B32" s="290"/>
      <c r="C32" s="290"/>
      <c r="D32" s="290"/>
      <c r="E32" s="290"/>
      <c r="F32" s="290"/>
      <c r="G32" s="290"/>
      <c r="H32" s="290"/>
      <c r="I32" s="290"/>
      <c r="J32" s="290"/>
      <c r="K32" s="290"/>
      <c r="L32" s="290"/>
      <c r="M32" s="290"/>
      <c r="N32" s="290"/>
      <c r="O32" s="290"/>
      <c r="P32" s="290"/>
      <c r="Q32" s="290"/>
      <c r="R32" s="291"/>
    </row>
    <row r="33" spans="1:18" x14ac:dyDescent="0.2">
      <c r="A33" s="289"/>
      <c r="B33" s="290"/>
      <c r="C33" s="290"/>
      <c r="D33" s="290"/>
      <c r="E33" s="290"/>
      <c r="F33" s="290"/>
      <c r="G33" s="290"/>
      <c r="H33" s="290"/>
      <c r="I33" s="290"/>
      <c r="J33" s="290"/>
      <c r="K33" s="290"/>
      <c r="L33" s="290"/>
      <c r="M33" s="290"/>
      <c r="N33" s="290"/>
      <c r="O33" s="290"/>
      <c r="P33" s="290"/>
      <c r="Q33" s="290"/>
      <c r="R33" s="291"/>
    </row>
    <row r="34" spans="1:18" x14ac:dyDescent="0.2">
      <c r="A34" s="292" t="s">
        <v>266</v>
      </c>
      <c r="B34" s="293"/>
      <c r="C34" s="293"/>
      <c r="D34" s="293"/>
      <c r="E34" s="293"/>
      <c r="F34" s="293"/>
      <c r="G34" s="293"/>
      <c r="H34" s="293"/>
      <c r="I34" s="293"/>
      <c r="J34" s="293"/>
      <c r="K34" s="293"/>
      <c r="L34" s="293"/>
      <c r="M34" s="293"/>
      <c r="N34" s="293"/>
      <c r="O34" s="293"/>
      <c r="P34" s="293"/>
      <c r="Q34" s="293"/>
      <c r="R34" s="294"/>
    </row>
    <row r="35" spans="1:18" x14ac:dyDescent="0.2">
      <c r="A35" s="292"/>
      <c r="B35" s="293"/>
      <c r="C35" s="293"/>
      <c r="D35" s="293"/>
      <c r="E35" s="293"/>
      <c r="F35" s="293"/>
      <c r="G35" s="293"/>
      <c r="H35" s="293"/>
      <c r="I35" s="293"/>
      <c r="J35" s="293"/>
      <c r="K35" s="293"/>
      <c r="L35" s="293"/>
      <c r="M35" s="293"/>
      <c r="N35" s="293"/>
      <c r="O35" s="293"/>
      <c r="P35" s="293"/>
      <c r="Q35" s="293"/>
      <c r="R35" s="294"/>
    </row>
    <row r="36" spans="1:18" ht="22" thickBot="1" x14ac:dyDescent="0.25">
      <c r="A36" s="295" t="s">
        <v>319</v>
      </c>
      <c r="B36" s="296"/>
      <c r="C36" s="296"/>
      <c r="D36" s="296"/>
      <c r="E36" s="296"/>
      <c r="F36" s="296"/>
      <c r="G36" s="296"/>
      <c r="H36" s="296"/>
      <c r="I36" s="296"/>
      <c r="J36" s="296"/>
      <c r="K36" s="296"/>
      <c r="L36" s="296"/>
      <c r="M36" s="296"/>
      <c r="N36" s="296"/>
      <c r="O36" s="296"/>
      <c r="P36" s="296"/>
      <c r="Q36" s="296"/>
      <c r="R36" s="297"/>
    </row>
  </sheetData>
  <mergeCells count="6">
    <mergeCell ref="A1:R1"/>
    <mergeCell ref="A3:R3"/>
    <mergeCell ref="A4:R33"/>
    <mergeCell ref="A34:R35"/>
    <mergeCell ref="A36:R36"/>
    <mergeCell ref="A2:R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3"/>
  <sheetViews>
    <sheetView workbookViewId="0">
      <selection activeCell="P1" sqref="P1"/>
    </sheetView>
  </sheetViews>
  <sheetFormatPr baseColWidth="10" defaultColWidth="9.1640625" defaultRowHeight="15" x14ac:dyDescent="0.2"/>
  <cols>
    <col min="1" max="16384" width="9.1640625" style="155"/>
  </cols>
  <sheetData>
    <row r="1" spans="1:15" ht="68.25" customHeight="1" x14ac:dyDescent="0.2">
      <c r="A1" s="304" t="s">
        <v>316</v>
      </c>
      <c r="B1" s="305"/>
      <c r="C1" s="305"/>
      <c r="D1" s="305"/>
      <c r="E1" s="305"/>
      <c r="F1" s="305"/>
      <c r="G1" s="305"/>
      <c r="H1" s="305"/>
      <c r="I1" s="305"/>
      <c r="J1" s="305"/>
      <c r="K1" s="305"/>
      <c r="L1" s="305"/>
      <c r="M1" s="305"/>
      <c r="N1" s="305"/>
      <c r="O1" s="306"/>
    </row>
    <row r="2" spans="1:15" ht="15" customHeight="1" x14ac:dyDescent="0.2">
      <c r="A2" s="301" t="s">
        <v>317</v>
      </c>
      <c r="B2" s="302"/>
      <c r="C2" s="302"/>
      <c r="D2" s="302"/>
      <c r="E2" s="302"/>
      <c r="F2" s="302"/>
      <c r="G2" s="302"/>
      <c r="H2" s="302"/>
      <c r="I2" s="302"/>
      <c r="J2" s="302"/>
      <c r="K2" s="302"/>
      <c r="L2" s="302"/>
      <c r="M2" s="302"/>
      <c r="N2" s="302"/>
      <c r="O2" s="303"/>
    </row>
    <row r="3" spans="1:15" x14ac:dyDescent="0.2">
      <c r="A3" s="301"/>
      <c r="B3" s="302"/>
      <c r="C3" s="302"/>
      <c r="D3" s="302"/>
      <c r="E3" s="302"/>
      <c r="F3" s="302"/>
      <c r="G3" s="302"/>
      <c r="H3" s="302"/>
      <c r="I3" s="302"/>
      <c r="J3" s="302"/>
      <c r="K3" s="302"/>
      <c r="L3" s="302"/>
      <c r="M3" s="302"/>
      <c r="N3" s="302"/>
      <c r="O3" s="303"/>
    </row>
    <row r="4" spans="1:15" x14ac:dyDescent="0.2">
      <c r="A4" s="301"/>
      <c r="B4" s="302"/>
      <c r="C4" s="302"/>
      <c r="D4" s="302"/>
      <c r="E4" s="302"/>
      <c r="F4" s="302"/>
      <c r="G4" s="302"/>
      <c r="H4" s="302"/>
      <c r="I4" s="302"/>
      <c r="J4" s="302"/>
      <c r="K4" s="302"/>
      <c r="L4" s="302"/>
      <c r="M4" s="302"/>
      <c r="N4" s="302"/>
      <c r="O4" s="303"/>
    </row>
    <row r="5" spans="1:15" x14ac:dyDescent="0.2">
      <c r="A5" s="301"/>
      <c r="B5" s="302"/>
      <c r="C5" s="302"/>
      <c r="D5" s="302"/>
      <c r="E5" s="302"/>
      <c r="F5" s="302"/>
      <c r="G5" s="302"/>
      <c r="H5" s="302"/>
      <c r="I5" s="302"/>
      <c r="J5" s="302"/>
      <c r="K5" s="302"/>
      <c r="L5" s="302"/>
      <c r="M5" s="302"/>
      <c r="N5" s="302"/>
      <c r="O5" s="303"/>
    </row>
    <row r="6" spans="1:15" x14ac:dyDescent="0.2">
      <c r="A6" s="301"/>
      <c r="B6" s="302"/>
      <c r="C6" s="302"/>
      <c r="D6" s="302"/>
      <c r="E6" s="302"/>
      <c r="F6" s="302"/>
      <c r="G6" s="302"/>
      <c r="H6" s="302"/>
      <c r="I6" s="302"/>
      <c r="J6" s="302"/>
      <c r="K6" s="302"/>
      <c r="L6" s="302"/>
      <c r="M6" s="302"/>
      <c r="N6" s="302"/>
      <c r="O6" s="303"/>
    </row>
    <row r="7" spans="1:15" x14ac:dyDescent="0.2">
      <c r="A7" s="301"/>
      <c r="B7" s="302"/>
      <c r="C7" s="302"/>
      <c r="D7" s="302"/>
      <c r="E7" s="302"/>
      <c r="F7" s="302"/>
      <c r="G7" s="302"/>
      <c r="H7" s="302"/>
      <c r="I7" s="302"/>
      <c r="J7" s="302"/>
      <c r="K7" s="302"/>
      <c r="L7" s="302"/>
      <c r="M7" s="302"/>
      <c r="N7" s="302"/>
      <c r="O7" s="303"/>
    </row>
    <row r="8" spans="1:15" x14ac:dyDescent="0.2">
      <c r="A8" s="301"/>
      <c r="B8" s="302"/>
      <c r="C8" s="302"/>
      <c r="D8" s="302"/>
      <c r="E8" s="302"/>
      <c r="F8" s="302"/>
      <c r="G8" s="302"/>
      <c r="H8" s="302"/>
      <c r="I8" s="302"/>
      <c r="J8" s="302"/>
      <c r="K8" s="302"/>
      <c r="L8" s="302"/>
      <c r="M8" s="302"/>
      <c r="N8" s="302"/>
      <c r="O8" s="303"/>
    </row>
    <row r="9" spans="1:15" x14ac:dyDescent="0.2">
      <c r="A9" s="301"/>
      <c r="B9" s="302"/>
      <c r="C9" s="302"/>
      <c r="D9" s="302"/>
      <c r="E9" s="302"/>
      <c r="F9" s="302"/>
      <c r="G9" s="302"/>
      <c r="H9" s="302"/>
      <c r="I9" s="302"/>
      <c r="J9" s="302"/>
      <c r="K9" s="302"/>
      <c r="L9" s="302"/>
      <c r="M9" s="302"/>
      <c r="N9" s="302"/>
      <c r="O9" s="303"/>
    </row>
    <row r="10" spans="1:15" x14ac:dyDescent="0.2">
      <c r="A10" s="301"/>
      <c r="B10" s="302"/>
      <c r="C10" s="302"/>
      <c r="D10" s="302"/>
      <c r="E10" s="302"/>
      <c r="F10" s="302"/>
      <c r="G10" s="302"/>
      <c r="H10" s="302"/>
      <c r="I10" s="302"/>
      <c r="J10" s="302"/>
      <c r="K10" s="302"/>
      <c r="L10" s="302"/>
      <c r="M10" s="302"/>
      <c r="N10" s="302"/>
      <c r="O10" s="303"/>
    </row>
    <row r="11" spans="1:15" x14ac:dyDescent="0.2">
      <c r="A11" s="301"/>
      <c r="B11" s="302"/>
      <c r="C11" s="302"/>
      <c r="D11" s="302"/>
      <c r="E11" s="302"/>
      <c r="F11" s="302"/>
      <c r="G11" s="302"/>
      <c r="H11" s="302"/>
      <c r="I11" s="302"/>
      <c r="J11" s="302"/>
      <c r="K11" s="302"/>
      <c r="L11" s="302"/>
      <c r="M11" s="302"/>
      <c r="N11" s="302"/>
      <c r="O11" s="303"/>
    </row>
    <row r="12" spans="1:15" x14ac:dyDescent="0.2">
      <c r="A12" s="301"/>
      <c r="B12" s="302"/>
      <c r="C12" s="302"/>
      <c r="D12" s="302"/>
      <c r="E12" s="302"/>
      <c r="F12" s="302"/>
      <c r="G12" s="302"/>
      <c r="H12" s="302"/>
      <c r="I12" s="302"/>
      <c r="J12" s="302"/>
      <c r="K12" s="302"/>
      <c r="L12" s="302"/>
      <c r="M12" s="302"/>
      <c r="N12" s="302"/>
      <c r="O12" s="303"/>
    </row>
    <row r="13" spans="1:15" x14ac:dyDescent="0.2">
      <c r="A13" s="301"/>
      <c r="B13" s="302"/>
      <c r="C13" s="302"/>
      <c r="D13" s="302"/>
      <c r="E13" s="302"/>
      <c r="F13" s="302"/>
      <c r="G13" s="302"/>
      <c r="H13" s="302"/>
      <c r="I13" s="302"/>
      <c r="J13" s="302"/>
      <c r="K13" s="302"/>
      <c r="L13" s="302"/>
      <c r="M13" s="302"/>
      <c r="N13" s="302"/>
      <c r="O13" s="303"/>
    </row>
    <row r="14" spans="1:15" x14ac:dyDescent="0.2">
      <c r="A14" s="301"/>
      <c r="B14" s="302"/>
      <c r="C14" s="302"/>
      <c r="D14" s="302"/>
      <c r="E14" s="302"/>
      <c r="F14" s="302"/>
      <c r="G14" s="302"/>
      <c r="H14" s="302"/>
      <c r="I14" s="302"/>
      <c r="J14" s="302"/>
      <c r="K14" s="302"/>
      <c r="L14" s="302"/>
      <c r="M14" s="302"/>
      <c r="N14" s="302"/>
      <c r="O14" s="303"/>
    </row>
    <row r="15" spans="1:15" x14ac:dyDescent="0.2">
      <c r="A15" s="301"/>
      <c r="B15" s="302"/>
      <c r="C15" s="302"/>
      <c r="D15" s="302"/>
      <c r="E15" s="302"/>
      <c r="F15" s="302"/>
      <c r="G15" s="302"/>
      <c r="H15" s="302"/>
      <c r="I15" s="302"/>
      <c r="J15" s="302"/>
      <c r="K15" s="302"/>
      <c r="L15" s="302"/>
      <c r="M15" s="302"/>
      <c r="N15" s="302"/>
      <c r="O15" s="303"/>
    </row>
    <row r="16" spans="1:15" x14ac:dyDescent="0.2">
      <c r="A16" s="301"/>
      <c r="B16" s="302"/>
      <c r="C16" s="302"/>
      <c r="D16" s="302"/>
      <c r="E16" s="302"/>
      <c r="F16" s="302"/>
      <c r="G16" s="302"/>
      <c r="H16" s="302"/>
      <c r="I16" s="302"/>
      <c r="J16" s="302"/>
      <c r="K16" s="302"/>
      <c r="L16" s="302"/>
      <c r="M16" s="302"/>
      <c r="N16" s="302"/>
      <c r="O16" s="303"/>
    </row>
    <row r="17" spans="1:15" x14ac:dyDescent="0.2">
      <c r="A17" s="301"/>
      <c r="B17" s="302"/>
      <c r="C17" s="302"/>
      <c r="D17" s="302"/>
      <c r="E17" s="302"/>
      <c r="F17" s="302"/>
      <c r="G17" s="302"/>
      <c r="H17" s="302"/>
      <c r="I17" s="302"/>
      <c r="J17" s="302"/>
      <c r="K17" s="302"/>
      <c r="L17" s="302"/>
      <c r="M17" s="302"/>
      <c r="N17" s="302"/>
      <c r="O17" s="303"/>
    </row>
    <row r="18" spans="1:15" x14ac:dyDescent="0.2">
      <c r="A18" s="301"/>
      <c r="B18" s="302"/>
      <c r="C18" s="302"/>
      <c r="D18" s="302"/>
      <c r="E18" s="302"/>
      <c r="F18" s="302"/>
      <c r="G18" s="302"/>
      <c r="H18" s="302"/>
      <c r="I18" s="302"/>
      <c r="J18" s="302"/>
      <c r="K18" s="302"/>
      <c r="L18" s="302"/>
      <c r="M18" s="302"/>
      <c r="N18" s="302"/>
      <c r="O18" s="303"/>
    </row>
    <row r="19" spans="1:15" x14ac:dyDescent="0.2">
      <c r="A19" s="301"/>
      <c r="B19" s="302"/>
      <c r="C19" s="302"/>
      <c r="D19" s="302"/>
      <c r="E19" s="302"/>
      <c r="F19" s="302"/>
      <c r="G19" s="302"/>
      <c r="H19" s="302"/>
      <c r="I19" s="302"/>
      <c r="J19" s="302"/>
      <c r="K19" s="302"/>
      <c r="L19" s="302"/>
      <c r="M19" s="302"/>
      <c r="N19" s="302"/>
      <c r="O19" s="303"/>
    </row>
    <row r="20" spans="1:15" x14ac:dyDescent="0.2">
      <c r="A20" s="301"/>
      <c r="B20" s="302"/>
      <c r="C20" s="302"/>
      <c r="D20" s="302"/>
      <c r="E20" s="302"/>
      <c r="F20" s="302"/>
      <c r="G20" s="302"/>
      <c r="H20" s="302"/>
      <c r="I20" s="302"/>
      <c r="J20" s="302"/>
      <c r="K20" s="302"/>
      <c r="L20" s="302"/>
      <c r="M20" s="302"/>
      <c r="N20" s="302"/>
      <c r="O20" s="303"/>
    </row>
    <row r="21" spans="1:15" x14ac:dyDescent="0.2">
      <c r="A21" s="301"/>
      <c r="B21" s="302"/>
      <c r="C21" s="302"/>
      <c r="D21" s="302"/>
      <c r="E21" s="302"/>
      <c r="F21" s="302"/>
      <c r="G21" s="302"/>
      <c r="H21" s="302"/>
      <c r="I21" s="302"/>
      <c r="J21" s="302"/>
      <c r="K21" s="302"/>
      <c r="L21" s="302"/>
      <c r="M21" s="302"/>
      <c r="N21" s="302"/>
      <c r="O21" s="303"/>
    </row>
    <row r="22" spans="1:15" x14ac:dyDescent="0.2">
      <c r="A22" s="301"/>
      <c r="B22" s="302"/>
      <c r="C22" s="302"/>
      <c r="D22" s="302"/>
      <c r="E22" s="302"/>
      <c r="F22" s="302"/>
      <c r="G22" s="302"/>
      <c r="H22" s="302"/>
      <c r="I22" s="302"/>
      <c r="J22" s="302"/>
      <c r="K22" s="302"/>
      <c r="L22" s="302"/>
      <c r="M22" s="302"/>
      <c r="N22" s="302"/>
      <c r="O22" s="303"/>
    </row>
    <row r="23" spans="1:15" x14ac:dyDescent="0.2">
      <c r="A23" s="301"/>
      <c r="B23" s="302"/>
      <c r="C23" s="302"/>
      <c r="D23" s="302"/>
      <c r="E23" s="302"/>
      <c r="F23" s="302"/>
      <c r="G23" s="302"/>
      <c r="H23" s="302"/>
      <c r="I23" s="302"/>
      <c r="J23" s="302"/>
      <c r="K23" s="302"/>
      <c r="L23" s="302"/>
      <c r="M23" s="302"/>
      <c r="N23" s="302"/>
      <c r="O23" s="303"/>
    </row>
    <row r="24" spans="1:15" x14ac:dyDescent="0.2">
      <c r="A24" s="301"/>
      <c r="B24" s="302"/>
      <c r="C24" s="302"/>
      <c r="D24" s="302"/>
      <c r="E24" s="302"/>
      <c r="F24" s="302"/>
      <c r="G24" s="302"/>
      <c r="H24" s="302"/>
      <c r="I24" s="302"/>
      <c r="J24" s="302"/>
      <c r="K24" s="302"/>
      <c r="L24" s="302"/>
      <c r="M24" s="302"/>
      <c r="N24" s="302"/>
      <c r="O24" s="303"/>
    </row>
    <row r="25" spans="1:15" x14ac:dyDescent="0.2">
      <c r="A25" s="301"/>
      <c r="B25" s="302"/>
      <c r="C25" s="302"/>
      <c r="D25" s="302"/>
      <c r="E25" s="302"/>
      <c r="F25" s="302"/>
      <c r="G25" s="302"/>
      <c r="H25" s="302"/>
      <c r="I25" s="302"/>
      <c r="J25" s="302"/>
      <c r="K25" s="302"/>
      <c r="L25" s="302"/>
      <c r="M25" s="302"/>
      <c r="N25" s="302"/>
      <c r="O25" s="303"/>
    </row>
    <row r="26" spans="1:15" x14ac:dyDescent="0.2">
      <c r="A26" s="301"/>
      <c r="B26" s="302"/>
      <c r="C26" s="302"/>
      <c r="D26" s="302"/>
      <c r="E26" s="302"/>
      <c r="F26" s="302"/>
      <c r="G26" s="302"/>
      <c r="H26" s="302"/>
      <c r="I26" s="302"/>
      <c r="J26" s="302"/>
      <c r="K26" s="302"/>
      <c r="L26" s="302"/>
      <c r="M26" s="302"/>
      <c r="N26" s="302"/>
      <c r="O26" s="303"/>
    </row>
    <row r="27" spans="1:15" x14ac:dyDescent="0.2">
      <c r="A27" s="301"/>
      <c r="B27" s="302"/>
      <c r="C27" s="302"/>
      <c r="D27" s="302"/>
      <c r="E27" s="302"/>
      <c r="F27" s="302"/>
      <c r="G27" s="302"/>
      <c r="H27" s="302"/>
      <c r="I27" s="302"/>
      <c r="J27" s="302"/>
      <c r="K27" s="302"/>
      <c r="L27" s="302"/>
      <c r="M27" s="302"/>
      <c r="N27" s="302"/>
      <c r="O27" s="303"/>
    </row>
    <row r="28" spans="1:15" x14ac:dyDescent="0.2">
      <c r="A28" s="301"/>
      <c r="B28" s="302"/>
      <c r="C28" s="302"/>
      <c r="D28" s="302"/>
      <c r="E28" s="302"/>
      <c r="F28" s="302"/>
      <c r="G28" s="302"/>
      <c r="H28" s="302"/>
      <c r="I28" s="302"/>
      <c r="J28" s="302"/>
      <c r="K28" s="302"/>
      <c r="L28" s="302"/>
      <c r="M28" s="302"/>
      <c r="N28" s="302"/>
      <c r="O28" s="303"/>
    </row>
    <row r="29" spans="1:15" x14ac:dyDescent="0.2">
      <c r="A29" s="301"/>
      <c r="B29" s="302"/>
      <c r="C29" s="302"/>
      <c r="D29" s="302"/>
      <c r="E29" s="302"/>
      <c r="F29" s="302"/>
      <c r="G29" s="302"/>
      <c r="H29" s="302"/>
      <c r="I29" s="302"/>
      <c r="J29" s="302"/>
      <c r="K29" s="302"/>
      <c r="L29" s="302"/>
      <c r="M29" s="302"/>
      <c r="N29" s="302"/>
      <c r="O29" s="303"/>
    </row>
    <row r="30" spans="1:15" x14ac:dyDescent="0.2">
      <c r="A30" s="301"/>
      <c r="B30" s="302"/>
      <c r="C30" s="302"/>
      <c r="D30" s="302"/>
      <c r="E30" s="302"/>
      <c r="F30" s="302"/>
      <c r="G30" s="302"/>
      <c r="H30" s="302"/>
      <c r="I30" s="302"/>
      <c r="J30" s="302"/>
      <c r="K30" s="302"/>
      <c r="L30" s="302"/>
      <c r="M30" s="302"/>
      <c r="N30" s="302"/>
      <c r="O30" s="303"/>
    </row>
    <row r="31" spans="1:15" x14ac:dyDescent="0.2">
      <c r="A31" s="301"/>
      <c r="B31" s="302"/>
      <c r="C31" s="302"/>
      <c r="D31" s="302"/>
      <c r="E31" s="302"/>
      <c r="F31" s="302"/>
      <c r="G31" s="302"/>
      <c r="H31" s="302"/>
      <c r="I31" s="302"/>
      <c r="J31" s="302"/>
      <c r="K31" s="302"/>
      <c r="L31" s="302"/>
      <c r="M31" s="302"/>
      <c r="N31" s="302"/>
      <c r="O31" s="303"/>
    </row>
    <row r="32" spans="1:15" x14ac:dyDescent="0.2">
      <c r="A32" s="276"/>
      <c r="B32" s="277"/>
      <c r="C32" s="277"/>
      <c r="D32" s="277"/>
      <c r="E32" s="277"/>
      <c r="F32" s="277"/>
      <c r="G32" s="277"/>
      <c r="H32" s="277"/>
      <c r="I32" s="277"/>
      <c r="J32" s="277"/>
      <c r="K32" s="277"/>
      <c r="L32" s="277"/>
      <c r="M32" s="277"/>
      <c r="N32" s="277"/>
      <c r="O32" s="278"/>
    </row>
    <row r="33" spans="1:15" ht="16" thickBot="1" x14ac:dyDescent="0.25">
      <c r="A33" s="279"/>
      <c r="B33" s="280"/>
      <c r="C33" s="280"/>
      <c r="D33" s="280"/>
      <c r="E33" s="280"/>
      <c r="F33" s="280"/>
      <c r="G33" s="280"/>
      <c r="H33" s="280"/>
      <c r="I33" s="280"/>
      <c r="J33" s="280"/>
      <c r="K33" s="280"/>
      <c r="L33" s="280"/>
      <c r="M33" s="280"/>
      <c r="N33" s="280"/>
      <c r="O33" s="281"/>
    </row>
  </sheetData>
  <mergeCells count="2">
    <mergeCell ref="A2:O31"/>
    <mergeCell ref="A1:O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DL58"/>
  <sheetViews>
    <sheetView zoomScaleNormal="100" workbookViewId="0">
      <selection activeCell="K10" sqref="K10"/>
    </sheetView>
  </sheetViews>
  <sheetFormatPr baseColWidth="10" defaultColWidth="9.1640625" defaultRowHeight="15" x14ac:dyDescent="0.2"/>
  <cols>
    <col min="1" max="1" width="5.5" style="44" customWidth="1"/>
    <col min="2" max="2" width="25" style="45" customWidth="1"/>
    <col min="3" max="3" width="27.83203125" style="44" customWidth="1"/>
    <col min="4" max="4" width="24.5" style="44" customWidth="1"/>
    <col min="5" max="5" width="27.33203125" style="44" customWidth="1"/>
    <col min="6" max="6" width="19.33203125" style="44" customWidth="1"/>
    <col min="7" max="7" width="3.5" style="44" customWidth="1"/>
    <col min="8" max="8" width="6.6640625" style="44" customWidth="1"/>
    <col min="9" max="9" width="16.1640625" style="44" customWidth="1"/>
    <col min="10" max="10" width="18.83203125" style="44" customWidth="1"/>
    <col min="11" max="116" width="16.6640625" style="44" customWidth="1"/>
    <col min="117" max="16384" width="9.1640625" style="46"/>
  </cols>
  <sheetData>
    <row r="1" spans="1:116" ht="16" thickBot="1" x14ac:dyDescent="0.25"/>
    <row r="2" spans="1:116" s="48" customFormat="1" ht="39.75" customHeight="1" thickBot="1" x14ac:dyDescent="0.25">
      <c r="A2" s="47"/>
      <c r="B2" s="316" t="s">
        <v>36</v>
      </c>
      <c r="C2" s="317"/>
      <c r="D2" s="317"/>
      <c r="E2" s="317"/>
      <c r="F2" s="318"/>
      <c r="G2" s="318"/>
      <c r="H2" s="318"/>
      <c r="I2" s="318"/>
      <c r="J2" s="318" t="s">
        <v>35</v>
      </c>
      <c r="K2" s="318"/>
      <c r="L2" s="318"/>
      <c r="M2" s="325"/>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row>
    <row r="3" spans="1:116" s="2" customFormat="1" ht="32" customHeight="1" thickBot="1" x14ac:dyDescent="0.25">
      <c r="A3" s="10"/>
      <c r="B3" s="202" t="s">
        <v>61</v>
      </c>
      <c r="C3" s="219" t="s">
        <v>1</v>
      </c>
      <c r="D3" s="339" t="s">
        <v>30</v>
      </c>
      <c r="E3" s="340"/>
      <c r="F3" s="326" t="s">
        <v>218</v>
      </c>
      <c r="G3" s="327"/>
      <c r="H3" s="345" t="s">
        <v>40</v>
      </c>
      <c r="I3" s="346"/>
      <c r="J3" s="346"/>
      <c r="K3" s="24" t="s">
        <v>52</v>
      </c>
      <c r="L3" s="24" t="s">
        <v>58</v>
      </c>
      <c r="M3" s="25" t="s">
        <v>53</v>
      </c>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row>
    <row r="4" spans="1:116" s="2" customFormat="1" ht="32" customHeight="1" thickBot="1" x14ac:dyDescent="0.25">
      <c r="A4" s="10"/>
      <c r="B4" s="203" t="s">
        <v>130</v>
      </c>
      <c r="C4" s="220" t="s">
        <v>3</v>
      </c>
      <c r="D4" s="337" t="str">
        <f>IF(ISNUMBER(SEARCH("delta",D3)),Constants!B3,IF(ISNUMBER(SEARCH("ratio",D3)),Constants!B4,IF(ISNUMBER(SEARCH("%",D3)),Constants!B5,IF(ISNUMBER(SEARCH("ppm",D3)),Constants!B6,IF(ISNUMBER(SEARCH("select",D3)),Constants!B2)))))</f>
        <v>Select "Conversion from"</v>
      </c>
      <c r="E4" s="338"/>
      <c r="F4" s="328"/>
      <c r="G4" s="329"/>
      <c r="H4" s="347" t="s">
        <v>37</v>
      </c>
      <c r="I4" s="348"/>
      <c r="J4" s="349"/>
      <c r="K4" s="4" t="s">
        <v>121</v>
      </c>
      <c r="L4" s="5" t="s">
        <v>0</v>
      </c>
      <c r="M4" s="23">
        <v>0</v>
      </c>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row>
    <row r="5" spans="1:116" s="2" customFormat="1" ht="32" customHeight="1" thickBot="1" x14ac:dyDescent="0.25">
      <c r="A5" s="10"/>
      <c r="B5" s="203" t="s">
        <v>130</v>
      </c>
      <c r="C5" s="221" t="s">
        <v>2</v>
      </c>
      <c r="D5" s="311" t="s">
        <v>0</v>
      </c>
      <c r="E5" s="312"/>
      <c r="F5" s="328"/>
      <c r="G5" s="329"/>
      <c r="H5" s="310" t="s">
        <v>257</v>
      </c>
      <c r="I5" s="308"/>
      <c r="J5" s="309"/>
      <c r="K5" s="3" t="s">
        <v>122</v>
      </c>
      <c r="L5" s="20" t="s">
        <v>34</v>
      </c>
      <c r="M5" s="35" t="s">
        <v>54</v>
      </c>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row>
    <row r="6" spans="1:116" s="2" customFormat="1" ht="32" customHeight="1" thickTop="1" x14ac:dyDescent="0.2">
      <c r="A6" s="10"/>
      <c r="B6" s="197" t="s">
        <v>61</v>
      </c>
      <c r="C6" s="222" t="s">
        <v>299</v>
      </c>
      <c r="D6" s="341" t="s">
        <v>256</v>
      </c>
      <c r="E6" s="342"/>
      <c r="F6" s="328"/>
      <c r="G6" s="329"/>
      <c r="H6" s="307" t="s">
        <v>188</v>
      </c>
      <c r="I6" s="308"/>
      <c r="J6" s="309"/>
      <c r="K6" s="4" t="s">
        <v>123</v>
      </c>
      <c r="L6" s="20" t="s">
        <v>31</v>
      </c>
      <c r="M6" s="36" t="s">
        <v>57</v>
      </c>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row>
    <row r="7" spans="1:116" s="2" customFormat="1" ht="32" customHeight="1" x14ac:dyDescent="0.2">
      <c r="A7" s="10"/>
      <c r="B7" s="198" t="s">
        <v>130</v>
      </c>
      <c r="C7" s="223" t="s">
        <v>300</v>
      </c>
      <c r="D7" s="343" t="str">
        <f>IF(ISNUMBER(SEARCH(Tables!C3,D6)),Tables!D3,IF(ISNUMBER(SEARCH(Tables!C4,D6)),Tables!D4,IF(ISNUMBER(SEARCH(Tables!#REF!,D6)),Tables!#REF!,IF(ISNUMBER(SEARCH(Tables!C5,D6)),Tables!D5,IF(ISNUMBER(SEARCH(Tables!C6,D6)),Tables!D6,IF(ISNUMBER(SEARCH(Tables!C6,D6)),Tables!D6,IF(ISNUMBER(SEARCH("select",D6)),Tables!D2, IF(ISNUMBER(SEARCH("blank",D6)),Tables!D7))))))))</f>
        <v xml:space="preserve">Select "Absolute isotope ratio Rstd for delta zero point" </v>
      </c>
      <c r="E7" s="344"/>
      <c r="F7" s="328"/>
      <c r="G7" s="329"/>
      <c r="H7" s="310" t="s">
        <v>189</v>
      </c>
      <c r="I7" s="308"/>
      <c r="J7" s="309"/>
      <c r="K7" s="3" t="s">
        <v>124</v>
      </c>
      <c r="L7" s="20" t="s">
        <v>34</v>
      </c>
      <c r="M7" s="35" t="s">
        <v>54</v>
      </c>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row>
    <row r="8" spans="1:116" s="2" customFormat="1" ht="32" customHeight="1" thickBot="1" x14ac:dyDescent="0.25">
      <c r="A8" s="10"/>
      <c r="B8" s="199" t="s">
        <v>130</v>
      </c>
      <c r="C8" s="224" t="s">
        <v>301</v>
      </c>
      <c r="D8" s="335" t="str">
        <f>IF(ISNUMBER(SEARCH(Tables!C3,D6)),Tables!G3,IF(ISNUMBER(SEARCH(Tables!C4,D6)),Tables!G4,IF(ISNUMBER(SEARCH(Tables!#REF!,D6)),Tables!#REF!,IF(ISNUMBER(SEARCH(Tables!C5,D6)),Tables!G5,IF(ISNUMBER(SEARCH(Tables!C6,D6)),Tables!G6,IF(ISNUMBER(SEARCH("select",D6)),Tables!D2,IF(ISNUMBER(SEARCH("blank",D6)),Tables!D7)))))))</f>
        <v xml:space="preserve">Select "Absolute isotope ratio Rstd for delta zero point" </v>
      </c>
      <c r="E8" s="336"/>
      <c r="F8" s="328"/>
      <c r="G8" s="329"/>
      <c r="H8" s="310" t="s">
        <v>190</v>
      </c>
      <c r="I8" s="308"/>
      <c r="J8" s="309"/>
      <c r="K8" s="5" t="s">
        <v>320</v>
      </c>
      <c r="L8" s="20" t="s">
        <v>32</v>
      </c>
      <c r="M8" s="17" t="s">
        <v>55</v>
      </c>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row>
    <row r="9" spans="1:116" s="2" customFormat="1" ht="32" customHeight="1" thickTop="1" thickBot="1" x14ac:dyDescent="0.25">
      <c r="A9" s="10"/>
      <c r="B9" s="204" t="s">
        <v>131</v>
      </c>
      <c r="C9" s="205" t="str">
        <f>CONCATENATE("uncertainty ",D3)</f>
        <v>uncertainty Select</v>
      </c>
      <c r="D9" s="206">
        <v>0</v>
      </c>
      <c r="E9" s="207"/>
      <c r="F9" s="330"/>
      <c r="G9" s="331"/>
      <c r="H9" s="322" t="s">
        <v>191</v>
      </c>
      <c r="I9" s="323"/>
      <c r="J9" s="324"/>
      <c r="K9" s="6" t="s">
        <v>320</v>
      </c>
      <c r="L9" s="21" t="s">
        <v>33</v>
      </c>
      <c r="M9" s="18" t="s">
        <v>56</v>
      </c>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row>
    <row r="10" spans="1:116" ht="29.25" customHeight="1" thickBot="1" x14ac:dyDescent="0.25"/>
    <row r="11" spans="1:116" s="2" customFormat="1" ht="15" customHeight="1" x14ac:dyDescent="0.2">
      <c r="A11" s="10"/>
      <c r="B11" s="33" t="s">
        <v>119</v>
      </c>
      <c r="C11" s="8" t="s">
        <v>21</v>
      </c>
      <c r="D11" s="332" t="s">
        <v>39</v>
      </c>
      <c r="E11" s="333"/>
      <c r="F11" s="334"/>
      <c r="G11" s="313"/>
      <c r="H11" s="313"/>
      <c r="I11" s="313"/>
      <c r="J11" s="41"/>
      <c r="K11" s="319" t="s">
        <v>232</v>
      </c>
      <c r="L11" s="320"/>
      <c r="M11" s="321"/>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row>
    <row r="12" spans="1:116" s="2" customFormat="1" ht="14" x14ac:dyDescent="0.2">
      <c r="A12" s="10"/>
      <c r="B12" s="34" t="s">
        <v>132</v>
      </c>
      <c r="C12" s="9" t="str">
        <f>D3</f>
        <v>Select</v>
      </c>
      <c r="D12" s="42" t="str">
        <f>IF(ISNUMBER(SEARCH("delta",C12)),"Ratio (2H/1H)",IF(ISNUMBER(SEARCH("ratio",C12)),"Delta (2H/1H) [‰]",IF(ISNUMBER(SEARCH("fraction",C12)),"Delta (2H/1H) [‰]","Not selected")))</f>
        <v>Not selected</v>
      </c>
      <c r="E12" s="43" t="str">
        <f>IF(ISNUMBER(SEARCH("delta",C12)),"Fraction (2H) [%]",IF(ISNUMBER(SEARCH("Ratio",C12)),"Fraction (2H) [%]",IF(ISNUMBER(SEARCH("fraction (2H) [%]",C12)),"Ratio (2H/1H)",IF(ISNUMBER(SEARCH("fraction (2H) [ppm]",C12)),"Ratio (2H/1H)", "Not selected"))))</f>
        <v>Not selected</v>
      </c>
      <c r="F12" s="7" t="str">
        <f>IF(ISNUMBER(SEARCH("delta",C12)),"Fraction (2H) [ppm]",IF(ISNUMBER(SEARCH("ratio",C12)),"Fraction (2H) [ppm]",IF(ISNUMBER(SEARCH("fraction (2H) [%]",C12)),"Fraction (2H) [ppm]",IF(ISNUMBER(SEARCH("fraction (2H) [ppm]",C12)),"Fraction (2H) [%]", "Not selected" ))))</f>
        <v>Not selected</v>
      </c>
      <c r="G12" s="314"/>
      <c r="H12" s="314"/>
      <c r="I12" s="314"/>
      <c r="J12" s="14"/>
      <c r="K12" s="42" t="str">
        <f>D12</f>
        <v>Not selected</v>
      </c>
      <c r="L12" s="43" t="str">
        <f>E12</f>
        <v>Not selected</v>
      </c>
      <c r="M12" s="7" t="str">
        <f>F12</f>
        <v>Not selected</v>
      </c>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row>
    <row r="13" spans="1:116" s="2" customFormat="1" ht="14" x14ac:dyDescent="0.2">
      <c r="A13" s="10"/>
      <c r="B13" s="31" t="s">
        <v>62</v>
      </c>
      <c r="C13" s="49">
        <v>0</v>
      </c>
      <c r="D13" s="50" t="str">
        <f t="shared" ref="D13:D42" si="0">IF(ISNUMBER(SEARCH("delta",$C$12)),((C13/1000)+1)*$D$6,IF(ISNUMBER(SEARCH("ratio",$C$12)),(((C13/$D$6)-1)*1000),IF(ISNUMBER(SEARCH("%",$C$12)),((((C13/(100-C13))/$D$6)-1)*1000),IF(ISNUMBER(SEARCH("ppm",$C$12)),((((((C13/10000)/(100-(C13/10000))/$D$6)-1)*1000))),"Not selected"))))</f>
        <v>Not selected</v>
      </c>
      <c r="E13" s="51" t="str">
        <f>IF(ISNUMBER(SEARCH("delta",$C$12)),((((C13/1000)+1)*$D$6)/(1+(((C13/1000)+1)*$D$6)))*100,IF(ISNUMBER(SEARCH("ratio",$C$12)),((C13/(1+C13))*100),IF(ISNUMBER(SEARCH("%",$C$12)),(C13/(100-C13)),IF(ISNUMBER(SEARCH("ppm",$C$12)),((C13/10000)/(100-(C13/10000))),"Not selected"))))</f>
        <v>Not selected</v>
      </c>
      <c r="F13" s="52" t="str">
        <f>IF(ISNUMBER(SEARCH("delta",$C$12)),((((C13/1000)+1)*$D$6)/(1+(((C13/1000)+1)*$D$6)))*1000000,IF(ISNUMBER(SEARCH("ratio",$C$12)),(C13/(1+C13))*1000000,IF(ISNUMBER(SEARCH("%",$C$12)),C13*10000,IF(ISNUMBER(SEARCH("ppm",$C$12)),C13/10000,"Not selected"))))</f>
        <v>Not selected</v>
      </c>
      <c r="G13" s="314"/>
      <c r="H13" s="314"/>
      <c r="I13" s="314"/>
      <c r="J13" s="14"/>
      <c r="K13" s="53" t="str">
        <f t="shared" ref="K13:K52" si="1">IF(ISNUMBER(SEARCH("delta",$C$12)),SQRT((((((C13/1000)+1)*($D$6+$D$7))-D13)^2)+((((((C13+$D$9)/1000)+1)*$D$6)-D13)^2)),IF(ISNUMBER(SEARCH("ratio",$C$12)),SQRT(((((((C13/($D$6+$D$7))-1)*1000))-D13)^2)+(((((((C13+$D$9)/$D$6)-1)*1000))-D13)^2)),IF(ISNUMBER(SEARCH("%",$C$12)),SQRT((((((((C13/(100-C13))/($D$6+$D$7))-1)*1000))-D13)^2)+((((((((C13+$D$9)/(100-(C13+$D$9)))/$D$6)-1)*1000))-D13)^2)),IF(ISNUMBER(SEARCH("ppm",$C$12)),SQRT((((((((C13/10000)/(100-(C13/10000)))/($D$6+$D$7))-1)*1000)-D13)^2)+(((((((((C13+$D$9)/10000)/(100-((C13+$D$9)/10000)))/$D$6)-1)*1000))-D13)^2)),"Not selected"))))</f>
        <v>Not selected</v>
      </c>
      <c r="L13" s="54" t="str">
        <f t="shared" ref="L13:L52" si="2">IF(ISNUMBER(SEARCH("delta",$C$12)),SQRT((((((((C13/1000)+1)*($D$6+$D$7))/(1+(((C13/1000)+1)*($D$6+$D$7))))*100)-E13)^2)+((((((((C13+$D$9)/1000)+1)*$D$6)/(1+((((C13+$D$9)/1000)+1)*$D$6)))*100)-E13)^2)),IF(ISNUMBER(SEARCH("ratio",$C$12)),SQRT((((((C13/(1+C13))*100))-E13)^2)+((((((C13+$D$9)/(1+(C13+$D$9)))*100))-E13)^2)),IF(ISNUMBER(SEARCH("%",$C$12)),SQRT(((((C13/(100-C13)))-E13)^2)+(((((C13+$D$9)/(100-(C13+$D$9))))-E13)^2)),
IF(ISNUMBER(SEARCH("ppm",$C$12)),SQRT((((((C13/10000)/(100-(C13/10000))))-E13)^2)+((((((C13+$D$9)/10000)/(100-((C13+$D$9)/10000))))-E13)^2)),"Not selected"))))</f>
        <v>Not selected</v>
      </c>
      <c r="M13" s="52" t="str">
        <f t="shared" ref="M13:M52" si="3">IF(ISNUMBER(SEARCH("delta",$C$12)),SQRT((((((((C13/1000)+1)*($D$6+$D$7))/(1+(((C13/1000)+1)*($D$6+$D$7))))*1000000)-F13)^2)+((((((((C13+$D$9)/1000)+1)*$D$6)/(1+((((C13+$D$9)/1000)+1)*$D$6)))*1000000)-F13)^2)),IF(ISNUMBER(SEARCH("ratio",$C$12)),SQRT(((((C13/(1+C13))*1000000)-F13)^2)+(((((C13+$D$9)/(1+(C13+$D$9)))*1000000)-F13)^2)),IF(ISNUMBER(SEARCH("%",$C$12)),SQRT((((C13*10000)-F13)^2)+((((C13+$D$9)*10000)-F13)^2)),IF(ISNUMBER(SEARCH("ppm",$C$12)),SQRT((((C13/10000)-F13)^2)+((((C13+$D$9)/10000)-F13)^2)),"Not selected"))))</f>
        <v>Not selected</v>
      </c>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row>
    <row r="14" spans="1:116" s="2" customFormat="1" ht="14" x14ac:dyDescent="0.2">
      <c r="A14" s="10"/>
      <c r="B14" s="31" t="s">
        <v>60</v>
      </c>
      <c r="C14" s="49">
        <v>0</v>
      </c>
      <c r="D14" s="50" t="str">
        <f t="shared" si="0"/>
        <v>Not selected</v>
      </c>
      <c r="E14" s="51" t="str">
        <f t="shared" ref="E14:E42" si="4">IF(ISNUMBER(SEARCH("delta",$C$12)),((((C14/1000)+1)*$D$6)/(1+(((C14/1000)+1)*$D$6)))*100,IF(ISNUMBER(SEARCH("ratio",$C$12)),((C14/(1+C14))*100),IF(ISNUMBER(SEARCH("%",$C$12)),(C14/(100-C14)),IF(ISNUMBER(SEARCH("ppm",$C$12)),((C14/10000)/(100-(C14/10000))),"Not selected"))))</f>
        <v>Not selected</v>
      </c>
      <c r="F14" s="52" t="str">
        <f t="shared" ref="F14:F42" si="5">IF(ISNUMBER(SEARCH("delta",$C$12)),((((C14/1000)+1)*$D$6)/(1+(((C14/1000)+1)*$D$6)))*1000000,IF(ISNUMBER(SEARCH("ratio",$C$12)),(C14/(1+C14))*1000000,IF(ISNUMBER(SEARCH("%",$C$12)),C14*10000,IF(ISNUMBER(SEARCH("ppm",$C$12)),C14/10000,"Not selected"))))</f>
        <v>Not selected</v>
      </c>
      <c r="G14" s="314"/>
      <c r="H14" s="314"/>
      <c r="I14" s="314"/>
      <c r="J14" s="14"/>
      <c r="K14" s="53" t="str">
        <f t="shared" si="1"/>
        <v>Not selected</v>
      </c>
      <c r="L14" s="54" t="str">
        <f t="shared" si="2"/>
        <v>Not selected</v>
      </c>
      <c r="M14" s="52" t="str">
        <f t="shared" si="3"/>
        <v>Not selected</v>
      </c>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row>
    <row r="15" spans="1:116" s="2" customFormat="1" ht="14" x14ac:dyDescent="0.2">
      <c r="A15" s="10"/>
      <c r="B15" s="31" t="s">
        <v>60</v>
      </c>
      <c r="C15" s="49">
        <v>0</v>
      </c>
      <c r="D15" s="50" t="str">
        <f t="shared" si="0"/>
        <v>Not selected</v>
      </c>
      <c r="E15" s="51" t="str">
        <f t="shared" si="4"/>
        <v>Not selected</v>
      </c>
      <c r="F15" s="52" t="str">
        <f t="shared" si="5"/>
        <v>Not selected</v>
      </c>
      <c r="G15" s="314"/>
      <c r="H15" s="314"/>
      <c r="I15" s="314"/>
      <c r="J15" s="14"/>
      <c r="K15" s="53" t="str">
        <f t="shared" si="1"/>
        <v>Not selected</v>
      </c>
      <c r="L15" s="54" t="str">
        <f t="shared" si="2"/>
        <v>Not selected</v>
      </c>
      <c r="M15" s="52" t="str">
        <f t="shared" si="3"/>
        <v>Not selected</v>
      </c>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row>
    <row r="16" spans="1:116" s="2" customFormat="1" ht="14" x14ac:dyDescent="0.2">
      <c r="A16" s="10"/>
      <c r="B16" s="31" t="s">
        <v>60</v>
      </c>
      <c r="C16" s="49">
        <v>0</v>
      </c>
      <c r="D16" s="50" t="str">
        <f t="shared" si="0"/>
        <v>Not selected</v>
      </c>
      <c r="E16" s="51" t="str">
        <f t="shared" si="4"/>
        <v>Not selected</v>
      </c>
      <c r="F16" s="52" t="str">
        <f t="shared" si="5"/>
        <v>Not selected</v>
      </c>
      <c r="G16" s="314"/>
      <c r="H16" s="314"/>
      <c r="I16" s="314"/>
      <c r="J16" s="14"/>
      <c r="K16" s="53" t="str">
        <f t="shared" si="1"/>
        <v>Not selected</v>
      </c>
      <c r="L16" s="54" t="str">
        <f t="shared" si="2"/>
        <v>Not selected</v>
      </c>
      <c r="M16" s="52" t="str">
        <f t="shared" si="3"/>
        <v>Not selected</v>
      </c>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row>
    <row r="17" spans="1:116" s="2" customFormat="1" ht="14" x14ac:dyDescent="0.2">
      <c r="A17" s="10"/>
      <c r="B17" s="31" t="s">
        <v>60</v>
      </c>
      <c r="C17" s="49">
        <v>0</v>
      </c>
      <c r="D17" s="50" t="str">
        <f t="shared" si="0"/>
        <v>Not selected</v>
      </c>
      <c r="E17" s="51" t="str">
        <f t="shared" si="4"/>
        <v>Not selected</v>
      </c>
      <c r="F17" s="52" t="str">
        <f t="shared" si="5"/>
        <v>Not selected</v>
      </c>
      <c r="G17" s="314"/>
      <c r="H17" s="314"/>
      <c r="I17" s="314"/>
      <c r="J17" s="14"/>
      <c r="K17" s="53" t="str">
        <f t="shared" si="1"/>
        <v>Not selected</v>
      </c>
      <c r="L17" s="54" t="str">
        <f t="shared" si="2"/>
        <v>Not selected</v>
      </c>
      <c r="M17" s="52" t="str">
        <f t="shared" si="3"/>
        <v>Not selected</v>
      </c>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row>
    <row r="18" spans="1:116" s="2" customFormat="1" ht="14" x14ac:dyDescent="0.2">
      <c r="A18" s="10"/>
      <c r="B18" s="31" t="s">
        <v>60</v>
      </c>
      <c r="C18" s="49">
        <v>0</v>
      </c>
      <c r="D18" s="50" t="str">
        <f t="shared" si="0"/>
        <v>Not selected</v>
      </c>
      <c r="E18" s="51" t="str">
        <f t="shared" si="4"/>
        <v>Not selected</v>
      </c>
      <c r="F18" s="52" t="str">
        <f t="shared" si="5"/>
        <v>Not selected</v>
      </c>
      <c r="G18" s="314"/>
      <c r="H18" s="314"/>
      <c r="I18" s="314"/>
      <c r="J18" s="14"/>
      <c r="K18" s="53" t="str">
        <f t="shared" si="1"/>
        <v>Not selected</v>
      </c>
      <c r="L18" s="54" t="str">
        <f t="shared" si="2"/>
        <v>Not selected</v>
      </c>
      <c r="M18" s="52" t="str">
        <f t="shared" si="3"/>
        <v>Not selected</v>
      </c>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row>
    <row r="19" spans="1:116" s="2" customFormat="1" ht="14" x14ac:dyDescent="0.2">
      <c r="A19" s="10"/>
      <c r="B19" s="31" t="s">
        <v>60</v>
      </c>
      <c r="C19" s="49">
        <v>0</v>
      </c>
      <c r="D19" s="50" t="str">
        <f t="shared" si="0"/>
        <v>Not selected</v>
      </c>
      <c r="E19" s="51" t="str">
        <f t="shared" si="4"/>
        <v>Not selected</v>
      </c>
      <c r="F19" s="52" t="str">
        <f t="shared" si="5"/>
        <v>Not selected</v>
      </c>
      <c r="G19" s="314"/>
      <c r="H19" s="314"/>
      <c r="I19" s="314"/>
      <c r="J19" s="14"/>
      <c r="K19" s="53" t="str">
        <f t="shared" si="1"/>
        <v>Not selected</v>
      </c>
      <c r="L19" s="54" t="str">
        <f t="shared" si="2"/>
        <v>Not selected</v>
      </c>
      <c r="M19" s="52" t="str">
        <f t="shared" si="3"/>
        <v>Not selected</v>
      </c>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row>
    <row r="20" spans="1:116" s="2" customFormat="1" ht="14" x14ac:dyDescent="0.2">
      <c r="A20" s="10"/>
      <c r="B20" s="31" t="s">
        <v>60</v>
      </c>
      <c r="C20" s="49">
        <v>0</v>
      </c>
      <c r="D20" s="50" t="str">
        <f t="shared" si="0"/>
        <v>Not selected</v>
      </c>
      <c r="E20" s="51" t="str">
        <f t="shared" si="4"/>
        <v>Not selected</v>
      </c>
      <c r="F20" s="52" t="str">
        <f t="shared" si="5"/>
        <v>Not selected</v>
      </c>
      <c r="G20" s="314"/>
      <c r="H20" s="314"/>
      <c r="I20" s="314"/>
      <c r="J20" s="14"/>
      <c r="K20" s="53" t="str">
        <f t="shared" si="1"/>
        <v>Not selected</v>
      </c>
      <c r="L20" s="54" t="str">
        <f t="shared" si="2"/>
        <v>Not selected</v>
      </c>
      <c r="M20" s="52" t="str">
        <f t="shared" si="3"/>
        <v>Not selected</v>
      </c>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row>
    <row r="21" spans="1:116" s="2" customFormat="1" ht="14" x14ac:dyDescent="0.2">
      <c r="A21" s="10"/>
      <c r="B21" s="31" t="s">
        <v>60</v>
      </c>
      <c r="C21" s="49">
        <v>0</v>
      </c>
      <c r="D21" s="50" t="str">
        <f t="shared" si="0"/>
        <v>Not selected</v>
      </c>
      <c r="E21" s="51" t="str">
        <f t="shared" si="4"/>
        <v>Not selected</v>
      </c>
      <c r="F21" s="52" t="str">
        <f t="shared" si="5"/>
        <v>Not selected</v>
      </c>
      <c r="G21" s="314"/>
      <c r="H21" s="314"/>
      <c r="I21" s="314"/>
      <c r="J21" s="14"/>
      <c r="K21" s="53" t="str">
        <f t="shared" si="1"/>
        <v>Not selected</v>
      </c>
      <c r="L21" s="54" t="str">
        <f t="shared" si="2"/>
        <v>Not selected</v>
      </c>
      <c r="M21" s="52" t="str">
        <f t="shared" si="3"/>
        <v>Not selected</v>
      </c>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row>
    <row r="22" spans="1:116" s="2" customFormat="1" ht="14" x14ac:dyDescent="0.2">
      <c r="A22" s="10"/>
      <c r="B22" s="31" t="s">
        <v>60</v>
      </c>
      <c r="C22" s="49">
        <v>0</v>
      </c>
      <c r="D22" s="50" t="str">
        <f t="shared" si="0"/>
        <v>Not selected</v>
      </c>
      <c r="E22" s="51" t="str">
        <f t="shared" si="4"/>
        <v>Not selected</v>
      </c>
      <c r="F22" s="52" t="str">
        <f t="shared" si="5"/>
        <v>Not selected</v>
      </c>
      <c r="G22" s="314"/>
      <c r="H22" s="314"/>
      <c r="I22" s="314"/>
      <c r="J22" s="14"/>
      <c r="K22" s="53" t="str">
        <f t="shared" si="1"/>
        <v>Not selected</v>
      </c>
      <c r="L22" s="54" t="str">
        <f t="shared" si="2"/>
        <v>Not selected</v>
      </c>
      <c r="M22" s="52" t="str">
        <f t="shared" si="3"/>
        <v>Not selected</v>
      </c>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row>
    <row r="23" spans="1:116" s="2" customFormat="1" ht="14" x14ac:dyDescent="0.2">
      <c r="A23" s="10"/>
      <c r="B23" s="31" t="s">
        <v>60</v>
      </c>
      <c r="C23" s="49">
        <v>0</v>
      </c>
      <c r="D23" s="50" t="str">
        <f t="shared" si="0"/>
        <v>Not selected</v>
      </c>
      <c r="E23" s="51" t="str">
        <f t="shared" si="4"/>
        <v>Not selected</v>
      </c>
      <c r="F23" s="52" t="str">
        <f t="shared" si="5"/>
        <v>Not selected</v>
      </c>
      <c r="G23" s="314"/>
      <c r="H23" s="314"/>
      <c r="I23" s="314"/>
      <c r="J23" s="14"/>
      <c r="K23" s="53" t="str">
        <f t="shared" si="1"/>
        <v>Not selected</v>
      </c>
      <c r="L23" s="54" t="str">
        <f t="shared" si="2"/>
        <v>Not selected</v>
      </c>
      <c r="M23" s="52" t="str">
        <f t="shared" si="3"/>
        <v>Not selected</v>
      </c>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row>
    <row r="24" spans="1:116" s="2" customFormat="1" ht="14" x14ac:dyDescent="0.2">
      <c r="A24" s="10"/>
      <c r="B24" s="31" t="s">
        <v>60</v>
      </c>
      <c r="C24" s="49">
        <v>0</v>
      </c>
      <c r="D24" s="50" t="str">
        <f t="shared" si="0"/>
        <v>Not selected</v>
      </c>
      <c r="E24" s="51" t="str">
        <f t="shared" si="4"/>
        <v>Not selected</v>
      </c>
      <c r="F24" s="52" t="str">
        <f t="shared" si="5"/>
        <v>Not selected</v>
      </c>
      <c r="G24" s="314"/>
      <c r="H24" s="314"/>
      <c r="I24" s="314"/>
      <c r="J24" s="14"/>
      <c r="K24" s="53" t="str">
        <f t="shared" si="1"/>
        <v>Not selected</v>
      </c>
      <c r="L24" s="54" t="str">
        <f t="shared" si="2"/>
        <v>Not selected</v>
      </c>
      <c r="M24" s="52" t="str">
        <f t="shared" si="3"/>
        <v>Not selected</v>
      </c>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row>
    <row r="25" spans="1:116" s="2" customFormat="1" ht="14" x14ac:dyDescent="0.2">
      <c r="A25" s="10"/>
      <c r="B25" s="31" t="s">
        <v>60</v>
      </c>
      <c r="C25" s="49">
        <v>0</v>
      </c>
      <c r="D25" s="50" t="str">
        <f t="shared" si="0"/>
        <v>Not selected</v>
      </c>
      <c r="E25" s="51" t="str">
        <f t="shared" si="4"/>
        <v>Not selected</v>
      </c>
      <c r="F25" s="52" t="str">
        <f t="shared" si="5"/>
        <v>Not selected</v>
      </c>
      <c r="G25" s="314"/>
      <c r="H25" s="314"/>
      <c r="I25" s="314"/>
      <c r="J25" s="14"/>
      <c r="K25" s="53" t="str">
        <f t="shared" si="1"/>
        <v>Not selected</v>
      </c>
      <c r="L25" s="54" t="str">
        <f t="shared" si="2"/>
        <v>Not selected</v>
      </c>
      <c r="M25" s="52" t="str">
        <f t="shared" si="3"/>
        <v>Not selected</v>
      </c>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row>
    <row r="26" spans="1:116" s="2" customFormat="1" ht="14" x14ac:dyDescent="0.2">
      <c r="A26" s="10"/>
      <c r="B26" s="31" t="s">
        <v>60</v>
      </c>
      <c r="C26" s="49">
        <v>0</v>
      </c>
      <c r="D26" s="50" t="str">
        <f t="shared" si="0"/>
        <v>Not selected</v>
      </c>
      <c r="E26" s="51" t="str">
        <f t="shared" si="4"/>
        <v>Not selected</v>
      </c>
      <c r="F26" s="52" t="str">
        <f t="shared" si="5"/>
        <v>Not selected</v>
      </c>
      <c r="G26" s="314"/>
      <c r="H26" s="314"/>
      <c r="I26" s="314"/>
      <c r="J26" s="14"/>
      <c r="K26" s="53" t="str">
        <f t="shared" si="1"/>
        <v>Not selected</v>
      </c>
      <c r="L26" s="54" t="str">
        <f t="shared" si="2"/>
        <v>Not selected</v>
      </c>
      <c r="M26" s="52" t="str">
        <f t="shared" si="3"/>
        <v>Not selected</v>
      </c>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row>
    <row r="27" spans="1:116" s="2" customFormat="1" ht="14" x14ac:dyDescent="0.2">
      <c r="A27" s="10"/>
      <c r="B27" s="31" t="s">
        <v>60</v>
      </c>
      <c r="C27" s="49">
        <v>0</v>
      </c>
      <c r="D27" s="50" t="str">
        <f t="shared" si="0"/>
        <v>Not selected</v>
      </c>
      <c r="E27" s="51" t="str">
        <f t="shared" si="4"/>
        <v>Not selected</v>
      </c>
      <c r="F27" s="52" t="str">
        <f t="shared" si="5"/>
        <v>Not selected</v>
      </c>
      <c r="G27" s="314"/>
      <c r="H27" s="314"/>
      <c r="I27" s="314"/>
      <c r="J27" s="14"/>
      <c r="K27" s="53" t="str">
        <f t="shared" si="1"/>
        <v>Not selected</v>
      </c>
      <c r="L27" s="54" t="str">
        <f t="shared" si="2"/>
        <v>Not selected</v>
      </c>
      <c r="M27" s="52" t="str">
        <f t="shared" si="3"/>
        <v>Not selected</v>
      </c>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row>
    <row r="28" spans="1:116" s="2" customFormat="1" ht="14" x14ac:dyDescent="0.2">
      <c r="A28" s="10"/>
      <c r="B28" s="31" t="s">
        <v>60</v>
      </c>
      <c r="C28" s="49">
        <v>0</v>
      </c>
      <c r="D28" s="50" t="str">
        <f t="shared" si="0"/>
        <v>Not selected</v>
      </c>
      <c r="E28" s="51" t="str">
        <f t="shared" si="4"/>
        <v>Not selected</v>
      </c>
      <c r="F28" s="52" t="str">
        <f t="shared" si="5"/>
        <v>Not selected</v>
      </c>
      <c r="G28" s="314"/>
      <c r="H28" s="314"/>
      <c r="I28" s="314"/>
      <c r="J28" s="14"/>
      <c r="K28" s="53" t="str">
        <f t="shared" si="1"/>
        <v>Not selected</v>
      </c>
      <c r="L28" s="54" t="str">
        <f t="shared" si="2"/>
        <v>Not selected</v>
      </c>
      <c r="M28" s="52" t="str">
        <f t="shared" si="3"/>
        <v>Not selected</v>
      </c>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row>
    <row r="29" spans="1:116" s="2" customFormat="1" ht="14" x14ac:dyDescent="0.2">
      <c r="A29" s="10"/>
      <c r="B29" s="31" t="s">
        <v>60</v>
      </c>
      <c r="C29" s="49">
        <v>0</v>
      </c>
      <c r="D29" s="50" t="str">
        <f t="shared" si="0"/>
        <v>Not selected</v>
      </c>
      <c r="E29" s="51" t="str">
        <f t="shared" si="4"/>
        <v>Not selected</v>
      </c>
      <c r="F29" s="52" t="str">
        <f t="shared" si="5"/>
        <v>Not selected</v>
      </c>
      <c r="G29" s="314"/>
      <c r="H29" s="314"/>
      <c r="I29" s="314"/>
      <c r="J29" s="14"/>
      <c r="K29" s="53" t="str">
        <f t="shared" si="1"/>
        <v>Not selected</v>
      </c>
      <c r="L29" s="54" t="str">
        <f t="shared" si="2"/>
        <v>Not selected</v>
      </c>
      <c r="M29" s="52" t="str">
        <f t="shared" si="3"/>
        <v>Not selected</v>
      </c>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row>
    <row r="30" spans="1:116" s="2" customFormat="1" ht="14" x14ac:dyDescent="0.2">
      <c r="A30" s="10"/>
      <c r="B30" s="31" t="s">
        <v>60</v>
      </c>
      <c r="C30" s="49">
        <v>0</v>
      </c>
      <c r="D30" s="50" t="str">
        <f t="shared" si="0"/>
        <v>Not selected</v>
      </c>
      <c r="E30" s="51" t="str">
        <f t="shared" si="4"/>
        <v>Not selected</v>
      </c>
      <c r="F30" s="52" t="str">
        <f t="shared" si="5"/>
        <v>Not selected</v>
      </c>
      <c r="G30" s="314"/>
      <c r="H30" s="314"/>
      <c r="I30" s="314"/>
      <c r="J30" s="14"/>
      <c r="K30" s="53" t="str">
        <f t="shared" si="1"/>
        <v>Not selected</v>
      </c>
      <c r="L30" s="54" t="str">
        <f t="shared" si="2"/>
        <v>Not selected</v>
      </c>
      <c r="M30" s="52" t="str">
        <f t="shared" si="3"/>
        <v>Not selected</v>
      </c>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row>
    <row r="31" spans="1:116" s="2" customFormat="1" ht="14" x14ac:dyDescent="0.2">
      <c r="A31" s="10"/>
      <c r="B31" s="31" t="s">
        <v>60</v>
      </c>
      <c r="C31" s="49">
        <v>0</v>
      </c>
      <c r="D31" s="50" t="str">
        <f t="shared" si="0"/>
        <v>Not selected</v>
      </c>
      <c r="E31" s="51" t="str">
        <f t="shared" si="4"/>
        <v>Not selected</v>
      </c>
      <c r="F31" s="52" t="str">
        <f t="shared" si="5"/>
        <v>Not selected</v>
      </c>
      <c r="G31" s="314"/>
      <c r="H31" s="314"/>
      <c r="I31" s="314"/>
      <c r="J31" s="14"/>
      <c r="K31" s="53" t="str">
        <f t="shared" si="1"/>
        <v>Not selected</v>
      </c>
      <c r="L31" s="54" t="str">
        <f t="shared" si="2"/>
        <v>Not selected</v>
      </c>
      <c r="M31" s="52" t="str">
        <f t="shared" si="3"/>
        <v>Not selected</v>
      </c>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row>
    <row r="32" spans="1:116" s="2" customFormat="1" ht="14" x14ac:dyDescent="0.2">
      <c r="A32" s="10"/>
      <c r="B32" s="31" t="s">
        <v>60</v>
      </c>
      <c r="C32" s="49">
        <v>0</v>
      </c>
      <c r="D32" s="50" t="str">
        <f t="shared" si="0"/>
        <v>Not selected</v>
      </c>
      <c r="E32" s="51" t="str">
        <f t="shared" si="4"/>
        <v>Not selected</v>
      </c>
      <c r="F32" s="52" t="str">
        <f t="shared" si="5"/>
        <v>Not selected</v>
      </c>
      <c r="G32" s="314"/>
      <c r="H32" s="314"/>
      <c r="I32" s="314"/>
      <c r="J32" s="14"/>
      <c r="K32" s="53" t="str">
        <f t="shared" si="1"/>
        <v>Not selected</v>
      </c>
      <c r="L32" s="54" t="str">
        <f t="shared" si="2"/>
        <v>Not selected</v>
      </c>
      <c r="M32" s="52" t="str">
        <f t="shared" si="3"/>
        <v>Not selected</v>
      </c>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row>
    <row r="33" spans="1:116" s="2" customFormat="1" ht="14" x14ac:dyDescent="0.2">
      <c r="A33" s="10"/>
      <c r="B33" s="31" t="s">
        <v>60</v>
      </c>
      <c r="C33" s="49">
        <v>0</v>
      </c>
      <c r="D33" s="50" t="str">
        <f t="shared" si="0"/>
        <v>Not selected</v>
      </c>
      <c r="E33" s="51" t="str">
        <f t="shared" si="4"/>
        <v>Not selected</v>
      </c>
      <c r="F33" s="52" t="str">
        <f t="shared" si="5"/>
        <v>Not selected</v>
      </c>
      <c r="G33" s="314"/>
      <c r="H33" s="314"/>
      <c r="I33" s="314"/>
      <c r="J33" s="14"/>
      <c r="K33" s="53" t="str">
        <f t="shared" si="1"/>
        <v>Not selected</v>
      </c>
      <c r="L33" s="54" t="str">
        <f t="shared" si="2"/>
        <v>Not selected</v>
      </c>
      <c r="M33" s="52" t="str">
        <f t="shared" si="3"/>
        <v>Not selected</v>
      </c>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row>
    <row r="34" spans="1:116" s="2" customFormat="1" ht="14" x14ac:dyDescent="0.2">
      <c r="A34" s="10"/>
      <c r="B34" s="31" t="s">
        <v>60</v>
      </c>
      <c r="C34" s="49">
        <v>0</v>
      </c>
      <c r="D34" s="50" t="str">
        <f t="shared" si="0"/>
        <v>Not selected</v>
      </c>
      <c r="E34" s="51" t="str">
        <f t="shared" si="4"/>
        <v>Not selected</v>
      </c>
      <c r="F34" s="52" t="str">
        <f t="shared" si="5"/>
        <v>Not selected</v>
      </c>
      <c r="G34" s="314"/>
      <c r="H34" s="314"/>
      <c r="I34" s="314"/>
      <c r="J34" s="14"/>
      <c r="K34" s="53" t="str">
        <f t="shared" si="1"/>
        <v>Not selected</v>
      </c>
      <c r="L34" s="54" t="str">
        <f t="shared" si="2"/>
        <v>Not selected</v>
      </c>
      <c r="M34" s="52" t="str">
        <f t="shared" si="3"/>
        <v>Not selected</v>
      </c>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row>
    <row r="35" spans="1:116" s="2" customFormat="1" ht="14" x14ac:dyDescent="0.2">
      <c r="A35" s="10"/>
      <c r="B35" s="31" t="s">
        <v>60</v>
      </c>
      <c r="C35" s="49">
        <v>0</v>
      </c>
      <c r="D35" s="50" t="str">
        <f t="shared" si="0"/>
        <v>Not selected</v>
      </c>
      <c r="E35" s="51" t="str">
        <f t="shared" si="4"/>
        <v>Not selected</v>
      </c>
      <c r="F35" s="52" t="str">
        <f t="shared" si="5"/>
        <v>Not selected</v>
      </c>
      <c r="G35" s="314"/>
      <c r="H35" s="314"/>
      <c r="I35" s="314"/>
      <c r="J35" s="14"/>
      <c r="K35" s="53" t="str">
        <f t="shared" si="1"/>
        <v>Not selected</v>
      </c>
      <c r="L35" s="54" t="str">
        <f t="shared" si="2"/>
        <v>Not selected</v>
      </c>
      <c r="M35" s="52" t="str">
        <f t="shared" si="3"/>
        <v>Not selected</v>
      </c>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row>
    <row r="36" spans="1:116" s="2" customFormat="1" ht="14" x14ac:dyDescent="0.2">
      <c r="A36" s="10"/>
      <c r="B36" s="31" t="s">
        <v>60</v>
      </c>
      <c r="C36" s="49">
        <v>0</v>
      </c>
      <c r="D36" s="50" t="str">
        <f t="shared" si="0"/>
        <v>Not selected</v>
      </c>
      <c r="E36" s="51" t="str">
        <f t="shared" si="4"/>
        <v>Not selected</v>
      </c>
      <c r="F36" s="52" t="str">
        <f t="shared" si="5"/>
        <v>Not selected</v>
      </c>
      <c r="G36" s="314"/>
      <c r="H36" s="314"/>
      <c r="I36" s="314"/>
      <c r="J36" s="14"/>
      <c r="K36" s="53" t="str">
        <f t="shared" si="1"/>
        <v>Not selected</v>
      </c>
      <c r="L36" s="54" t="str">
        <f t="shared" si="2"/>
        <v>Not selected</v>
      </c>
      <c r="M36" s="52" t="str">
        <f t="shared" si="3"/>
        <v>Not selected</v>
      </c>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row>
    <row r="37" spans="1:116" s="2" customFormat="1" ht="14" x14ac:dyDescent="0.2">
      <c r="A37" s="10"/>
      <c r="B37" s="31" t="s">
        <v>60</v>
      </c>
      <c r="C37" s="49">
        <v>0</v>
      </c>
      <c r="D37" s="50" t="str">
        <f t="shared" si="0"/>
        <v>Not selected</v>
      </c>
      <c r="E37" s="51" t="str">
        <f t="shared" si="4"/>
        <v>Not selected</v>
      </c>
      <c r="F37" s="52" t="str">
        <f t="shared" si="5"/>
        <v>Not selected</v>
      </c>
      <c r="G37" s="314"/>
      <c r="H37" s="314"/>
      <c r="I37" s="314"/>
      <c r="J37" s="14"/>
      <c r="K37" s="53" t="str">
        <f t="shared" si="1"/>
        <v>Not selected</v>
      </c>
      <c r="L37" s="54" t="str">
        <f t="shared" si="2"/>
        <v>Not selected</v>
      </c>
      <c r="M37" s="52" t="str">
        <f t="shared" si="3"/>
        <v>Not selected</v>
      </c>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row>
    <row r="38" spans="1:116" s="2" customFormat="1" ht="14" x14ac:dyDescent="0.2">
      <c r="A38" s="10"/>
      <c r="B38" s="31" t="s">
        <v>60</v>
      </c>
      <c r="C38" s="49">
        <v>0</v>
      </c>
      <c r="D38" s="50" t="str">
        <f t="shared" si="0"/>
        <v>Not selected</v>
      </c>
      <c r="E38" s="51" t="str">
        <f t="shared" si="4"/>
        <v>Not selected</v>
      </c>
      <c r="F38" s="52" t="str">
        <f t="shared" si="5"/>
        <v>Not selected</v>
      </c>
      <c r="G38" s="314"/>
      <c r="H38" s="314"/>
      <c r="I38" s="314"/>
      <c r="J38" s="14"/>
      <c r="K38" s="53" t="str">
        <f t="shared" si="1"/>
        <v>Not selected</v>
      </c>
      <c r="L38" s="54" t="str">
        <f t="shared" si="2"/>
        <v>Not selected</v>
      </c>
      <c r="M38" s="52" t="str">
        <f t="shared" si="3"/>
        <v>Not selected</v>
      </c>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row>
    <row r="39" spans="1:116" s="2" customFormat="1" ht="14" x14ac:dyDescent="0.2">
      <c r="A39" s="10"/>
      <c r="B39" s="31" t="s">
        <v>60</v>
      </c>
      <c r="C39" s="49">
        <v>0</v>
      </c>
      <c r="D39" s="50" t="str">
        <f t="shared" si="0"/>
        <v>Not selected</v>
      </c>
      <c r="E39" s="51" t="str">
        <f t="shared" si="4"/>
        <v>Not selected</v>
      </c>
      <c r="F39" s="52" t="str">
        <f t="shared" si="5"/>
        <v>Not selected</v>
      </c>
      <c r="G39" s="314"/>
      <c r="H39" s="314"/>
      <c r="I39" s="314"/>
      <c r="J39" s="14"/>
      <c r="K39" s="53" t="str">
        <f t="shared" si="1"/>
        <v>Not selected</v>
      </c>
      <c r="L39" s="54" t="str">
        <f t="shared" si="2"/>
        <v>Not selected</v>
      </c>
      <c r="M39" s="52" t="str">
        <f t="shared" si="3"/>
        <v>Not selected</v>
      </c>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row>
    <row r="40" spans="1:116" s="2" customFormat="1" ht="14" x14ac:dyDescent="0.2">
      <c r="A40" s="10"/>
      <c r="B40" s="31" t="s">
        <v>60</v>
      </c>
      <c r="C40" s="49">
        <v>0</v>
      </c>
      <c r="D40" s="50" t="str">
        <f t="shared" si="0"/>
        <v>Not selected</v>
      </c>
      <c r="E40" s="51" t="str">
        <f t="shared" si="4"/>
        <v>Not selected</v>
      </c>
      <c r="F40" s="52" t="str">
        <f t="shared" si="5"/>
        <v>Not selected</v>
      </c>
      <c r="G40" s="314"/>
      <c r="H40" s="314"/>
      <c r="I40" s="314"/>
      <c r="J40" s="14"/>
      <c r="K40" s="53" t="str">
        <f t="shared" si="1"/>
        <v>Not selected</v>
      </c>
      <c r="L40" s="54" t="str">
        <f t="shared" si="2"/>
        <v>Not selected</v>
      </c>
      <c r="M40" s="52" t="str">
        <f t="shared" si="3"/>
        <v>Not selected</v>
      </c>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row>
    <row r="41" spans="1:116" s="2" customFormat="1" ht="14" x14ac:dyDescent="0.2">
      <c r="A41" s="10"/>
      <c r="B41" s="31" t="s">
        <v>60</v>
      </c>
      <c r="C41" s="49">
        <v>0</v>
      </c>
      <c r="D41" s="50" t="str">
        <f t="shared" si="0"/>
        <v>Not selected</v>
      </c>
      <c r="E41" s="51" t="str">
        <f t="shared" si="4"/>
        <v>Not selected</v>
      </c>
      <c r="F41" s="52" t="str">
        <f t="shared" si="5"/>
        <v>Not selected</v>
      </c>
      <c r="G41" s="314"/>
      <c r="H41" s="314"/>
      <c r="I41" s="314"/>
      <c r="J41" s="14"/>
      <c r="K41" s="53" t="str">
        <f t="shared" si="1"/>
        <v>Not selected</v>
      </c>
      <c r="L41" s="54" t="str">
        <f t="shared" si="2"/>
        <v>Not selected</v>
      </c>
      <c r="M41" s="52" t="str">
        <f t="shared" si="3"/>
        <v>Not selected</v>
      </c>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row>
    <row r="42" spans="1:116" s="2" customFormat="1" ht="14" x14ac:dyDescent="0.2">
      <c r="A42" s="10"/>
      <c r="B42" s="31" t="s">
        <v>60</v>
      </c>
      <c r="C42" s="49">
        <v>0</v>
      </c>
      <c r="D42" s="50" t="str">
        <f t="shared" si="0"/>
        <v>Not selected</v>
      </c>
      <c r="E42" s="51" t="str">
        <f t="shared" si="4"/>
        <v>Not selected</v>
      </c>
      <c r="F42" s="52" t="str">
        <f t="shared" si="5"/>
        <v>Not selected</v>
      </c>
      <c r="G42" s="314"/>
      <c r="H42" s="314"/>
      <c r="I42" s="314"/>
      <c r="J42" s="14"/>
      <c r="K42" s="53" t="str">
        <f t="shared" si="1"/>
        <v>Not selected</v>
      </c>
      <c r="L42" s="54" t="str">
        <f t="shared" si="2"/>
        <v>Not selected</v>
      </c>
      <c r="M42" s="52" t="str">
        <f t="shared" si="3"/>
        <v>Not selected</v>
      </c>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row>
    <row r="43" spans="1:116" s="2" customFormat="1" ht="14" x14ac:dyDescent="0.2">
      <c r="A43" s="10"/>
      <c r="B43" s="31" t="s">
        <v>60</v>
      </c>
      <c r="C43" s="49">
        <v>0</v>
      </c>
      <c r="D43" s="50" t="str">
        <f t="shared" ref="D43:D52" si="6">IF(ISNUMBER(SEARCH("delta",$C$12)),((C43/1000)+1)*$D$6,IF(ISNUMBER(SEARCH("ratio",$C$12)),(((C43/$D$6)-1)*1000),IF(ISNUMBER(SEARCH("%",$C$12)),((((C43/(100-C43))/$D$6)-1)*1000),IF(ISNUMBER(SEARCH("ppm",$C$12)),((((((C43/10000)/(100-(C43/10000))/$D$6)-1)*1000))),"Not selected"))))</f>
        <v>Not selected</v>
      </c>
      <c r="E43" s="51" t="str">
        <f t="shared" ref="E43:E52" si="7">IF(ISNUMBER(SEARCH("delta",$C$12)),((((C43/1000)+1)*$D$6)/(1+(((C43/1000)+1)*$D$6)))*100,IF(ISNUMBER(SEARCH("ratio",$C$12)),((C43/(1+C43))*100),IF(ISNUMBER(SEARCH("%",$C$12)),(C43/(100-C43)),IF(ISNUMBER(SEARCH("ppm",$C$12)),((C43/10000)/(100-(C43/10000))),"Not selected"))))</f>
        <v>Not selected</v>
      </c>
      <c r="F43" s="52" t="str">
        <f t="shared" ref="F43:F52" si="8">IF(ISNUMBER(SEARCH("delta",$C$12)),((((C43/1000)+1)*$D$6)/(1+(((C43/1000)+1)*$D$6)))*1000000,IF(ISNUMBER(SEARCH("ratio",$C$12)),(C43/(1+C43))*1000000,IF(ISNUMBER(SEARCH("%",$C$12)),C43*10000,IF(ISNUMBER(SEARCH("ppm",$C$12)),C43/10000,"Not selected"))))</f>
        <v>Not selected</v>
      </c>
      <c r="G43" s="314"/>
      <c r="H43" s="314"/>
      <c r="I43" s="314"/>
      <c r="J43" s="14"/>
      <c r="K43" s="53" t="str">
        <f t="shared" si="1"/>
        <v>Not selected</v>
      </c>
      <c r="L43" s="54" t="str">
        <f t="shared" si="2"/>
        <v>Not selected</v>
      </c>
      <c r="M43" s="52" t="str">
        <f t="shared" si="3"/>
        <v>Not selected</v>
      </c>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row>
    <row r="44" spans="1:116" s="2" customFormat="1" ht="14" x14ac:dyDescent="0.2">
      <c r="A44" s="10"/>
      <c r="B44" s="31" t="s">
        <v>60</v>
      </c>
      <c r="C44" s="49">
        <v>0</v>
      </c>
      <c r="D44" s="50" t="str">
        <f t="shared" si="6"/>
        <v>Not selected</v>
      </c>
      <c r="E44" s="51" t="str">
        <f t="shared" si="7"/>
        <v>Not selected</v>
      </c>
      <c r="F44" s="52" t="str">
        <f t="shared" si="8"/>
        <v>Not selected</v>
      </c>
      <c r="G44" s="314"/>
      <c r="H44" s="314"/>
      <c r="I44" s="314"/>
      <c r="J44" s="14"/>
      <c r="K44" s="53" t="str">
        <f t="shared" si="1"/>
        <v>Not selected</v>
      </c>
      <c r="L44" s="54" t="str">
        <f t="shared" si="2"/>
        <v>Not selected</v>
      </c>
      <c r="M44" s="52" t="str">
        <f t="shared" si="3"/>
        <v>Not selected</v>
      </c>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row>
    <row r="45" spans="1:116" s="2" customFormat="1" ht="14" x14ac:dyDescent="0.2">
      <c r="A45" s="10"/>
      <c r="B45" s="31" t="s">
        <v>60</v>
      </c>
      <c r="C45" s="49">
        <v>0</v>
      </c>
      <c r="D45" s="50" t="str">
        <f t="shared" si="6"/>
        <v>Not selected</v>
      </c>
      <c r="E45" s="51" t="str">
        <f t="shared" si="7"/>
        <v>Not selected</v>
      </c>
      <c r="F45" s="52" t="str">
        <f t="shared" si="8"/>
        <v>Not selected</v>
      </c>
      <c r="G45" s="314"/>
      <c r="H45" s="314"/>
      <c r="I45" s="314"/>
      <c r="J45" s="14"/>
      <c r="K45" s="53" t="str">
        <f t="shared" si="1"/>
        <v>Not selected</v>
      </c>
      <c r="L45" s="54" t="str">
        <f t="shared" si="2"/>
        <v>Not selected</v>
      </c>
      <c r="M45" s="52" t="str">
        <f t="shared" si="3"/>
        <v>Not selected</v>
      </c>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row>
    <row r="46" spans="1:116" s="2" customFormat="1" ht="14" x14ac:dyDescent="0.2">
      <c r="A46" s="10"/>
      <c r="B46" s="31" t="s">
        <v>60</v>
      </c>
      <c r="C46" s="49">
        <v>0</v>
      </c>
      <c r="D46" s="50" t="str">
        <f t="shared" si="6"/>
        <v>Not selected</v>
      </c>
      <c r="E46" s="51" t="str">
        <f t="shared" si="7"/>
        <v>Not selected</v>
      </c>
      <c r="F46" s="52" t="str">
        <f t="shared" si="8"/>
        <v>Not selected</v>
      </c>
      <c r="G46" s="314"/>
      <c r="H46" s="314"/>
      <c r="I46" s="314"/>
      <c r="J46" s="14"/>
      <c r="K46" s="53" t="str">
        <f t="shared" si="1"/>
        <v>Not selected</v>
      </c>
      <c r="L46" s="54" t="str">
        <f t="shared" si="2"/>
        <v>Not selected</v>
      </c>
      <c r="M46" s="52" t="str">
        <f t="shared" si="3"/>
        <v>Not selected</v>
      </c>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row>
    <row r="47" spans="1:116" s="2" customFormat="1" ht="14" x14ac:dyDescent="0.2">
      <c r="A47" s="10"/>
      <c r="B47" s="31" t="s">
        <v>60</v>
      </c>
      <c r="C47" s="49">
        <v>0</v>
      </c>
      <c r="D47" s="50" t="str">
        <f t="shared" si="6"/>
        <v>Not selected</v>
      </c>
      <c r="E47" s="51" t="str">
        <f t="shared" si="7"/>
        <v>Not selected</v>
      </c>
      <c r="F47" s="52" t="str">
        <f t="shared" si="8"/>
        <v>Not selected</v>
      </c>
      <c r="G47" s="314"/>
      <c r="H47" s="314"/>
      <c r="I47" s="314"/>
      <c r="J47" s="14"/>
      <c r="K47" s="53" t="str">
        <f t="shared" si="1"/>
        <v>Not selected</v>
      </c>
      <c r="L47" s="54" t="str">
        <f t="shared" si="2"/>
        <v>Not selected</v>
      </c>
      <c r="M47" s="52" t="str">
        <f t="shared" si="3"/>
        <v>Not selected</v>
      </c>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row>
    <row r="48" spans="1:116" s="2" customFormat="1" ht="14" x14ac:dyDescent="0.2">
      <c r="A48" s="10"/>
      <c r="B48" s="31" t="s">
        <v>60</v>
      </c>
      <c r="C48" s="49">
        <v>0</v>
      </c>
      <c r="D48" s="50" t="str">
        <f t="shared" si="6"/>
        <v>Not selected</v>
      </c>
      <c r="E48" s="51" t="str">
        <f t="shared" si="7"/>
        <v>Not selected</v>
      </c>
      <c r="F48" s="52" t="str">
        <f t="shared" si="8"/>
        <v>Not selected</v>
      </c>
      <c r="G48" s="314"/>
      <c r="H48" s="314"/>
      <c r="I48" s="314"/>
      <c r="J48" s="14"/>
      <c r="K48" s="53" t="str">
        <f t="shared" si="1"/>
        <v>Not selected</v>
      </c>
      <c r="L48" s="54" t="str">
        <f t="shared" si="2"/>
        <v>Not selected</v>
      </c>
      <c r="M48" s="52" t="str">
        <f t="shared" si="3"/>
        <v>Not selected</v>
      </c>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row>
    <row r="49" spans="1:116" s="2" customFormat="1" ht="14" x14ac:dyDescent="0.2">
      <c r="A49" s="10"/>
      <c r="B49" s="31" t="s">
        <v>60</v>
      </c>
      <c r="C49" s="49">
        <v>0</v>
      </c>
      <c r="D49" s="50" t="str">
        <f t="shared" si="6"/>
        <v>Not selected</v>
      </c>
      <c r="E49" s="51" t="str">
        <f t="shared" si="7"/>
        <v>Not selected</v>
      </c>
      <c r="F49" s="52" t="str">
        <f t="shared" si="8"/>
        <v>Not selected</v>
      </c>
      <c r="G49" s="314"/>
      <c r="H49" s="314"/>
      <c r="I49" s="314"/>
      <c r="J49" s="14"/>
      <c r="K49" s="53" t="str">
        <f t="shared" si="1"/>
        <v>Not selected</v>
      </c>
      <c r="L49" s="54" t="str">
        <f t="shared" si="2"/>
        <v>Not selected</v>
      </c>
      <c r="M49" s="52" t="str">
        <f t="shared" si="3"/>
        <v>Not selected</v>
      </c>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row>
    <row r="50" spans="1:116" s="2" customFormat="1" ht="14" x14ac:dyDescent="0.2">
      <c r="A50" s="10"/>
      <c r="B50" s="31" t="s">
        <v>60</v>
      </c>
      <c r="C50" s="49">
        <v>0</v>
      </c>
      <c r="D50" s="50" t="str">
        <f t="shared" si="6"/>
        <v>Not selected</v>
      </c>
      <c r="E50" s="51" t="str">
        <f t="shared" si="7"/>
        <v>Not selected</v>
      </c>
      <c r="F50" s="52" t="str">
        <f t="shared" si="8"/>
        <v>Not selected</v>
      </c>
      <c r="G50" s="314"/>
      <c r="H50" s="314"/>
      <c r="I50" s="314"/>
      <c r="J50" s="14"/>
      <c r="K50" s="53" t="str">
        <f t="shared" si="1"/>
        <v>Not selected</v>
      </c>
      <c r="L50" s="54" t="str">
        <f t="shared" si="2"/>
        <v>Not selected</v>
      </c>
      <c r="M50" s="52" t="str">
        <f t="shared" si="3"/>
        <v>Not selected</v>
      </c>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row>
    <row r="51" spans="1:116" s="2" customFormat="1" ht="14" x14ac:dyDescent="0.2">
      <c r="A51" s="10"/>
      <c r="B51" s="31" t="s">
        <v>60</v>
      </c>
      <c r="C51" s="49">
        <v>0</v>
      </c>
      <c r="D51" s="50" t="str">
        <f t="shared" si="6"/>
        <v>Not selected</v>
      </c>
      <c r="E51" s="51" t="str">
        <f t="shared" si="7"/>
        <v>Not selected</v>
      </c>
      <c r="F51" s="52" t="str">
        <f t="shared" si="8"/>
        <v>Not selected</v>
      </c>
      <c r="G51" s="314"/>
      <c r="H51" s="314"/>
      <c r="I51" s="314"/>
      <c r="J51" s="14"/>
      <c r="K51" s="53" t="str">
        <f t="shared" si="1"/>
        <v>Not selected</v>
      </c>
      <c r="L51" s="54" t="str">
        <f t="shared" si="2"/>
        <v>Not selected</v>
      </c>
      <c r="M51" s="52" t="str">
        <f t="shared" si="3"/>
        <v>Not selected</v>
      </c>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row>
    <row r="52" spans="1:116" ht="16" thickBot="1" x14ac:dyDescent="0.25">
      <c r="B52" s="32" t="s">
        <v>60</v>
      </c>
      <c r="C52" s="55">
        <v>0</v>
      </c>
      <c r="D52" s="56" t="str">
        <f t="shared" si="6"/>
        <v>Not selected</v>
      </c>
      <c r="E52" s="57" t="str">
        <f t="shared" si="7"/>
        <v>Not selected</v>
      </c>
      <c r="F52" s="58" t="str">
        <f t="shared" si="8"/>
        <v>Not selected</v>
      </c>
      <c r="G52" s="315"/>
      <c r="H52" s="315"/>
      <c r="I52" s="315"/>
      <c r="J52" s="59"/>
      <c r="K52" s="60" t="str">
        <f t="shared" si="1"/>
        <v>Not selected</v>
      </c>
      <c r="L52" s="61" t="str">
        <f t="shared" si="2"/>
        <v>Not selected</v>
      </c>
      <c r="M52" s="58" t="str">
        <f t="shared" si="3"/>
        <v>Not selected</v>
      </c>
    </row>
    <row r="53" spans="1:116" x14ac:dyDescent="0.2">
      <c r="B53" s="62"/>
    </row>
    <row r="54" spans="1:116" x14ac:dyDescent="0.2">
      <c r="B54" s="62"/>
    </row>
    <row r="55" spans="1:116" x14ac:dyDescent="0.2">
      <c r="B55" s="62"/>
    </row>
    <row r="56" spans="1:116" x14ac:dyDescent="0.2">
      <c r="B56" s="62"/>
    </row>
    <row r="57" spans="1:116" x14ac:dyDescent="0.2">
      <c r="B57" s="62"/>
    </row>
    <row r="58" spans="1:116" x14ac:dyDescent="0.2">
      <c r="B58" s="62"/>
    </row>
  </sheetData>
  <mergeCells count="19">
    <mergeCell ref="K11:M11"/>
    <mergeCell ref="H8:J8"/>
    <mergeCell ref="H9:J9"/>
    <mergeCell ref="J2:M2"/>
    <mergeCell ref="F3:G9"/>
    <mergeCell ref="D11:F11"/>
    <mergeCell ref="D8:E8"/>
    <mergeCell ref="D4:E4"/>
    <mergeCell ref="D3:E3"/>
    <mergeCell ref="D6:E6"/>
    <mergeCell ref="D7:E7"/>
    <mergeCell ref="H3:J3"/>
    <mergeCell ref="H4:J4"/>
    <mergeCell ref="H5:J5"/>
    <mergeCell ref="H6:J6"/>
    <mergeCell ref="H7:J7"/>
    <mergeCell ref="D5:E5"/>
    <mergeCell ref="G11:I52"/>
    <mergeCell ref="B2:I2"/>
  </mergeCells>
  <conditionalFormatting sqref="C13:C60">
    <cfRule type="cellIs" dxfId="49" priority="18" operator="equal">
      <formula>1</formula>
    </cfRule>
  </conditionalFormatting>
  <conditionalFormatting sqref="C13:F52">
    <cfRule type="cellIs" dxfId="48" priority="17" operator="equal">
      <formula>0</formula>
    </cfRule>
    <cfRule type="cellIs" dxfId="47" priority="21" operator="greaterThan">
      <formula>1</formula>
    </cfRule>
    <cfRule type="cellIs" dxfId="46" priority="20" operator="lessThan">
      <formula>0</formula>
    </cfRule>
  </conditionalFormatting>
  <conditionalFormatting sqref="D9">
    <cfRule type="cellIs" dxfId="45" priority="1" operator="lessThan">
      <formula>1</formula>
    </cfRule>
    <cfRule type="cellIs" dxfId="44" priority="3" operator="greaterThan">
      <formula>1</formula>
    </cfRule>
    <cfRule type="cellIs" dxfId="43" priority="2" operator="equal">
      <formula>1</formula>
    </cfRule>
  </conditionalFormatting>
  <conditionalFormatting sqref="K13:M52">
    <cfRule type="cellIs" dxfId="42" priority="7" operator="equal">
      <formula>0</formula>
    </cfRule>
    <cfRule type="cellIs" dxfId="41" priority="9" operator="greaterThan">
      <formula>1</formula>
    </cfRule>
    <cfRule type="cellIs" dxfId="40" priority="8" operator="lessThan">
      <formula>0</formula>
    </cfRule>
  </conditionalFormatting>
  <dataValidations count="2">
    <dataValidation type="decimal" allowBlank="1" showInputMessage="1" showErrorMessage="1" errorTitle="Delta" error="by definition delta value must be &gt;-1000" sqref="C14:C52" xr:uid="{00000000-0002-0000-0200-000000000000}">
      <formula1>-999.999999999999</formula1>
      <formula2>1E+37</formula2>
    </dataValidation>
    <dataValidation type="decimal" allowBlank="1" showInputMessage="1" showErrorMessage="1" errorTitle="Delta" error="by definition delta value must be &gt;-1000" promptTitle="Type or paste value" sqref="C13" xr:uid="{00000000-0002-0000-0200-000001000000}">
      <formula1>-999.999999999999</formula1>
      <formula2>1E+37</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2000000}">
          <x14:formula1>
            <xm:f>Constants!$A$2:$A$6</xm:f>
          </x14:formula1>
          <xm:sqref>D3</xm:sqref>
        </x14:dataValidation>
        <x14:dataValidation type="list" allowBlank="1" showInputMessage="1" showErrorMessage="1" xr:uid="{00000000-0002-0000-0200-000003000000}">
          <x14:formula1>
            <xm:f>Tables!$C$2:$C$7</xm:f>
          </x14:formula1>
          <xm:sqref>D6:E6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DL62"/>
  <sheetViews>
    <sheetView tabSelected="1" zoomScaleNormal="100" workbookViewId="0">
      <selection activeCell="D3" sqref="D3:E3"/>
    </sheetView>
  </sheetViews>
  <sheetFormatPr baseColWidth="10" defaultColWidth="9.1640625" defaultRowHeight="15" x14ac:dyDescent="0.2"/>
  <cols>
    <col min="1" max="1" width="3.5" style="44" customWidth="1"/>
    <col min="2" max="2" width="25.5" style="45" customWidth="1"/>
    <col min="3" max="3" width="28.6640625" style="44" customWidth="1"/>
    <col min="4" max="4" width="24.5" style="44" customWidth="1"/>
    <col min="5" max="5" width="33.1640625" style="44" customWidth="1"/>
    <col min="6" max="6" width="19.33203125" style="44" customWidth="1"/>
    <col min="7" max="7" width="3.5" style="44" customWidth="1"/>
    <col min="8" max="8" width="6.6640625" style="44" customWidth="1"/>
    <col min="9" max="9" width="16.1640625" style="44" customWidth="1"/>
    <col min="10" max="10" width="20.5" style="44" customWidth="1"/>
    <col min="11" max="11" width="17.83203125" style="44" customWidth="1"/>
    <col min="12" max="116" width="16.6640625" style="44" customWidth="1"/>
    <col min="117" max="16384" width="9.1640625" style="46"/>
  </cols>
  <sheetData>
    <row r="1" spans="1:116" ht="16" thickBot="1" x14ac:dyDescent="0.25"/>
    <row r="2" spans="1:116" s="48" customFormat="1" ht="39.75" customHeight="1" thickBot="1" x14ac:dyDescent="0.25">
      <c r="A2" s="47"/>
      <c r="B2" s="316" t="s">
        <v>107</v>
      </c>
      <c r="C2" s="318"/>
      <c r="D2" s="318"/>
      <c r="E2" s="318"/>
      <c r="F2" s="318"/>
      <c r="G2" s="318"/>
      <c r="H2" s="318"/>
      <c r="I2" s="318"/>
      <c r="J2" s="317" t="s">
        <v>109</v>
      </c>
      <c r="K2" s="317"/>
      <c r="L2" s="317"/>
      <c r="M2" s="350"/>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row>
    <row r="3" spans="1:116" s="2" customFormat="1" ht="32" customHeight="1" thickBot="1" x14ac:dyDescent="0.25">
      <c r="A3" s="10"/>
      <c r="B3" s="26" t="s">
        <v>61</v>
      </c>
      <c r="C3" s="219" t="s">
        <v>1</v>
      </c>
      <c r="D3" s="339" t="s">
        <v>332</v>
      </c>
      <c r="E3" s="340"/>
      <c r="F3" s="326" t="s">
        <v>218</v>
      </c>
      <c r="G3" s="327"/>
      <c r="H3" s="345" t="s">
        <v>40</v>
      </c>
      <c r="I3" s="346"/>
      <c r="J3" s="346"/>
      <c r="K3" s="24" t="s">
        <v>52</v>
      </c>
      <c r="L3" s="24" t="s">
        <v>58</v>
      </c>
      <c r="M3" s="25" t="s">
        <v>53</v>
      </c>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row>
    <row r="4" spans="1:116" s="2" customFormat="1" ht="32" customHeight="1" thickBot="1" x14ac:dyDescent="0.25">
      <c r="A4" s="10"/>
      <c r="B4" s="27" t="s">
        <v>130</v>
      </c>
      <c r="C4" s="220" t="s">
        <v>3</v>
      </c>
      <c r="D4" s="337" t="str">
        <f>IF(ISNUMBER(SEARCH("delta",D3)),Constants!B13,IF(ISNUMBER(SEARCH("ratio",D3)),Constants!B14,IF(ISNUMBER(SEARCH("%",D3)),Constants!B15,IF(ISNUMBER(SEARCH("ppm",D3)),Constants!B16,IF(ISNUMBER(SEARCH("select",D3)),Constants!B12)))))</f>
        <v>Ratio (13C/12C), Fraction (13C) [%], Fraction (13C) [ppm]</v>
      </c>
      <c r="E4" s="338"/>
      <c r="F4" s="328"/>
      <c r="G4" s="329"/>
      <c r="H4" s="347" t="s">
        <v>37</v>
      </c>
      <c r="I4" s="348"/>
      <c r="J4" s="349"/>
      <c r="K4" s="22" t="s">
        <v>110</v>
      </c>
      <c r="L4" s="5" t="s">
        <v>108</v>
      </c>
      <c r="M4" s="23">
        <v>0</v>
      </c>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row>
    <row r="5" spans="1:116" s="2" customFormat="1" ht="32" customHeight="1" thickBot="1" x14ac:dyDescent="0.25">
      <c r="A5" s="10"/>
      <c r="B5" s="27" t="s">
        <v>130</v>
      </c>
      <c r="C5" s="221" t="s">
        <v>2</v>
      </c>
      <c r="D5" s="311" t="s">
        <v>108</v>
      </c>
      <c r="E5" s="312"/>
      <c r="F5" s="328"/>
      <c r="G5" s="329"/>
      <c r="H5" s="310" t="s">
        <v>38</v>
      </c>
      <c r="I5" s="308"/>
      <c r="J5" s="309"/>
      <c r="K5" s="3" t="s">
        <v>111</v>
      </c>
      <c r="L5" s="20" t="s">
        <v>34</v>
      </c>
      <c r="M5" s="35" t="s">
        <v>54</v>
      </c>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row>
    <row r="6" spans="1:116" s="2" customFormat="1" ht="32" customHeight="1" thickTop="1" x14ac:dyDescent="0.2">
      <c r="A6" s="10"/>
      <c r="B6" s="191" t="s">
        <v>61</v>
      </c>
      <c r="C6" s="222" t="s">
        <v>299</v>
      </c>
      <c r="D6" s="341">
        <v>1.1237199999999999E-2</v>
      </c>
      <c r="E6" s="342"/>
      <c r="F6" s="328"/>
      <c r="G6" s="329"/>
      <c r="H6" s="307" t="s">
        <v>192</v>
      </c>
      <c r="I6" s="308"/>
      <c r="J6" s="309"/>
      <c r="K6" s="19" t="s">
        <v>112</v>
      </c>
      <c r="L6" s="20" t="s">
        <v>31</v>
      </c>
      <c r="M6" s="36" t="s">
        <v>57</v>
      </c>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row>
    <row r="7" spans="1:116" s="2" customFormat="1" ht="32" customHeight="1" x14ac:dyDescent="0.2">
      <c r="A7" s="10"/>
      <c r="B7" s="192" t="s">
        <v>130</v>
      </c>
      <c r="C7" s="223" t="s">
        <v>300</v>
      </c>
      <c r="D7" s="343">
        <f>IF(ISNUMBER(SEARCH(Tables!C13,D6)),Tables!D13,IF(ISNUMBER(SEARCH(Tables!C14,D6)),Tables!D14,IF(ISNUMBER(SEARCH(Tables!C15,D6)),Tables!D15,IF(ISNUMBER(SEARCH(Tables!C16,D6)),Tables!D16,IF(ISNUMBER(SEARCH(Tables!C17,D6)),Tables!D17,IF(ISNUMBER(SEARCH(Tables!C18,D6)),Tables!D18,IF(ISNUMBER(SEARCH(Tables!C19,D6)),Tables!D19,IF(ISNUMBER(SEARCH(Tables!C20,D6)),Tables!D20,IF(ISNUMBER(SEARCH(Tables!C21,D6)),Tables!D21,IF(ISNUMBER(SEARCH(Tables!C22,D6)),Tables!D22,IF(ISNUMBER(SEARCH("select",D6)),Tables!D2, IF(ISNUMBER(SEARCH("blank",D6)),Tables!D7))))))))))))</f>
        <v>3.0000000000000001E-5</v>
      </c>
      <c r="E7" s="344"/>
      <c r="F7" s="328"/>
      <c r="G7" s="329"/>
      <c r="H7" s="310" t="s">
        <v>234</v>
      </c>
      <c r="I7" s="308"/>
      <c r="J7" s="309"/>
      <c r="K7" s="3" t="s">
        <v>113</v>
      </c>
      <c r="L7" s="20" t="s">
        <v>34</v>
      </c>
      <c r="M7" s="35" t="s">
        <v>54</v>
      </c>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row>
    <row r="8" spans="1:116" s="2" customFormat="1" ht="32" customHeight="1" thickBot="1" x14ac:dyDescent="0.25">
      <c r="A8" s="10"/>
      <c r="B8" s="190" t="s">
        <v>130</v>
      </c>
      <c r="C8" s="224" t="s">
        <v>301</v>
      </c>
      <c r="D8" s="335" t="str">
        <f>IF(ISNUMBER(SEARCH(Tables!C13,D6)),Tables!G13,IF(ISNUMBER(SEARCH(Tables!C14,D6)),Tables!G14,IF(ISNUMBER(SEARCH(Tables!C15,D6)),Tables!G15,IF(ISNUMBER(SEARCH(Tables!C16,D6)),Tables!G16,IF(ISNUMBER(SEARCH(Tables!C17,D6)),Tables!G17,IF(ISNUMBER(SEARCH(Tables!C18,D6)),Tables!G18,IF(ISNUMBER(SEARCH(Tables!C19,D6)),Tables!G19,IF(ISNUMBER(SEARCH(Tables!C20,D6)),Tables!G20,IF(ISNUMBER(SEARCH(Tables!C21,D6)),Tables!G21,IF(ISNUMBER(SEARCH(Tables!C22,D6)),Tables!G22,IF(ISNUMBER(SEARCH("select",D6)),Tables!D2, IF(ISNUMBER(SEARCH("blank",D6)),Tables!D7))))))))))))</f>
        <v>Nier (1950) and Craig (1957)</v>
      </c>
      <c r="E8" s="336"/>
      <c r="F8" s="328"/>
      <c r="G8" s="329"/>
      <c r="H8" s="310" t="s">
        <v>193</v>
      </c>
      <c r="I8" s="308"/>
      <c r="J8" s="309"/>
      <c r="K8" s="20" t="s">
        <v>321</v>
      </c>
      <c r="L8" s="20" t="s">
        <v>32</v>
      </c>
      <c r="M8" s="17" t="s">
        <v>55</v>
      </c>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row>
    <row r="9" spans="1:116" s="2" customFormat="1" ht="32" customHeight="1" thickBot="1" x14ac:dyDescent="0.25">
      <c r="A9" s="10"/>
      <c r="B9" s="28" t="s">
        <v>131</v>
      </c>
      <c r="C9" s="1" t="str">
        <f>CONCATENATE("uncertainty ",D3)</f>
        <v xml:space="preserve">uncertainty Delta (13C/12C) [‰] </v>
      </c>
      <c r="D9" s="200">
        <v>0.2</v>
      </c>
      <c r="E9" s="201"/>
      <c r="F9" s="330"/>
      <c r="G9" s="331"/>
      <c r="H9" s="322" t="s">
        <v>194</v>
      </c>
      <c r="I9" s="323"/>
      <c r="J9" s="324"/>
      <c r="K9" s="21" t="s">
        <v>321</v>
      </c>
      <c r="L9" s="21" t="s">
        <v>33</v>
      </c>
      <c r="M9" s="18" t="s">
        <v>56</v>
      </c>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row>
    <row r="10" spans="1:116" ht="29.25" customHeight="1" thickBot="1" x14ac:dyDescent="0.25">
      <c r="B10" s="62"/>
    </row>
    <row r="11" spans="1:116" s="2" customFormat="1" ht="15" customHeight="1" x14ac:dyDescent="0.2">
      <c r="A11" s="10"/>
      <c r="B11" s="33" t="s">
        <v>119</v>
      </c>
      <c r="C11" s="8" t="s">
        <v>21</v>
      </c>
      <c r="D11" s="332" t="s">
        <v>39</v>
      </c>
      <c r="E11" s="333"/>
      <c r="F11" s="334"/>
      <c r="G11" s="11"/>
      <c r="H11" s="12"/>
      <c r="I11" s="12"/>
      <c r="J11" s="41"/>
      <c r="K11" s="319" t="s">
        <v>232</v>
      </c>
      <c r="L11" s="320"/>
      <c r="M11" s="321"/>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row>
    <row r="12" spans="1:116" s="2" customFormat="1" ht="15.75" customHeight="1" x14ac:dyDescent="0.2">
      <c r="A12" s="10"/>
      <c r="B12" s="34" t="s">
        <v>132</v>
      </c>
      <c r="C12" s="9" t="str">
        <f>D3</f>
        <v xml:space="preserve">Delta (13C/12C) [‰] </v>
      </c>
      <c r="D12" s="42" t="str">
        <f>IF(ISNUMBER(SEARCH("delta",C12)),"Ratio (13C/12C)",IF(ISNUMBER(SEARCH("ratio",C12)),"Delta (13C/12C) [‰]",IF(ISNUMBER(SEARCH("fraction",C12)),"Delta (13C/12C) [‰]","Not selected")))</f>
        <v>Ratio (13C/12C)</v>
      </c>
      <c r="E12" s="43" t="str">
        <f>IF(ISNUMBER(SEARCH("delta",C12)),"Fraction (13C) [%]",IF(ISNUMBER(SEARCH("Ratio",C12)),"Fraction (13C) [%]",IF(ISNUMBER(SEARCH("fraction (13C) [%]",C12)),"Ratio (13C/12C)",IF(ISNUMBER(SEARCH("fraction (13C) [ppm]",C12)),"Ratio (13C/12C)", "Not selected"))))</f>
        <v>Fraction (13C) [%]</v>
      </c>
      <c r="F12" s="7" t="str">
        <f>IF(ISNUMBER(SEARCH("delta",C12)),"Fraction (13C) [ppm]",IF(ISNUMBER(SEARCH("ratio",C12)),"Fraction (13C) [ppm]",IF(ISNUMBER(SEARCH("fraction (13C) [%]",C12)),"Fraction (13C) [ppm]",IF(ISNUMBER(SEARCH("fraction (13C) [ppm]",C12)),"Fraction (13C) [%]", "Not selected" ))))</f>
        <v>Fraction (13C) [ppm]</v>
      </c>
      <c r="G12" s="13"/>
      <c r="H12" s="10"/>
      <c r="I12" s="10"/>
      <c r="J12" s="14"/>
      <c r="K12" s="42" t="str">
        <f>D12</f>
        <v>Ratio (13C/12C)</v>
      </c>
      <c r="L12" s="43" t="str">
        <f>E12</f>
        <v>Fraction (13C) [%]</v>
      </c>
      <c r="M12" s="7" t="str">
        <f>F12</f>
        <v>Fraction (13C) [ppm]</v>
      </c>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row>
    <row r="13" spans="1:116" s="2" customFormat="1" ht="14" x14ac:dyDescent="0.2">
      <c r="A13" s="10"/>
      <c r="B13" s="29" t="s">
        <v>62</v>
      </c>
      <c r="C13" s="49">
        <v>0</v>
      </c>
      <c r="D13" s="50">
        <f>IF(ISNUMBER(SEARCH("delta",$C$12)),((C13/1000)+1)*$D$6,IF(ISNUMBER(SEARCH("ratio",$C$12)),(((C13/$D$6)-1)*1000),IF(ISNUMBER(SEARCH("%",$C$12)),((((C13/(100-C13))/$D$6)-1)*1000),IF(ISNUMBER(SEARCH("ppm",$C$12)),((((((C13/10000)/(100-(C13/10000))/$D$6)-1)*1000))),"Not selected"))))</f>
        <v>1.1237199999999999E-2</v>
      </c>
      <c r="E13" s="282">
        <f>IF(ISNUMBER(SEARCH("delta",$C$12)),((((C13/1000)+1)*$D$6)/(1+(((C13/1000)+1)*$D$6)))*100,IF(ISNUMBER(SEARCH("ratio",$C$12)),((C13/(1+C13))*100),IF(ISNUMBER(SEARCH("%",$C$12)),(C13/(100-C13)),IF(ISNUMBER(SEARCH("ppm",$C$12)),((C13/10000)/(100-(C13/10000))),"Not selected"))))</f>
        <v>1.1112328541711083</v>
      </c>
      <c r="F13" s="52">
        <f>IF(ISNUMBER(SEARCH("delta",$C$12)),((((C13/1000)+1)*$D$6)/(1+(((C13/1000)+1)*$D$6)))*1000000,IF(ISNUMBER(SEARCH("ratio",$C$12)),(C13/(1+C13))*1000000,IF(ISNUMBER(SEARCH("%",$C$12)),C13*10000,IF(ISNUMBER(SEARCH("ppm",$C$12)),C13/10000,"Not selected"))))</f>
        <v>11112.328541711084</v>
      </c>
      <c r="G13" s="13"/>
      <c r="H13" s="10"/>
      <c r="I13" s="10"/>
      <c r="J13" s="14"/>
      <c r="K13" s="53">
        <f t="shared" ref="K13:K52" si="0">IF(ISNUMBER(SEARCH("delta",$C$12)),SQRT((((((C13/1000)+1)*($D$6+$D$7))-D13)^2)+((((((C13+$D$9)/1000)+1)*$D$6)-D13)^2)),IF(ISNUMBER(SEARCH("ratio",$C$12)),SQRT(((((((C13/($D$6+$D$7))-1)*1000))-D13)^2)+(((((((C13+$D$9)/$D$6)-1)*1000))-D13)^2)),IF(ISNUMBER(SEARCH("%",$C$12)),SQRT((((((((C13/(100-C13))/($D$6+$D$7))-1)*1000))-D13)^2)+((((((((C13+$D$9)/(100-(C13+$D$9)))/$D$6)-1)*1000))-D13)^2)),IF(ISNUMBER(SEARCH("ppm",$C$12)),SQRT((((((((C13/10000)/(100-(C13/10000)))/($D$6+$D$7))-1)*1000)-D13)^2)+(((((((((C13+$D$9)/10000)/(100-((C13+$D$9)/10000)))/$D$6)-1)*1000))-D13)^2)),"Not selected"))))</f>
        <v>3.00840653262426E-5</v>
      </c>
      <c r="L13" s="54">
        <f t="shared" ref="L13:L52" si="1">IF(ISNUMBER(SEARCH("delta",$C$12)),SQRT((((((((C13/1000)+1)*($D$6+$D$7))/(1+(((C13/1000)+1)*($D$6+$D$7))))*100)-E13)^2)+((((((((C13+$D$9)/1000)+1)*$D$6)/(1+((((C13+$D$9)/1000)+1)*$D$6)))*100)-E13)^2)),IF(ISNUMBER(SEARCH("ratio",$C$12)),SQRT((((((C13/(1+C13))*100))-E13)^2)+((((((C13+$D$9)/(1+(C13+$D$9)))*100))-E13)^2)),IF(ISNUMBER(SEARCH("%",$C$12)),SQRT(((((C13/(100-C13)))-E13)^2)+(((((C13+$D$9)/(100-(C13+$D$9))))-E13)^2)),
IF(ISNUMBER(SEARCH("ppm",$C$12)),SQRT((((((C13/10000)/(100-(C13/10000))))-E13)^2)+((((((C13+$D$9)/10000)/(100-((C13+$D$9)/10000))))-E13)^2)),"Not selected"))))</f>
        <v>2.9418303950800441E-3</v>
      </c>
      <c r="M13" s="52">
        <f t="shared" ref="M13:M52" si="2">IF(ISNUMBER(SEARCH("delta",$C$12)),SQRT((((((((C13/1000)+1)*($D$6+$D$7))/(1+(((C13/1000)+1)*($D$6+$D$7))))*1000000)-F13)^2)+((((((((C13+$D$9)/1000)+1)*$D$6)/(1+((((C13+$D$9)/1000)+1)*$D$6)))*1000000)-F13)^2)),IF(ISNUMBER(SEARCH("ratio",$C$12)),SQRT(((((C13/(1+C13))*1000000)-F13)^2)+(((((C13+$D$9)/(1+(C13+$D$9)))*1000000)-F13)^2)),IF(ISNUMBER(SEARCH("%",$C$12)),SQRT((((C13*10000)-F13)^2)+((((C13+$D$9)*10000)-F13)^2)),IF(ISNUMBER(SEARCH("ppm",$C$12)),SQRT((((C13/10000)-F13)^2)+((((C13+$D$9)/10000)-F13)^2)),"Not selected"))))</f>
        <v>29.418303950799579</v>
      </c>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row>
    <row r="14" spans="1:116" s="2" customFormat="1" ht="14" x14ac:dyDescent="0.2">
      <c r="A14" s="10"/>
      <c r="B14" s="29" t="s">
        <v>60</v>
      </c>
      <c r="C14" s="49">
        <v>0</v>
      </c>
      <c r="D14" s="50">
        <f t="shared" ref="D14:D52" si="3">IF(ISNUMBER(SEARCH("delta",$C$12)),((C14/1000)+1)*$D$6,IF(ISNUMBER(SEARCH("ratio",$C$12)),(((C14/$D$6)-1)*1000),IF(ISNUMBER(SEARCH("%",$C$12)),((((C14/(100-C14))/$D$6)-1)*1000),IF(ISNUMBER(SEARCH("ppm",$C$12)),((((((C14/10000)/(100-(C14/10000))/$D$6)-1)*1000))),"Not selected"))))</f>
        <v>1.1237199999999999E-2</v>
      </c>
      <c r="E14" s="51">
        <f t="shared" ref="E14:E52" si="4">IF(ISNUMBER(SEARCH("delta",$C$12)),((((C14/1000)+1)*$D$6)/(1+(((C14/1000)+1)*$D$6)))*100,IF(ISNUMBER(SEARCH("ratio",$C$12)),((C14/(1+C14))*100),IF(ISNUMBER(SEARCH("%",$C$12)),(C14/(100-C14)),IF(ISNUMBER(SEARCH("ppm",$C$12)),((C14/10000)/(100-(C14/10000))),"Not selected"))))</f>
        <v>1.1112328541711083</v>
      </c>
      <c r="F14" s="52">
        <f t="shared" ref="F14:F52" si="5">IF(ISNUMBER(SEARCH("delta",$C$12)),((((C14/1000)+1)*$D$6)/(1+(((C14/1000)+1)*$D$6)))*1000000,IF(ISNUMBER(SEARCH("ratio",$C$12)),(C14/(1+C14))*1000000,IF(ISNUMBER(SEARCH("%",$C$12)),C14*10000,IF(ISNUMBER(SEARCH("ppm",$C$12)),C14/10000,"Not selected"))))</f>
        <v>11112.328541711084</v>
      </c>
      <c r="G14" s="13"/>
      <c r="H14" s="10"/>
      <c r="I14" s="10"/>
      <c r="J14" s="14"/>
      <c r="K14" s="53">
        <f t="shared" si="0"/>
        <v>3.00840653262426E-5</v>
      </c>
      <c r="L14" s="54">
        <f t="shared" si="1"/>
        <v>2.9418303950800441E-3</v>
      </c>
      <c r="M14" s="52">
        <f t="shared" si="2"/>
        <v>29.418303950799579</v>
      </c>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row>
    <row r="15" spans="1:116" s="2" customFormat="1" ht="14" x14ac:dyDescent="0.2">
      <c r="A15" s="10"/>
      <c r="B15" s="29" t="s">
        <v>60</v>
      </c>
      <c r="C15" s="49">
        <v>0</v>
      </c>
      <c r="D15" s="50">
        <f t="shared" si="3"/>
        <v>1.1237199999999999E-2</v>
      </c>
      <c r="E15" s="51">
        <f t="shared" si="4"/>
        <v>1.1112328541711083</v>
      </c>
      <c r="F15" s="52">
        <f t="shared" si="5"/>
        <v>11112.328541711084</v>
      </c>
      <c r="G15" s="13"/>
      <c r="H15" s="10"/>
      <c r="I15" s="10"/>
      <c r="J15" s="14"/>
      <c r="K15" s="53">
        <f t="shared" si="0"/>
        <v>3.00840653262426E-5</v>
      </c>
      <c r="L15" s="54">
        <f t="shared" si="1"/>
        <v>2.9418303950800441E-3</v>
      </c>
      <c r="M15" s="52">
        <f t="shared" si="2"/>
        <v>29.418303950799579</v>
      </c>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row>
    <row r="16" spans="1:116" s="2" customFormat="1" ht="14" x14ac:dyDescent="0.2">
      <c r="A16" s="10"/>
      <c r="B16" s="29" t="s">
        <v>60</v>
      </c>
      <c r="C16" s="49">
        <v>0</v>
      </c>
      <c r="D16" s="50">
        <f t="shared" si="3"/>
        <v>1.1237199999999999E-2</v>
      </c>
      <c r="E16" s="51">
        <f t="shared" si="4"/>
        <v>1.1112328541711083</v>
      </c>
      <c r="F16" s="52">
        <f t="shared" si="5"/>
        <v>11112.328541711084</v>
      </c>
      <c r="G16" s="13"/>
      <c r="H16" s="10"/>
      <c r="I16" s="10"/>
      <c r="J16" s="14"/>
      <c r="K16" s="53">
        <f t="shared" si="0"/>
        <v>3.00840653262426E-5</v>
      </c>
      <c r="L16" s="54">
        <f t="shared" si="1"/>
        <v>2.9418303950800441E-3</v>
      </c>
      <c r="M16" s="52">
        <f t="shared" si="2"/>
        <v>29.418303950799579</v>
      </c>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row>
    <row r="17" spans="1:116" s="2" customFormat="1" ht="14" x14ac:dyDescent="0.2">
      <c r="A17" s="10"/>
      <c r="B17" s="29" t="s">
        <v>60</v>
      </c>
      <c r="C17" s="49">
        <v>0</v>
      </c>
      <c r="D17" s="50">
        <f t="shared" si="3"/>
        <v>1.1237199999999999E-2</v>
      </c>
      <c r="E17" s="51">
        <f t="shared" si="4"/>
        <v>1.1112328541711083</v>
      </c>
      <c r="F17" s="52">
        <f t="shared" si="5"/>
        <v>11112.328541711084</v>
      </c>
      <c r="G17" s="13"/>
      <c r="H17" s="10"/>
      <c r="I17" s="10"/>
      <c r="J17" s="14"/>
      <c r="K17" s="53">
        <f t="shared" si="0"/>
        <v>3.00840653262426E-5</v>
      </c>
      <c r="L17" s="54">
        <f t="shared" si="1"/>
        <v>2.9418303950800441E-3</v>
      </c>
      <c r="M17" s="52">
        <f t="shared" si="2"/>
        <v>29.418303950799579</v>
      </c>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row>
    <row r="18" spans="1:116" s="2" customFormat="1" ht="14" x14ac:dyDescent="0.2">
      <c r="A18" s="10"/>
      <c r="B18" s="29" t="s">
        <v>60</v>
      </c>
      <c r="C18" s="49">
        <v>0</v>
      </c>
      <c r="D18" s="50">
        <f t="shared" si="3"/>
        <v>1.1237199999999999E-2</v>
      </c>
      <c r="E18" s="51">
        <f t="shared" si="4"/>
        <v>1.1112328541711083</v>
      </c>
      <c r="F18" s="52">
        <f t="shared" si="5"/>
        <v>11112.328541711084</v>
      </c>
      <c r="G18" s="13"/>
      <c r="H18" s="10"/>
      <c r="I18" s="10"/>
      <c r="J18" s="14"/>
      <c r="K18" s="53">
        <f t="shared" si="0"/>
        <v>3.00840653262426E-5</v>
      </c>
      <c r="L18" s="54">
        <f t="shared" si="1"/>
        <v>2.9418303950800441E-3</v>
      </c>
      <c r="M18" s="52">
        <f t="shared" si="2"/>
        <v>29.418303950799579</v>
      </c>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row>
    <row r="19" spans="1:116" s="2" customFormat="1" ht="14" x14ac:dyDescent="0.2">
      <c r="A19" s="10"/>
      <c r="B19" s="29" t="s">
        <v>60</v>
      </c>
      <c r="C19" s="49">
        <v>0</v>
      </c>
      <c r="D19" s="50">
        <f t="shared" si="3"/>
        <v>1.1237199999999999E-2</v>
      </c>
      <c r="E19" s="51">
        <f t="shared" si="4"/>
        <v>1.1112328541711083</v>
      </c>
      <c r="F19" s="52">
        <f t="shared" si="5"/>
        <v>11112.328541711084</v>
      </c>
      <c r="G19" s="13"/>
      <c r="H19" s="10"/>
      <c r="I19" s="10"/>
      <c r="J19" s="14"/>
      <c r="K19" s="53">
        <f t="shared" si="0"/>
        <v>3.00840653262426E-5</v>
      </c>
      <c r="L19" s="54">
        <f t="shared" si="1"/>
        <v>2.9418303950800441E-3</v>
      </c>
      <c r="M19" s="52">
        <f t="shared" si="2"/>
        <v>29.418303950799579</v>
      </c>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row>
    <row r="20" spans="1:116" s="2" customFormat="1" ht="14" x14ac:dyDescent="0.2">
      <c r="A20" s="10"/>
      <c r="B20" s="29" t="s">
        <v>60</v>
      </c>
      <c r="C20" s="49">
        <v>0</v>
      </c>
      <c r="D20" s="50">
        <f t="shared" si="3"/>
        <v>1.1237199999999999E-2</v>
      </c>
      <c r="E20" s="51">
        <f t="shared" si="4"/>
        <v>1.1112328541711083</v>
      </c>
      <c r="F20" s="52">
        <f t="shared" si="5"/>
        <v>11112.328541711084</v>
      </c>
      <c r="G20" s="13"/>
      <c r="H20" s="10"/>
      <c r="I20" s="10"/>
      <c r="J20" s="14"/>
      <c r="K20" s="53">
        <f t="shared" si="0"/>
        <v>3.00840653262426E-5</v>
      </c>
      <c r="L20" s="54">
        <f t="shared" si="1"/>
        <v>2.9418303950800441E-3</v>
      </c>
      <c r="M20" s="52">
        <f t="shared" si="2"/>
        <v>29.418303950799579</v>
      </c>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row>
    <row r="21" spans="1:116" s="2" customFormat="1" ht="14" x14ac:dyDescent="0.2">
      <c r="A21" s="10"/>
      <c r="B21" s="29" t="s">
        <v>60</v>
      </c>
      <c r="C21" s="49">
        <v>0</v>
      </c>
      <c r="D21" s="50">
        <f t="shared" si="3"/>
        <v>1.1237199999999999E-2</v>
      </c>
      <c r="E21" s="51">
        <f t="shared" si="4"/>
        <v>1.1112328541711083</v>
      </c>
      <c r="F21" s="52">
        <f t="shared" si="5"/>
        <v>11112.328541711084</v>
      </c>
      <c r="G21" s="13"/>
      <c r="H21" s="10"/>
      <c r="I21" s="10"/>
      <c r="J21" s="14"/>
      <c r="K21" s="53">
        <f t="shared" si="0"/>
        <v>3.00840653262426E-5</v>
      </c>
      <c r="L21" s="54">
        <f t="shared" si="1"/>
        <v>2.9418303950800441E-3</v>
      </c>
      <c r="M21" s="52">
        <f t="shared" si="2"/>
        <v>29.418303950799579</v>
      </c>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row>
    <row r="22" spans="1:116" s="2" customFormat="1" ht="14" x14ac:dyDescent="0.2">
      <c r="A22" s="10"/>
      <c r="B22" s="29" t="s">
        <v>60</v>
      </c>
      <c r="C22" s="49">
        <v>0</v>
      </c>
      <c r="D22" s="50">
        <f t="shared" si="3"/>
        <v>1.1237199999999999E-2</v>
      </c>
      <c r="E22" s="51">
        <f t="shared" si="4"/>
        <v>1.1112328541711083</v>
      </c>
      <c r="F22" s="52">
        <f t="shared" si="5"/>
        <v>11112.328541711084</v>
      </c>
      <c r="G22" s="13"/>
      <c r="H22" s="10"/>
      <c r="I22" s="10"/>
      <c r="J22" s="14"/>
      <c r="K22" s="53">
        <f t="shared" si="0"/>
        <v>3.00840653262426E-5</v>
      </c>
      <c r="L22" s="54">
        <f t="shared" si="1"/>
        <v>2.9418303950800441E-3</v>
      </c>
      <c r="M22" s="52">
        <f t="shared" si="2"/>
        <v>29.418303950799579</v>
      </c>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row>
    <row r="23" spans="1:116" s="2" customFormat="1" ht="14" x14ac:dyDescent="0.2">
      <c r="A23" s="10"/>
      <c r="B23" s="29" t="s">
        <v>60</v>
      </c>
      <c r="C23" s="49">
        <v>0</v>
      </c>
      <c r="D23" s="50">
        <f t="shared" si="3"/>
        <v>1.1237199999999999E-2</v>
      </c>
      <c r="E23" s="51">
        <f t="shared" si="4"/>
        <v>1.1112328541711083</v>
      </c>
      <c r="F23" s="52">
        <f t="shared" si="5"/>
        <v>11112.328541711084</v>
      </c>
      <c r="G23" s="13"/>
      <c r="H23" s="10"/>
      <c r="I23" s="10"/>
      <c r="J23" s="14"/>
      <c r="K23" s="53">
        <f t="shared" si="0"/>
        <v>3.00840653262426E-5</v>
      </c>
      <c r="L23" s="54">
        <f t="shared" si="1"/>
        <v>2.9418303950800441E-3</v>
      </c>
      <c r="M23" s="52">
        <f t="shared" si="2"/>
        <v>29.418303950799579</v>
      </c>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row>
    <row r="24" spans="1:116" s="2" customFormat="1" ht="14" x14ac:dyDescent="0.2">
      <c r="A24" s="10"/>
      <c r="B24" s="29" t="s">
        <v>60</v>
      </c>
      <c r="C24" s="49">
        <v>0</v>
      </c>
      <c r="D24" s="50">
        <f t="shared" si="3"/>
        <v>1.1237199999999999E-2</v>
      </c>
      <c r="E24" s="51">
        <f t="shared" si="4"/>
        <v>1.1112328541711083</v>
      </c>
      <c r="F24" s="52">
        <f t="shared" si="5"/>
        <v>11112.328541711084</v>
      </c>
      <c r="G24" s="13"/>
      <c r="H24" s="10"/>
      <c r="I24" s="10"/>
      <c r="J24" s="14"/>
      <c r="K24" s="53">
        <f t="shared" si="0"/>
        <v>3.00840653262426E-5</v>
      </c>
      <c r="L24" s="54">
        <f t="shared" si="1"/>
        <v>2.9418303950800441E-3</v>
      </c>
      <c r="M24" s="52">
        <f t="shared" si="2"/>
        <v>29.418303950799579</v>
      </c>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row>
    <row r="25" spans="1:116" s="2" customFormat="1" ht="14" x14ac:dyDescent="0.2">
      <c r="A25" s="10"/>
      <c r="B25" s="29" t="s">
        <v>60</v>
      </c>
      <c r="C25" s="49">
        <v>0</v>
      </c>
      <c r="D25" s="50">
        <f t="shared" si="3"/>
        <v>1.1237199999999999E-2</v>
      </c>
      <c r="E25" s="51">
        <f t="shared" si="4"/>
        <v>1.1112328541711083</v>
      </c>
      <c r="F25" s="52">
        <f t="shared" si="5"/>
        <v>11112.328541711084</v>
      </c>
      <c r="G25" s="13"/>
      <c r="H25" s="10"/>
      <c r="I25" s="10"/>
      <c r="J25" s="14"/>
      <c r="K25" s="53">
        <f t="shared" si="0"/>
        <v>3.00840653262426E-5</v>
      </c>
      <c r="L25" s="54">
        <f t="shared" si="1"/>
        <v>2.9418303950800441E-3</v>
      </c>
      <c r="M25" s="52">
        <f t="shared" si="2"/>
        <v>29.418303950799579</v>
      </c>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row>
    <row r="26" spans="1:116" s="2" customFormat="1" ht="14" x14ac:dyDescent="0.2">
      <c r="A26" s="10"/>
      <c r="B26" s="29" t="s">
        <v>60</v>
      </c>
      <c r="C26" s="49">
        <v>0</v>
      </c>
      <c r="D26" s="50">
        <f t="shared" si="3"/>
        <v>1.1237199999999999E-2</v>
      </c>
      <c r="E26" s="51">
        <f t="shared" si="4"/>
        <v>1.1112328541711083</v>
      </c>
      <c r="F26" s="52">
        <f t="shared" si="5"/>
        <v>11112.328541711084</v>
      </c>
      <c r="G26" s="13"/>
      <c r="H26" s="10"/>
      <c r="I26" s="10"/>
      <c r="J26" s="14"/>
      <c r="K26" s="53">
        <f t="shared" si="0"/>
        <v>3.00840653262426E-5</v>
      </c>
      <c r="L26" s="54">
        <f t="shared" si="1"/>
        <v>2.9418303950800441E-3</v>
      </c>
      <c r="M26" s="52">
        <f t="shared" si="2"/>
        <v>29.418303950799579</v>
      </c>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row>
    <row r="27" spans="1:116" s="2" customFormat="1" ht="14" x14ac:dyDescent="0.2">
      <c r="A27" s="10"/>
      <c r="B27" s="29" t="s">
        <v>60</v>
      </c>
      <c r="C27" s="49">
        <v>0</v>
      </c>
      <c r="D27" s="50">
        <f t="shared" si="3"/>
        <v>1.1237199999999999E-2</v>
      </c>
      <c r="E27" s="51">
        <f t="shared" si="4"/>
        <v>1.1112328541711083</v>
      </c>
      <c r="F27" s="52">
        <f t="shared" si="5"/>
        <v>11112.328541711084</v>
      </c>
      <c r="G27" s="13"/>
      <c r="H27" s="10"/>
      <c r="I27" s="10"/>
      <c r="J27" s="14"/>
      <c r="K27" s="53">
        <f t="shared" si="0"/>
        <v>3.00840653262426E-5</v>
      </c>
      <c r="L27" s="54">
        <f t="shared" si="1"/>
        <v>2.9418303950800441E-3</v>
      </c>
      <c r="M27" s="52">
        <f t="shared" si="2"/>
        <v>29.418303950799579</v>
      </c>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row>
    <row r="28" spans="1:116" s="2" customFormat="1" ht="14" x14ac:dyDescent="0.2">
      <c r="A28" s="10"/>
      <c r="B28" s="29" t="s">
        <v>60</v>
      </c>
      <c r="C28" s="49">
        <v>0</v>
      </c>
      <c r="D28" s="50">
        <f t="shared" si="3"/>
        <v>1.1237199999999999E-2</v>
      </c>
      <c r="E28" s="51">
        <f t="shared" si="4"/>
        <v>1.1112328541711083</v>
      </c>
      <c r="F28" s="52">
        <f t="shared" si="5"/>
        <v>11112.328541711084</v>
      </c>
      <c r="G28" s="13"/>
      <c r="H28" s="10"/>
      <c r="I28" s="10"/>
      <c r="J28" s="14"/>
      <c r="K28" s="53">
        <f t="shared" si="0"/>
        <v>3.00840653262426E-5</v>
      </c>
      <c r="L28" s="54">
        <f t="shared" si="1"/>
        <v>2.9418303950800441E-3</v>
      </c>
      <c r="M28" s="52">
        <f t="shared" si="2"/>
        <v>29.418303950799579</v>
      </c>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row>
    <row r="29" spans="1:116" s="2" customFormat="1" ht="14" x14ac:dyDescent="0.2">
      <c r="A29" s="10"/>
      <c r="B29" s="29" t="s">
        <v>60</v>
      </c>
      <c r="C29" s="49">
        <v>0</v>
      </c>
      <c r="D29" s="50">
        <f t="shared" si="3"/>
        <v>1.1237199999999999E-2</v>
      </c>
      <c r="E29" s="51">
        <f t="shared" si="4"/>
        <v>1.1112328541711083</v>
      </c>
      <c r="F29" s="52">
        <f t="shared" si="5"/>
        <v>11112.328541711084</v>
      </c>
      <c r="G29" s="13"/>
      <c r="H29" s="10"/>
      <c r="I29" s="10"/>
      <c r="J29" s="14"/>
      <c r="K29" s="53">
        <f t="shared" si="0"/>
        <v>3.00840653262426E-5</v>
      </c>
      <c r="L29" s="54">
        <f t="shared" si="1"/>
        <v>2.9418303950800441E-3</v>
      </c>
      <c r="M29" s="52">
        <f t="shared" si="2"/>
        <v>29.418303950799579</v>
      </c>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row>
    <row r="30" spans="1:116" s="2" customFormat="1" ht="14" x14ac:dyDescent="0.2">
      <c r="A30" s="10"/>
      <c r="B30" s="29" t="s">
        <v>60</v>
      </c>
      <c r="C30" s="49">
        <v>0</v>
      </c>
      <c r="D30" s="50">
        <f t="shared" si="3"/>
        <v>1.1237199999999999E-2</v>
      </c>
      <c r="E30" s="51">
        <f t="shared" si="4"/>
        <v>1.1112328541711083</v>
      </c>
      <c r="F30" s="52">
        <f t="shared" si="5"/>
        <v>11112.328541711084</v>
      </c>
      <c r="G30" s="13"/>
      <c r="H30" s="10"/>
      <c r="I30" s="10"/>
      <c r="J30" s="14"/>
      <c r="K30" s="53">
        <f t="shared" si="0"/>
        <v>3.00840653262426E-5</v>
      </c>
      <c r="L30" s="54">
        <f t="shared" si="1"/>
        <v>2.9418303950800441E-3</v>
      </c>
      <c r="M30" s="52">
        <f t="shared" si="2"/>
        <v>29.418303950799579</v>
      </c>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row>
    <row r="31" spans="1:116" s="2" customFormat="1" ht="14" x14ac:dyDescent="0.2">
      <c r="A31" s="10"/>
      <c r="B31" s="29" t="s">
        <v>60</v>
      </c>
      <c r="C31" s="49">
        <v>0</v>
      </c>
      <c r="D31" s="50">
        <f t="shared" si="3"/>
        <v>1.1237199999999999E-2</v>
      </c>
      <c r="E31" s="51">
        <f t="shared" si="4"/>
        <v>1.1112328541711083</v>
      </c>
      <c r="F31" s="52">
        <f t="shared" si="5"/>
        <v>11112.328541711084</v>
      </c>
      <c r="G31" s="13"/>
      <c r="H31" s="10"/>
      <c r="I31" s="10"/>
      <c r="J31" s="14"/>
      <c r="K31" s="53">
        <f t="shared" si="0"/>
        <v>3.00840653262426E-5</v>
      </c>
      <c r="L31" s="54">
        <f t="shared" si="1"/>
        <v>2.9418303950800441E-3</v>
      </c>
      <c r="M31" s="52">
        <f t="shared" si="2"/>
        <v>29.418303950799579</v>
      </c>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row>
    <row r="32" spans="1:116" s="2" customFormat="1" ht="14" x14ac:dyDescent="0.2">
      <c r="A32" s="10"/>
      <c r="B32" s="29" t="s">
        <v>60</v>
      </c>
      <c r="C32" s="49">
        <v>0</v>
      </c>
      <c r="D32" s="50">
        <f t="shared" si="3"/>
        <v>1.1237199999999999E-2</v>
      </c>
      <c r="E32" s="51">
        <f t="shared" si="4"/>
        <v>1.1112328541711083</v>
      </c>
      <c r="F32" s="52">
        <f t="shared" si="5"/>
        <v>11112.328541711084</v>
      </c>
      <c r="G32" s="13"/>
      <c r="H32" s="10"/>
      <c r="I32" s="10"/>
      <c r="J32" s="14"/>
      <c r="K32" s="53">
        <f t="shared" si="0"/>
        <v>3.00840653262426E-5</v>
      </c>
      <c r="L32" s="54">
        <f t="shared" si="1"/>
        <v>2.9418303950800441E-3</v>
      </c>
      <c r="M32" s="52">
        <f t="shared" si="2"/>
        <v>29.418303950799579</v>
      </c>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row>
    <row r="33" spans="1:116" s="2" customFormat="1" ht="14" x14ac:dyDescent="0.2">
      <c r="A33" s="10"/>
      <c r="B33" s="29" t="s">
        <v>60</v>
      </c>
      <c r="C33" s="49">
        <v>0</v>
      </c>
      <c r="D33" s="50">
        <f t="shared" si="3"/>
        <v>1.1237199999999999E-2</v>
      </c>
      <c r="E33" s="51">
        <f t="shared" si="4"/>
        <v>1.1112328541711083</v>
      </c>
      <c r="F33" s="52">
        <f t="shared" si="5"/>
        <v>11112.328541711084</v>
      </c>
      <c r="G33" s="13"/>
      <c r="H33" s="10"/>
      <c r="I33" s="10"/>
      <c r="J33" s="14"/>
      <c r="K33" s="53">
        <f t="shared" si="0"/>
        <v>3.00840653262426E-5</v>
      </c>
      <c r="L33" s="54">
        <f t="shared" si="1"/>
        <v>2.9418303950800441E-3</v>
      </c>
      <c r="M33" s="52">
        <f t="shared" si="2"/>
        <v>29.418303950799579</v>
      </c>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row>
    <row r="34" spans="1:116" s="2" customFormat="1" ht="14" x14ac:dyDescent="0.2">
      <c r="A34" s="10"/>
      <c r="B34" s="29" t="s">
        <v>60</v>
      </c>
      <c r="C34" s="49">
        <v>0</v>
      </c>
      <c r="D34" s="50">
        <f t="shared" si="3"/>
        <v>1.1237199999999999E-2</v>
      </c>
      <c r="E34" s="51">
        <f t="shared" si="4"/>
        <v>1.1112328541711083</v>
      </c>
      <c r="F34" s="52">
        <f t="shared" si="5"/>
        <v>11112.328541711084</v>
      </c>
      <c r="G34" s="13"/>
      <c r="H34" s="10"/>
      <c r="I34" s="10"/>
      <c r="J34" s="14"/>
      <c r="K34" s="53">
        <f t="shared" si="0"/>
        <v>3.00840653262426E-5</v>
      </c>
      <c r="L34" s="54">
        <f t="shared" si="1"/>
        <v>2.9418303950800441E-3</v>
      </c>
      <c r="M34" s="52">
        <f t="shared" si="2"/>
        <v>29.418303950799579</v>
      </c>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row>
    <row r="35" spans="1:116" s="2" customFormat="1" ht="14" x14ac:dyDescent="0.2">
      <c r="A35" s="10"/>
      <c r="B35" s="29" t="s">
        <v>60</v>
      </c>
      <c r="C35" s="49">
        <v>0</v>
      </c>
      <c r="D35" s="50">
        <f t="shared" si="3"/>
        <v>1.1237199999999999E-2</v>
      </c>
      <c r="E35" s="51">
        <f t="shared" si="4"/>
        <v>1.1112328541711083</v>
      </c>
      <c r="F35" s="52">
        <f t="shared" si="5"/>
        <v>11112.328541711084</v>
      </c>
      <c r="G35" s="13"/>
      <c r="H35" s="10"/>
      <c r="I35" s="10"/>
      <c r="J35" s="14"/>
      <c r="K35" s="53">
        <f t="shared" si="0"/>
        <v>3.00840653262426E-5</v>
      </c>
      <c r="L35" s="54">
        <f t="shared" si="1"/>
        <v>2.9418303950800441E-3</v>
      </c>
      <c r="M35" s="52">
        <f t="shared" si="2"/>
        <v>29.418303950799579</v>
      </c>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row>
    <row r="36" spans="1:116" s="2" customFormat="1" ht="14" x14ac:dyDescent="0.2">
      <c r="A36" s="10"/>
      <c r="B36" s="29" t="s">
        <v>60</v>
      </c>
      <c r="C36" s="49">
        <v>0</v>
      </c>
      <c r="D36" s="50">
        <f t="shared" si="3"/>
        <v>1.1237199999999999E-2</v>
      </c>
      <c r="E36" s="51">
        <f t="shared" si="4"/>
        <v>1.1112328541711083</v>
      </c>
      <c r="F36" s="52">
        <f t="shared" si="5"/>
        <v>11112.328541711084</v>
      </c>
      <c r="G36" s="13"/>
      <c r="H36" s="10"/>
      <c r="I36" s="10"/>
      <c r="J36" s="14"/>
      <c r="K36" s="53">
        <f t="shared" si="0"/>
        <v>3.00840653262426E-5</v>
      </c>
      <c r="L36" s="54">
        <f t="shared" si="1"/>
        <v>2.9418303950800441E-3</v>
      </c>
      <c r="M36" s="52">
        <f t="shared" si="2"/>
        <v>29.418303950799579</v>
      </c>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row>
    <row r="37" spans="1:116" s="2" customFormat="1" ht="14" x14ac:dyDescent="0.2">
      <c r="A37" s="10"/>
      <c r="B37" s="29" t="s">
        <v>60</v>
      </c>
      <c r="C37" s="49">
        <v>0</v>
      </c>
      <c r="D37" s="50">
        <f t="shared" si="3"/>
        <v>1.1237199999999999E-2</v>
      </c>
      <c r="E37" s="51">
        <f t="shared" si="4"/>
        <v>1.1112328541711083</v>
      </c>
      <c r="F37" s="52">
        <f t="shared" si="5"/>
        <v>11112.328541711084</v>
      </c>
      <c r="G37" s="13"/>
      <c r="H37" s="10"/>
      <c r="I37" s="10"/>
      <c r="J37" s="14"/>
      <c r="K37" s="53">
        <f t="shared" si="0"/>
        <v>3.00840653262426E-5</v>
      </c>
      <c r="L37" s="54">
        <f t="shared" si="1"/>
        <v>2.9418303950800441E-3</v>
      </c>
      <c r="M37" s="52">
        <f t="shared" si="2"/>
        <v>29.418303950799579</v>
      </c>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row>
    <row r="38" spans="1:116" s="2" customFormat="1" ht="14" x14ac:dyDescent="0.2">
      <c r="A38" s="10"/>
      <c r="B38" s="29" t="s">
        <v>60</v>
      </c>
      <c r="C38" s="49">
        <v>0</v>
      </c>
      <c r="D38" s="50">
        <f t="shared" si="3"/>
        <v>1.1237199999999999E-2</v>
      </c>
      <c r="E38" s="51">
        <f t="shared" si="4"/>
        <v>1.1112328541711083</v>
      </c>
      <c r="F38" s="52">
        <f t="shared" si="5"/>
        <v>11112.328541711084</v>
      </c>
      <c r="G38" s="13"/>
      <c r="H38" s="10"/>
      <c r="I38" s="10"/>
      <c r="J38" s="14"/>
      <c r="K38" s="53">
        <f t="shared" si="0"/>
        <v>3.00840653262426E-5</v>
      </c>
      <c r="L38" s="54">
        <f t="shared" si="1"/>
        <v>2.9418303950800441E-3</v>
      </c>
      <c r="M38" s="52">
        <f t="shared" si="2"/>
        <v>29.418303950799579</v>
      </c>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row>
    <row r="39" spans="1:116" s="2" customFormat="1" ht="14" x14ac:dyDescent="0.2">
      <c r="A39" s="10"/>
      <c r="B39" s="29" t="s">
        <v>60</v>
      </c>
      <c r="C39" s="49">
        <v>0</v>
      </c>
      <c r="D39" s="50">
        <f t="shared" si="3"/>
        <v>1.1237199999999999E-2</v>
      </c>
      <c r="E39" s="51">
        <f t="shared" si="4"/>
        <v>1.1112328541711083</v>
      </c>
      <c r="F39" s="52">
        <f t="shared" si="5"/>
        <v>11112.328541711084</v>
      </c>
      <c r="G39" s="13"/>
      <c r="H39" s="10"/>
      <c r="I39" s="10"/>
      <c r="J39" s="14"/>
      <c r="K39" s="53">
        <f t="shared" si="0"/>
        <v>3.00840653262426E-5</v>
      </c>
      <c r="L39" s="54">
        <f t="shared" si="1"/>
        <v>2.9418303950800441E-3</v>
      </c>
      <c r="M39" s="52">
        <f t="shared" si="2"/>
        <v>29.418303950799579</v>
      </c>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row>
    <row r="40" spans="1:116" s="2" customFormat="1" ht="14" x14ac:dyDescent="0.2">
      <c r="A40" s="10"/>
      <c r="B40" s="29" t="s">
        <v>60</v>
      </c>
      <c r="C40" s="49">
        <v>0</v>
      </c>
      <c r="D40" s="50">
        <f t="shared" si="3"/>
        <v>1.1237199999999999E-2</v>
      </c>
      <c r="E40" s="51">
        <f t="shared" si="4"/>
        <v>1.1112328541711083</v>
      </c>
      <c r="F40" s="52">
        <f t="shared" si="5"/>
        <v>11112.328541711084</v>
      </c>
      <c r="G40" s="13"/>
      <c r="H40" s="10"/>
      <c r="I40" s="10"/>
      <c r="J40" s="14"/>
      <c r="K40" s="53">
        <f t="shared" si="0"/>
        <v>3.00840653262426E-5</v>
      </c>
      <c r="L40" s="54">
        <f t="shared" si="1"/>
        <v>2.9418303950800441E-3</v>
      </c>
      <c r="M40" s="52">
        <f t="shared" si="2"/>
        <v>29.418303950799579</v>
      </c>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row>
    <row r="41" spans="1:116" s="2" customFormat="1" ht="14" x14ac:dyDescent="0.2">
      <c r="A41" s="10"/>
      <c r="B41" s="29" t="s">
        <v>60</v>
      </c>
      <c r="C41" s="49">
        <v>0</v>
      </c>
      <c r="D41" s="50">
        <f t="shared" si="3"/>
        <v>1.1237199999999999E-2</v>
      </c>
      <c r="E41" s="51">
        <f t="shared" si="4"/>
        <v>1.1112328541711083</v>
      </c>
      <c r="F41" s="52">
        <f t="shared" si="5"/>
        <v>11112.328541711084</v>
      </c>
      <c r="G41" s="13"/>
      <c r="H41" s="10"/>
      <c r="I41" s="10"/>
      <c r="J41" s="14"/>
      <c r="K41" s="53">
        <f t="shared" si="0"/>
        <v>3.00840653262426E-5</v>
      </c>
      <c r="L41" s="54">
        <f t="shared" si="1"/>
        <v>2.9418303950800441E-3</v>
      </c>
      <c r="M41" s="52">
        <f t="shared" si="2"/>
        <v>29.418303950799579</v>
      </c>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row>
    <row r="42" spans="1:116" s="2" customFormat="1" ht="14" x14ac:dyDescent="0.2">
      <c r="A42" s="10"/>
      <c r="B42" s="29" t="s">
        <v>60</v>
      </c>
      <c r="C42" s="49">
        <v>0</v>
      </c>
      <c r="D42" s="50">
        <f t="shared" si="3"/>
        <v>1.1237199999999999E-2</v>
      </c>
      <c r="E42" s="51">
        <f t="shared" si="4"/>
        <v>1.1112328541711083</v>
      </c>
      <c r="F42" s="52">
        <f t="shared" si="5"/>
        <v>11112.328541711084</v>
      </c>
      <c r="G42" s="13"/>
      <c r="H42" s="10"/>
      <c r="I42" s="10"/>
      <c r="J42" s="14"/>
      <c r="K42" s="53">
        <f t="shared" si="0"/>
        <v>3.00840653262426E-5</v>
      </c>
      <c r="L42" s="54">
        <f t="shared" si="1"/>
        <v>2.9418303950800441E-3</v>
      </c>
      <c r="M42" s="52">
        <f t="shared" si="2"/>
        <v>29.418303950799579</v>
      </c>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row>
    <row r="43" spans="1:116" s="2" customFormat="1" ht="14" x14ac:dyDescent="0.2">
      <c r="A43" s="10"/>
      <c r="B43" s="29" t="s">
        <v>60</v>
      </c>
      <c r="C43" s="49">
        <v>0</v>
      </c>
      <c r="D43" s="50">
        <f t="shared" si="3"/>
        <v>1.1237199999999999E-2</v>
      </c>
      <c r="E43" s="51">
        <f t="shared" si="4"/>
        <v>1.1112328541711083</v>
      </c>
      <c r="F43" s="52">
        <f>IF(ISNUMBER(SEARCH("delta",$C$12)),((((C43/1000)+1)*$D$6)/(1+(((C43/1000)+1)*$D$6)))*1000000,IF(ISNUMBER(SEARCH("ratio",$C$12)),(C43/(1+C43))*1000000,IF(ISNUMBER(SEARCH("%",$C$12)),C43*10000,IF(ISNUMBER(SEARCH("ppm",$C$12)),C43/10000,"Not selected"))))</f>
        <v>11112.328541711084</v>
      </c>
      <c r="G43" s="13"/>
      <c r="H43" s="10"/>
      <c r="I43" s="10"/>
      <c r="J43" s="14"/>
      <c r="K43" s="53">
        <f t="shared" si="0"/>
        <v>3.00840653262426E-5</v>
      </c>
      <c r="L43" s="54">
        <f t="shared" si="1"/>
        <v>2.9418303950800441E-3</v>
      </c>
      <c r="M43" s="52">
        <f t="shared" si="2"/>
        <v>29.418303950799579</v>
      </c>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row>
    <row r="44" spans="1:116" s="2" customFormat="1" ht="14" x14ac:dyDescent="0.2">
      <c r="A44" s="10"/>
      <c r="B44" s="29" t="s">
        <v>60</v>
      </c>
      <c r="C44" s="49">
        <v>0</v>
      </c>
      <c r="D44" s="50">
        <f t="shared" si="3"/>
        <v>1.1237199999999999E-2</v>
      </c>
      <c r="E44" s="51">
        <f t="shared" si="4"/>
        <v>1.1112328541711083</v>
      </c>
      <c r="F44" s="52">
        <f t="shared" si="5"/>
        <v>11112.328541711084</v>
      </c>
      <c r="G44" s="13"/>
      <c r="H44" s="10"/>
      <c r="I44" s="10"/>
      <c r="J44" s="14"/>
      <c r="K44" s="53">
        <f t="shared" si="0"/>
        <v>3.00840653262426E-5</v>
      </c>
      <c r="L44" s="54">
        <f t="shared" si="1"/>
        <v>2.9418303950800441E-3</v>
      </c>
      <c r="M44" s="52">
        <f t="shared" si="2"/>
        <v>29.418303950799579</v>
      </c>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row>
    <row r="45" spans="1:116" s="2" customFormat="1" ht="14" x14ac:dyDescent="0.2">
      <c r="A45" s="10"/>
      <c r="B45" s="29" t="s">
        <v>60</v>
      </c>
      <c r="C45" s="49">
        <v>0</v>
      </c>
      <c r="D45" s="50">
        <f t="shared" si="3"/>
        <v>1.1237199999999999E-2</v>
      </c>
      <c r="E45" s="51">
        <f t="shared" si="4"/>
        <v>1.1112328541711083</v>
      </c>
      <c r="F45" s="52">
        <f t="shared" si="5"/>
        <v>11112.328541711084</v>
      </c>
      <c r="G45" s="13"/>
      <c r="H45" s="10"/>
      <c r="I45" s="10"/>
      <c r="J45" s="14"/>
      <c r="K45" s="53">
        <f t="shared" si="0"/>
        <v>3.00840653262426E-5</v>
      </c>
      <c r="L45" s="54">
        <f t="shared" si="1"/>
        <v>2.9418303950800441E-3</v>
      </c>
      <c r="M45" s="52">
        <f t="shared" si="2"/>
        <v>29.418303950799579</v>
      </c>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row>
    <row r="46" spans="1:116" s="2" customFormat="1" ht="14" x14ac:dyDescent="0.2">
      <c r="A46" s="10"/>
      <c r="B46" s="29" t="s">
        <v>60</v>
      </c>
      <c r="C46" s="49">
        <v>0</v>
      </c>
      <c r="D46" s="50">
        <f t="shared" si="3"/>
        <v>1.1237199999999999E-2</v>
      </c>
      <c r="E46" s="51">
        <f t="shared" si="4"/>
        <v>1.1112328541711083</v>
      </c>
      <c r="F46" s="52">
        <f t="shared" si="5"/>
        <v>11112.328541711084</v>
      </c>
      <c r="G46" s="13"/>
      <c r="H46" s="10"/>
      <c r="I46" s="10"/>
      <c r="J46" s="14"/>
      <c r="K46" s="53">
        <f t="shared" si="0"/>
        <v>3.00840653262426E-5</v>
      </c>
      <c r="L46" s="54">
        <f t="shared" si="1"/>
        <v>2.9418303950800441E-3</v>
      </c>
      <c r="M46" s="52">
        <f t="shared" si="2"/>
        <v>29.418303950799579</v>
      </c>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row>
    <row r="47" spans="1:116" s="2" customFormat="1" ht="14" x14ac:dyDescent="0.2">
      <c r="A47" s="10"/>
      <c r="B47" s="29" t="s">
        <v>60</v>
      </c>
      <c r="C47" s="49">
        <v>0</v>
      </c>
      <c r="D47" s="50">
        <f t="shared" si="3"/>
        <v>1.1237199999999999E-2</v>
      </c>
      <c r="E47" s="51">
        <f t="shared" si="4"/>
        <v>1.1112328541711083</v>
      </c>
      <c r="F47" s="52">
        <f t="shared" si="5"/>
        <v>11112.328541711084</v>
      </c>
      <c r="G47" s="13"/>
      <c r="H47" s="10"/>
      <c r="I47" s="10"/>
      <c r="J47" s="14"/>
      <c r="K47" s="53">
        <f t="shared" si="0"/>
        <v>3.00840653262426E-5</v>
      </c>
      <c r="L47" s="54">
        <f t="shared" si="1"/>
        <v>2.9418303950800441E-3</v>
      </c>
      <c r="M47" s="52">
        <f t="shared" si="2"/>
        <v>29.418303950799579</v>
      </c>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row>
    <row r="48" spans="1:116" s="2" customFormat="1" ht="14" x14ac:dyDescent="0.2">
      <c r="A48" s="10"/>
      <c r="B48" s="29" t="s">
        <v>60</v>
      </c>
      <c r="C48" s="49">
        <v>0</v>
      </c>
      <c r="D48" s="50">
        <f t="shared" si="3"/>
        <v>1.1237199999999999E-2</v>
      </c>
      <c r="E48" s="51">
        <f t="shared" si="4"/>
        <v>1.1112328541711083</v>
      </c>
      <c r="F48" s="52">
        <f t="shared" si="5"/>
        <v>11112.328541711084</v>
      </c>
      <c r="G48" s="13"/>
      <c r="H48" s="10"/>
      <c r="I48" s="10"/>
      <c r="J48" s="14"/>
      <c r="K48" s="53">
        <f t="shared" si="0"/>
        <v>3.00840653262426E-5</v>
      </c>
      <c r="L48" s="54">
        <f t="shared" si="1"/>
        <v>2.9418303950800441E-3</v>
      </c>
      <c r="M48" s="52">
        <f t="shared" si="2"/>
        <v>29.418303950799579</v>
      </c>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row>
    <row r="49" spans="1:116" s="2" customFormat="1" ht="14" x14ac:dyDescent="0.2">
      <c r="A49" s="10"/>
      <c r="B49" s="29" t="s">
        <v>60</v>
      </c>
      <c r="C49" s="49">
        <v>0</v>
      </c>
      <c r="D49" s="50">
        <f t="shared" si="3"/>
        <v>1.1237199999999999E-2</v>
      </c>
      <c r="E49" s="51">
        <f t="shared" si="4"/>
        <v>1.1112328541711083</v>
      </c>
      <c r="F49" s="52">
        <f t="shared" si="5"/>
        <v>11112.328541711084</v>
      </c>
      <c r="G49" s="13"/>
      <c r="H49" s="10"/>
      <c r="I49" s="10"/>
      <c r="J49" s="14"/>
      <c r="K49" s="53">
        <f t="shared" si="0"/>
        <v>3.00840653262426E-5</v>
      </c>
      <c r="L49" s="54">
        <f t="shared" si="1"/>
        <v>2.9418303950800441E-3</v>
      </c>
      <c r="M49" s="52">
        <f t="shared" si="2"/>
        <v>29.418303950799579</v>
      </c>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row>
    <row r="50" spans="1:116" s="2" customFormat="1" ht="14" x14ac:dyDescent="0.2">
      <c r="A50" s="10"/>
      <c r="B50" s="29" t="s">
        <v>60</v>
      </c>
      <c r="C50" s="49">
        <v>0</v>
      </c>
      <c r="D50" s="50">
        <f t="shared" si="3"/>
        <v>1.1237199999999999E-2</v>
      </c>
      <c r="E50" s="51">
        <f t="shared" si="4"/>
        <v>1.1112328541711083</v>
      </c>
      <c r="F50" s="52">
        <f t="shared" si="5"/>
        <v>11112.328541711084</v>
      </c>
      <c r="G50" s="13"/>
      <c r="H50" s="10"/>
      <c r="I50" s="10"/>
      <c r="J50" s="14"/>
      <c r="K50" s="53">
        <f t="shared" si="0"/>
        <v>3.00840653262426E-5</v>
      </c>
      <c r="L50" s="54">
        <f t="shared" si="1"/>
        <v>2.9418303950800441E-3</v>
      </c>
      <c r="M50" s="52">
        <f t="shared" si="2"/>
        <v>29.418303950799579</v>
      </c>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row>
    <row r="51" spans="1:116" s="2" customFormat="1" ht="14" x14ac:dyDescent="0.2">
      <c r="A51" s="10"/>
      <c r="B51" s="29" t="s">
        <v>60</v>
      </c>
      <c r="C51" s="49">
        <v>0</v>
      </c>
      <c r="D51" s="50">
        <f t="shared" si="3"/>
        <v>1.1237199999999999E-2</v>
      </c>
      <c r="E51" s="51">
        <f t="shared" si="4"/>
        <v>1.1112328541711083</v>
      </c>
      <c r="F51" s="52">
        <f t="shared" si="5"/>
        <v>11112.328541711084</v>
      </c>
      <c r="G51" s="13"/>
      <c r="H51" s="10"/>
      <c r="I51" s="10"/>
      <c r="J51" s="14"/>
      <c r="K51" s="53">
        <f t="shared" si="0"/>
        <v>3.00840653262426E-5</v>
      </c>
      <c r="L51" s="54">
        <f t="shared" si="1"/>
        <v>2.9418303950800441E-3</v>
      </c>
      <c r="M51" s="52">
        <f t="shared" si="2"/>
        <v>29.418303950799579</v>
      </c>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row>
    <row r="52" spans="1:116" ht="16" thickBot="1" x14ac:dyDescent="0.25">
      <c r="B52" s="30" t="s">
        <v>60</v>
      </c>
      <c r="C52" s="55">
        <v>0</v>
      </c>
      <c r="D52" s="56">
        <f t="shared" si="3"/>
        <v>1.1237199999999999E-2</v>
      </c>
      <c r="E52" s="57">
        <f t="shared" si="4"/>
        <v>1.1112328541711083</v>
      </c>
      <c r="F52" s="58">
        <f t="shared" si="5"/>
        <v>11112.328541711084</v>
      </c>
      <c r="G52" s="15"/>
      <c r="H52" s="63"/>
      <c r="I52" s="63"/>
      <c r="J52" s="16"/>
      <c r="K52" s="60">
        <f t="shared" si="0"/>
        <v>3.00840653262426E-5</v>
      </c>
      <c r="L52" s="61">
        <f t="shared" si="1"/>
        <v>2.9418303950800441E-3</v>
      </c>
      <c r="M52" s="58">
        <f t="shared" si="2"/>
        <v>29.418303950799579</v>
      </c>
    </row>
    <row r="53" spans="1:116" x14ac:dyDescent="0.2">
      <c r="B53" s="62"/>
      <c r="J53" s="10"/>
    </row>
    <row r="54" spans="1:116" x14ac:dyDescent="0.2">
      <c r="B54" s="62"/>
      <c r="J54" s="10"/>
    </row>
    <row r="55" spans="1:116" x14ac:dyDescent="0.2">
      <c r="B55" s="62"/>
      <c r="J55" s="10"/>
    </row>
    <row r="56" spans="1:116" x14ac:dyDescent="0.2">
      <c r="B56" s="62"/>
      <c r="J56" s="10"/>
    </row>
    <row r="57" spans="1:116" x14ac:dyDescent="0.2">
      <c r="B57" s="62"/>
      <c r="J57" s="10"/>
    </row>
    <row r="58" spans="1:116" x14ac:dyDescent="0.2">
      <c r="B58" s="62"/>
      <c r="J58" s="10"/>
    </row>
    <row r="59" spans="1:116" x14ac:dyDescent="0.2">
      <c r="B59" s="62"/>
      <c r="J59" s="10"/>
    </row>
    <row r="60" spans="1:116" x14ac:dyDescent="0.2">
      <c r="B60" s="62"/>
      <c r="J60" s="10"/>
    </row>
    <row r="61" spans="1:116" x14ac:dyDescent="0.2">
      <c r="B61" s="62"/>
      <c r="J61" s="10"/>
    </row>
    <row r="62" spans="1:116" x14ac:dyDescent="0.2">
      <c r="B62" s="62"/>
      <c r="J62" s="10"/>
    </row>
  </sheetData>
  <mergeCells count="18">
    <mergeCell ref="K11:M11"/>
    <mergeCell ref="D8:E8"/>
    <mergeCell ref="H8:J8"/>
    <mergeCell ref="H9:J9"/>
    <mergeCell ref="D11:F11"/>
    <mergeCell ref="B2:I2"/>
    <mergeCell ref="J2:M2"/>
    <mergeCell ref="D3:E3"/>
    <mergeCell ref="H3:J3"/>
    <mergeCell ref="D4:E4"/>
    <mergeCell ref="H4:J4"/>
    <mergeCell ref="F3:G9"/>
    <mergeCell ref="D5:E5"/>
    <mergeCell ref="H5:J5"/>
    <mergeCell ref="D6:E6"/>
    <mergeCell ref="H6:J6"/>
    <mergeCell ref="D7:E7"/>
    <mergeCell ref="H7:J7"/>
  </mergeCells>
  <conditionalFormatting sqref="C13:C60">
    <cfRule type="cellIs" dxfId="39" priority="8" operator="equal">
      <formula>1</formula>
    </cfRule>
  </conditionalFormatting>
  <conditionalFormatting sqref="C13:F52">
    <cfRule type="cellIs" dxfId="38" priority="7" operator="equal">
      <formula>0</formula>
    </cfRule>
    <cfRule type="cellIs" dxfId="37" priority="11" operator="greaterThan">
      <formula>1</formula>
    </cfRule>
    <cfRule type="cellIs" dxfId="36" priority="10" operator="lessThan">
      <formula>0</formula>
    </cfRule>
  </conditionalFormatting>
  <conditionalFormatting sqref="D9">
    <cfRule type="cellIs" dxfId="35" priority="1" operator="lessThan">
      <formula>1</formula>
    </cfRule>
    <cfRule type="cellIs" dxfId="34" priority="3" operator="greaterThan">
      <formula>1</formula>
    </cfRule>
    <cfRule type="cellIs" dxfId="33" priority="2" operator="equal">
      <formula>1</formula>
    </cfRule>
  </conditionalFormatting>
  <conditionalFormatting sqref="K13:M52">
    <cfRule type="cellIs" dxfId="32" priority="4" operator="equal">
      <formula>0</formula>
    </cfRule>
    <cfRule type="cellIs" dxfId="31" priority="6" operator="greaterThan">
      <formula>1</formula>
    </cfRule>
    <cfRule type="cellIs" dxfId="30" priority="5" operator="lessThan">
      <formula>0</formula>
    </cfRule>
  </conditionalFormatting>
  <dataValidations count="2">
    <dataValidation type="decimal" allowBlank="1" showInputMessage="1" showErrorMessage="1" errorTitle="Delta" error="by definition delta value must be &gt;-1000" sqref="C52" xr:uid="{00000000-0002-0000-0300-000000000000}">
      <formula1>-999.999999999999</formula1>
      <formula2>1E+37</formula2>
    </dataValidation>
    <dataValidation type="decimal" allowBlank="1" showInputMessage="1" showErrorMessage="1" errorTitle="Delta" error="by definition delta value must be &gt;-1000" promptTitle="Type or paste value" sqref="C13:C51" xr:uid="{00000000-0002-0000-0300-000001000000}">
      <formula1>-999.999999999999</formula1>
      <formula2>1E+37</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2000000}">
          <x14:formula1>
            <xm:f>Constants!$A$12:$A$16</xm:f>
          </x14:formula1>
          <xm:sqref>D3</xm:sqref>
        </x14:dataValidation>
        <x14:dataValidation type="list" allowBlank="1" showInputMessage="1" showErrorMessage="1" xr:uid="{00000000-0002-0000-0300-000003000000}">
          <x14:formula1>
            <xm:f>Tables!$C$12:$C$23</xm:f>
          </x14:formula1>
          <xm:sqref>D6:E6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DL62"/>
  <sheetViews>
    <sheetView zoomScaleNormal="100" workbookViewId="0">
      <selection activeCell="K10" sqref="K10"/>
    </sheetView>
  </sheetViews>
  <sheetFormatPr baseColWidth="10" defaultColWidth="9.1640625" defaultRowHeight="15" x14ac:dyDescent="0.2"/>
  <cols>
    <col min="1" max="1" width="2.5" style="44" customWidth="1"/>
    <col min="2" max="2" width="25.5" style="45" customWidth="1"/>
    <col min="3" max="3" width="28.83203125" style="44" customWidth="1"/>
    <col min="4" max="4" width="27.6640625" style="44" customWidth="1"/>
    <col min="5" max="5" width="31.83203125" style="44" customWidth="1"/>
    <col min="6" max="6" width="21.5" style="44" customWidth="1"/>
    <col min="7" max="7" width="1.5" style="44" customWidth="1"/>
    <col min="8" max="8" width="6.6640625" style="44" customWidth="1"/>
    <col min="9" max="9" width="16.1640625" style="44" customWidth="1"/>
    <col min="10" max="10" width="18.83203125" style="44" customWidth="1"/>
    <col min="11" max="11" width="17" style="44" customWidth="1"/>
    <col min="12" max="12" width="16.6640625" style="44" customWidth="1"/>
    <col min="13" max="13" width="18.5" style="44" customWidth="1"/>
    <col min="14" max="116" width="16.6640625" style="44" customWidth="1"/>
    <col min="117" max="16384" width="9.1640625" style="46"/>
  </cols>
  <sheetData>
    <row r="1" spans="1:116" ht="16" thickBot="1" x14ac:dyDescent="0.25"/>
    <row r="2" spans="1:116" s="48" customFormat="1" ht="39.75" customHeight="1" thickBot="1" x14ac:dyDescent="0.25">
      <c r="A2" s="47"/>
      <c r="B2" s="316" t="s">
        <v>74</v>
      </c>
      <c r="C2" s="318"/>
      <c r="D2" s="318"/>
      <c r="E2" s="318"/>
      <c r="F2" s="318"/>
      <c r="G2" s="318"/>
      <c r="H2" s="318"/>
      <c r="I2" s="318"/>
      <c r="J2" s="317" t="s">
        <v>75</v>
      </c>
      <c r="K2" s="317"/>
      <c r="L2" s="317"/>
      <c r="M2" s="350"/>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row>
    <row r="3" spans="1:116" s="2" customFormat="1" ht="32" customHeight="1" thickBot="1" x14ac:dyDescent="0.25">
      <c r="A3" s="10"/>
      <c r="B3" s="26" t="s">
        <v>61</v>
      </c>
      <c r="C3" s="219" t="s">
        <v>1</v>
      </c>
      <c r="D3" s="339" t="s">
        <v>30</v>
      </c>
      <c r="E3" s="340"/>
      <c r="F3" s="326" t="s">
        <v>218</v>
      </c>
      <c r="G3" s="327"/>
      <c r="H3" s="345" t="s">
        <v>40</v>
      </c>
      <c r="I3" s="346"/>
      <c r="J3" s="346"/>
      <c r="K3" s="24" t="s">
        <v>52</v>
      </c>
      <c r="L3" s="24" t="s">
        <v>58</v>
      </c>
      <c r="M3" s="25" t="s">
        <v>53</v>
      </c>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row>
    <row r="4" spans="1:116" s="2" customFormat="1" ht="32" customHeight="1" thickBot="1" x14ac:dyDescent="0.25">
      <c r="A4" s="10"/>
      <c r="B4" s="27" t="s">
        <v>130</v>
      </c>
      <c r="C4" s="220" t="s">
        <v>3</v>
      </c>
      <c r="D4" s="337" t="str">
        <f>IF(ISNUMBER(SEARCH("delta",D3)),Constants!B23,IF(ISNUMBER(SEARCH("ratio",D3)),Constants!B24,IF(ISNUMBER(SEARCH("%",D3)),Constants!B25,IF(ISNUMBER(SEARCH("ppm",D3)),Constants!B26,IF(ISNUMBER(SEARCH("select",D3)),Constants!B22)))))</f>
        <v>Select "Conversion from"</v>
      </c>
      <c r="E4" s="338"/>
      <c r="F4" s="328"/>
      <c r="G4" s="329"/>
      <c r="H4" s="347" t="s">
        <v>37</v>
      </c>
      <c r="I4" s="348"/>
      <c r="J4" s="349"/>
      <c r="K4" s="22" t="s">
        <v>76</v>
      </c>
      <c r="L4" s="5" t="s">
        <v>81</v>
      </c>
      <c r="M4" s="23">
        <v>0</v>
      </c>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row>
    <row r="5" spans="1:116" s="2" customFormat="1" ht="32" customHeight="1" thickBot="1" x14ac:dyDescent="0.25">
      <c r="A5" s="10"/>
      <c r="B5" s="27" t="s">
        <v>130</v>
      </c>
      <c r="C5" s="221" t="s">
        <v>2</v>
      </c>
      <c r="D5" s="311" t="s">
        <v>81</v>
      </c>
      <c r="E5" s="312"/>
      <c r="F5" s="328"/>
      <c r="G5" s="329"/>
      <c r="H5" s="310" t="s">
        <v>38</v>
      </c>
      <c r="I5" s="308"/>
      <c r="J5" s="309"/>
      <c r="K5" s="3" t="s">
        <v>77</v>
      </c>
      <c r="L5" s="20" t="s">
        <v>34</v>
      </c>
      <c r="M5" s="35" t="s">
        <v>54</v>
      </c>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row>
    <row r="6" spans="1:116" s="2" customFormat="1" ht="32" customHeight="1" thickTop="1" thickBot="1" x14ac:dyDescent="0.25">
      <c r="A6" s="10"/>
      <c r="B6" s="26" t="s">
        <v>61</v>
      </c>
      <c r="C6" s="222" t="s">
        <v>299</v>
      </c>
      <c r="D6" s="341" t="s">
        <v>256</v>
      </c>
      <c r="E6" s="342"/>
      <c r="F6" s="328"/>
      <c r="G6" s="329"/>
      <c r="H6" s="307" t="s">
        <v>195</v>
      </c>
      <c r="I6" s="308"/>
      <c r="J6" s="309"/>
      <c r="K6" s="19" t="s">
        <v>82</v>
      </c>
      <c r="L6" s="20" t="s">
        <v>31</v>
      </c>
      <c r="M6" s="36" t="s">
        <v>57</v>
      </c>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row>
    <row r="7" spans="1:116" s="2" customFormat="1" ht="32" customHeight="1" thickBot="1" x14ac:dyDescent="0.25">
      <c r="A7" s="10"/>
      <c r="B7" s="27" t="s">
        <v>130</v>
      </c>
      <c r="C7" s="223" t="s">
        <v>300</v>
      </c>
      <c r="D7" s="343" t="str">
        <f>IF(ISNUMBER(SEARCH(Tables!C25,D6)),Tables!D25,IF(ISNUMBER(SEARCH(Tables!C26,D6)),Tables!D26,IF(ISNUMBER(SEARCH(Tables!C27,D6)),Tables!D27,IF(ISNUMBER(SEARCH(Tables!C28,D6)),Tables!D28,IF(ISNUMBER(SEARCH(Tables!C29,D6)),Tables!D29,IF(ISNUMBER(SEARCH(Tables!C30,D6)),Tables!D30,IF(ISNUMBER(SEARCH(Tables!C31,D6)),Tables!D31,IF(ISNUMBER(SEARCH(Tables!C32,D6)),Tables!D32,IF(ISNUMBER(SEARCH(Tables!C33,D6)),Tables!D33,IF(ISNUMBER(SEARCH("select",D6)),Tables!D2, IF(ISNUMBER(SEARCH("blank",D6)),Tables!D7)))))))))))</f>
        <v xml:space="preserve">Select "Absolute isotope ratio Rstd for delta zero point" </v>
      </c>
      <c r="E7" s="344"/>
      <c r="F7" s="328"/>
      <c r="G7" s="329"/>
      <c r="H7" s="310" t="s">
        <v>235</v>
      </c>
      <c r="I7" s="308"/>
      <c r="J7" s="309"/>
      <c r="K7" s="3" t="s">
        <v>78</v>
      </c>
      <c r="L7" s="20" t="s">
        <v>34</v>
      </c>
      <c r="M7" s="35" t="s">
        <v>54</v>
      </c>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row>
    <row r="8" spans="1:116" s="2" customFormat="1" ht="32" customHeight="1" thickBot="1" x14ac:dyDescent="0.25">
      <c r="A8" s="10"/>
      <c r="B8" s="27" t="s">
        <v>130</v>
      </c>
      <c r="C8" s="224" t="s">
        <v>301</v>
      </c>
      <c r="D8" s="335" t="str">
        <f>IF(ISNUMBER(SEARCH(Tables!C25,D6)),Tables!G25,IF(ISNUMBER(SEARCH(Tables!C26,D6)),Tables!G26,IF(ISNUMBER(SEARCH(Tables!C27,D6)),Tables!G27,IF(ISNUMBER(SEARCH(Tables!C28,D6)),Tables!G28,IF(ISNUMBER(SEARCH(Tables!C29,D6)),Tables!G29,IF(ISNUMBER(SEARCH(Tables!C30,D6)),Tables!G30,IF(ISNUMBER(SEARCH(Tables!C31,D6)),Tables!G31,IF(ISNUMBER(SEARCH(Tables!C32,D6)),Tables!G32,IF(ISNUMBER(SEARCH(Tables!C33,D6)),Tables!G33,IF(ISNUMBER(SEARCH("select",D6)),Tables!D2, IF(ISNUMBER(SEARCH("blank",D6)),Tables!D7)))))))))))</f>
        <v xml:space="preserve">Select "Absolute isotope ratio Rstd for delta zero point" </v>
      </c>
      <c r="E8" s="336"/>
      <c r="F8" s="328"/>
      <c r="G8" s="329"/>
      <c r="H8" s="310" t="s">
        <v>196</v>
      </c>
      <c r="I8" s="308"/>
      <c r="J8" s="309"/>
      <c r="K8" s="20" t="s">
        <v>322</v>
      </c>
      <c r="L8" s="20" t="s">
        <v>32</v>
      </c>
      <c r="M8" s="17" t="s">
        <v>55</v>
      </c>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row>
    <row r="9" spans="1:116" s="2" customFormat="1" ht="32" customHeight="1" thickBot="1" x14ac:dyDescent="0.25">
      <c r="A9" s="10"/>
      <c r="B9" s="28" t="s">
        <v>131</v>
      </c>
      <c r="C9" s="1" t="str">
        <f>CONCATENATE("uncertainty ",D3)</f>
        <v>uncertainty Select</v>
      </c>
      <c r="D9" s="200">
        <v>0</v>
      </c>
      <c r="E9" s="201"/>
      <c r="F9" s="330"/>
      <c r="G9" s="331"/>
      <c r="H9" s="322" t="s">
        <v>197</v>
      </c>
      <c r="I9" s="323"/>
      <c r="J9" s="324"/>
      <c r="K9" s="21" t="s">
        <v>322</v>
      </c>
      <c r="L9" s="21" t="s">
        <v>33</v>
      </c>
      <c r="M9" s="18" t="s">
        <v>56</v>
      </c>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row>
    <row r="10" spans="1:116" ht="29.25" customHeight="1" thickBot="1" x14ac:dyDescent="0.25">
      <c r="B10" s="62"/>
    </row>
    <row r="11" spans="1:116" s="2" customFormat="1" ht="15" customHeight="1" x14ac:dyDescent="0.2">
      <c r="A11" s="10"/>
      <c r="B11" s="33" t="s">
        <v>119</v>
      </c>
      <c r="C11" s="8" t="s">
        <v>21</v>
      </c>
      <c r="D11" s="332" t="s">
        <v>39</v>
      </c>
      <c r="E11" s="333"/>
      <c r="F11" s="334"/>
      <c r="G11" s="11"/>
      <c r="H11" s="12"/>
      <c r="I11" s="12"/>
      <c r="J11" s="41"/>
      <c r="K11" s="319" t="s">
        <v>232</v>
      </c>
      <c r="L11" s="320"/>
      <c r="M11" s="321"/>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row>
    <row r="12" spans="1:116" s="2" customFormat="1" ht="15.75" customHeight="1" x14ac:dyDescent="0.2">
      <c r="A12" s="10"/>
      <c r="B12" s="34" t="s">
        <v>132</v>
      </c>
      <c r="C12" s="9" t="str">
        <f>D3</f>
        <v>Select</v>
      </c>
      <c r="D12" s="42" t="str">
        <f>IF(ISNUMBER(SEARCH("delta",C12)),"Ratio (15N/14N)",IF(ISNUMBER(SEARCH("ratio",C12)),"Delta (15N/14N) [‰]",IF(ISNUMBER(SEARCH("fraction",C12)),"Delta (15N/14N) [‰]","Not selected")))</f>
        <v>Not selected</v>
      </c>
      <c r="E12" s="43" t="str">
        <f>IF(ISNUMBER(SEARCH("delta",C12)),"Fraction (15N) [%]",IF(ISNUMBER(SEARCH("Ratio",C12)),"Fraction (15N) [%]",IF(ISNUMBER(SEARCH("fraction (15N) [%]",C12)),"Ratio (15N/14N)",IF(ISNUMBER(SEARCH("fraction (15N) [ppm]",C12)),"Ratio (15N/14N)", "Not selected"))))</f>
        <v>Not selected</v>
      </c>
      <c r="F12" s="7" t="str">
        <f>IF(ISNUMBER(SEARCH("delta",C12)),"Fraction (15N) [ppm]",IF(ISNUMBER(SEARCH("ratio",C12)),"Fraction (15N) [ppm]",IF(ISNUMBER(SEARCH("fraction (15N) [%]",C12)),"Fraction (15N) [ppm]",IF(ISNUMBER(SEARCH("fraction (15N) [ppm]",C12)),"Fraction (15N) [%]", "Not selected" ))))</f>
        <v>Not selected</v>
      </c>
      <c r="G12" s="13"/>
      <c r="H12" s="10"/>
      <c r="I12" s="10"/>
      <c r="J12" s="14"/>
      <c r="K12" s="42" t="str">
        <f>D12</f>
        <v>Not selected</v>
      </c>
      <c r="L12" s="43" t="str">
        <f>E12</f>
        <v>Not selected</v>
      </c>
      <c r="M12" s="7" t="str">
        <f>F12</f>
        <v>Not selected</v>
      </c>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row>
    <row r="13" spans="1:116" s="2" customFormat="1" ht="14" x14ac:dyDescent="0.2">
      <c r="A13" s="10"/>
      <c r="B13" s="29" t="s">
        <v>62</v>
      </c>
      <c r="C13" s="49">
        <v>0</v>
      </c>
      <c r="D13" s="50" t="str">
        <f t="shared" ref="D13:D52" si="0">IF(ISNUMBER(SEARCH("delta",$C$12)),((C13/1000)+1)*$D$6,IF(ISNUMBER(SEARCH("ratio",$C$12)),(((C13/$D$6)-1)*1000),IF(ISNUMBER(SEARCH("%",$C$12)),((((C13/(100-C13))/$D$6)-1)*1000),IF(ISNUMBER(SEARCH("ppm",$C$12)),((((((C13/10000)/(100-(C13/10000))/$D$6)-1)*1000))),"Not selected"))))</f>
        <v>Not selected</v>
      </c>
      <c r="E13" s="51" t="str">
        <f>IF(ISNUMBER(SEARCH("delta",$C$12)),((((C13/1000)+1)*$D$6)/(1+(((C13/1000)+1)*$D$6)))*100,IF(ISNUMBER(SEARCH("ratio",$C$12)),((C13/(1+C13))*100),IF(ISNUMBER(SEARCH("%",$C$12)),(C13/(100-C13)),IF(ISNUMBER(SEARCH("ppm",$C$12)),((C13/10000)/(100-(C13/10000))),"Not selected"))))</f>
        <v>Not selected</v>
      </c>
      <c r="F13" s="52" t="str">
        <f>IF(ISNUMBER(SEARCH("delta",$C$12)),((((C13/1000)+1)*$D$6)/(1+(((C13/1000)+1)*$D$6)))*1000000,IF(ISNUMBER(SEARCH("ratio",$C$12)),(C13/(1+C13))*1000000,IF(ISNUMBER(SEARCH("%",$C$12)),C13*10000,IF(ISNUMBER(SEARCH("ppm",$C$12)),C13/10000,"Not selected"))))</f>
        <v>Not selected</v>
      </c>
      <c r="G13" s="13"/>
      <c r="H13" s="10"/>
      <c r="I13" s="10"/>
      <c r="J13" s="14"/>
      <c r="K13" s="53" t="str">
        <f t="shared" ref="K13:K52" si="1">IF(ISNUMBER(SEARCH("delta",$C$12)),SQRT((((((C13/1000)+1)*($D$6+$D$7))-D13)^2)+((((((C13+$D$9)/1000)+1)*$D$6)-D13)^2)),IF(ISNUMBER(SEARCH("ratio",$C$12)),SQRT(((((((C13/($D$6+$D$7))-1)*1000))-D13)^2)+(((((((C13+$D$9)/$D$6)-1)*1000))-D13)^2)),IF(ISNUMBER(SEARCH("%",$C$12)),SQRT((((((((C13/(100-C13))/($D$6+$D$7))-1)*1000))-D13)^2)+((((((((C13+$D$9)/(100-(C13+$D$9)))/$D$6)-1)*1000))-D13)^2)),IF(ISNUMBER(SEARCH("ppm",$C$12)),SQRT((((((((C13/10000)/(100-(C13/10000)))/($D$6+$D$7))-1)*1000)-D13)^2)+(((((((((C13+$D$9)/10000)/(100-((C13+$D$9)/10000)))/$D$6)-1)*1000))-D13)^2)),"Not selected"))))</f>
        <v>Not selected</v>
      </c>
      <c r="L13" s="54" t="str">
        <f t="shared" ref="L13:L52" si="2">IF(ISNUMBER(SEARCH("delta",$C$12)),SQRT((((((((C13/1000)+1)*($D$6+$D$7))/(1+(((C13/1000)+1)*($D$6+$D$7))))*100)-E13)^2)+((((((((C13+$D$9)/1000)+1)*$D$6)/(1+((((C13+$D$9)/1000)+1)*$D$6)))*100)-E13)^2)),IF(ISNUMBER(SEARCH("ratio",$C$12)),SQRT((((((C13/(1+C13))*100))-E13)^2)+((((((C13+$D$9)/(1+(C13+$D$9)))*100))-E13)^2)),IF(ISNUMBER(SEARCH("%",$C$12)),SQRT(((((C13/(100-C13)))-E13)^2)+(((((C13+$D$9)/(100-(C13+$D$9))))-E13)^2)),
IF(ISNUMBER(SEARCH("ppm",$C$12)),SQRT((((((C13/10000)/(100-(C13/10000))))-E13)^2)+((((((C13+$D$9)/10000)/(100-((C13+$D$9)/10000))))-E13)^2)),"Not selected"))))</f>
        <v>Not selected</v>
      </c>
      <c r="M13" s="52" t="str">
        <f t="shared" ref="M13:M52" si="3">IF(ISNUMBER(SEARCH("delta",$C$12)),SQRT((((((((C13/1000)+1)*($D$6+$D$7))/(1+(((C13/1000)+1)*($D$6+$D$7))))*1000000)-F13)^2)+((((((((C13+$D$9)/1000)+1)*$D$6)/(1+((((C13+$D$9)/1000)+1)*$D$6)))*1000000)-F13)^2)),IF(ISNUMBER(SEARCH("ratio",$C$12)),SQRT(((((C13/(1+C13))*1000000)-F13)^2)+(((((C13+$D$9)/(1+(C13+$D$9)))*1000000)-F13)^2)),IF(ISNUMBER(SEARCH("%",$C$12)),SQRT((((C13*10000)-F13)^2)+((((C13+$D$9)*10000)-F13)^2)),IF(ISNUMBER(SEARCH("ppm",$C$12)),SQRT((((C13/10000)-F13)^2)+((((C13+$D$9)/10000)-F13)^2)),"Not selected"))))</f>
        <v>Not selected</v>
      </c>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row>
    <row r="14" spans="1:116" s="2" customFormat="1" ht="14" x14ac:dyDescent="0.2">
      <c r="A14" s="10"/>
      <c r="B14" s="29" t="s">
        <v>60</v>
      </c>
      <c r="C14" s="49">
        <v>0</v>
      </c>
      <c r="D14" s="50" t="str">
        <f t="shared" si="0"/>
        <v>Not selected</v>
      </c>
      <c r="E14" s="51" t="str">
        <f t="shared" ref="E14:E52" si="4">IF(ISNUMBER(SEARCH("delta",$C$12)),((((C14/1000)+1)*$D$6)/(1+(((C14/1000)+1)*$D$6)))*100,IF(ISNUMBER(SEARCH("ratio",$C$12)),((C14/(1+C14))*100),IF(ISNUMBER(SEARCH("%",$C$12)),(C14/(100-C14)),IF(ISNUMBER(SEARCH("ppm",$C$12)),((C14/10000)/(100-(C14/10000))),"Not selected"))))</f>
        <v>Not selected</v>
      </c>
      <c r="F14" s="52" t="str">
        <f t="shared" ref="F14:F52" si="5">IF(ISNUMBER(SEARCH("delta",$C$12)),((((C14/1000)+1)*$D$6)/(1+(((C14/1000)+1)*$D$6)))*1000000,IF(ISNUMBER(SEARCH("ratio",$C$12)),(C14/(1+C14))*1000000,IF(ISNUMBER(SEARCH("%",$C$12)),C14*10000,IF(ISNUMBER(SEARCH("ppm",$C$12)),C14/10000,"Not selected"))))</f>
        <v>Not selected</v>
      </c>
      <c r="G14" s="13"/>
      <c r="H14" s="10"/>
      <c r="I14" s="10"/>
      <c r="J14" s="14"/>
      <c r="K14" s="53" t="str">
        <f t="shared" si="1"/>
        <v>Not selected</v>
      </c>
      <c r="L14" s="54" t="str">
        <f t="shared" si="2"/>
        <v>Not selected</v>
      </c>
      <c r="M14" s="52" t="str">
        <f t="shared" si="3"/>
        <v>Not selected</v>
      </c>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row>
    <row r="15" spans="1:116" s="2" customFormat="1" ht="14" x14ac:dyDescent="0.2">
      <c r="A15" s="10"/>
      <c r="B15" s="29" t="s">
        <v>60</v>
      </c>
      <c r="C15" s="49">
        <v>0</v>
      </c>
      <c r="D15" s="50" t="str">
        <f t="shared" si="0"/>
        <v>Not selected</v>
      </c>
      <c r="E15" s="51" t="str">
        <f t="shared" si="4"/>
        <v>Not selected</v>
      </c>
      <c r="F15" s="52" t="str">
        <f t="shared" si="5"/>
        <v>Not selected</v>
      </c>
      <c r="G15" s="13"/>
      <c r="H15" s="10"/>
      <c r="I15" s="10"/>
      <c r="J15" s="14"/>
      <c r="K15" s="53" t="str">
        <f t="shared" si="1"/>
        <v>Not selected</v>
      </c>
      <c r="L15" s="54" t="str">
        <f t="shared" si="2"/>
        <v>Not selected</v>
      </c>
      <c r="M15" s="52" t="str">
        <f t="shared" si="3"/>
        <v>Not selected</v>
      </c>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row>
    <row r="16" spans="1:116" s="2" customFormat="1" ht="14" x14ac:dyDescent="0.2">
      <c r="A16" s="10"/>
      <c r="B16" s="29" t="s">
        <v>60</v>
      </c>
      <c r="C16" s="49">
        <v>0</v>
      </c>
      <c r="D16" s="50" t="str">
        <f t="shared" si="0"/>
        <v>Not selected</v>
      </c>
      <c r="E16" s="51" t="str">
        <f t="shared" si="4"/>
        <v>Not selected</v>
      </c>
      <c r="F16" s="52" t="str">
        <f t="shared" si="5"/>
        <v>Not selected</v>
      </c>
      <c r="G16" s="13"/>
      <c r="H16" s="10"/>
      <c r="I16" s="10"/>
      <c r="J16" s="14"/>
      <c r="K16" s="53" t="str">
        <f t="shared" si="1"/>
        <v>Not selected</v>
      </c>
      <c r="L16" s="54" t="str">
        <f t="shared" si="2"/>
        <v>Not selected</v>
      </c>
      <c r="M16" s="52" t="str">
        <f t="shared" si="3"/>
        <v>Not selected</v>
      </c>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row>
    <row r="17" spans="1:116" s="2" customFormat="1" ht="14" x14ac:dyDescent="0.2">
      <c r="A17" s="10"/>
      <c r="B17" s="29" t="s">
        <v>60</v>
      </c>
      <c r="C17" s="49">
        <v>0</v>
      </c>
      <c r="D17" s="50" t="str">
        <f t="shared" si="0"/>
        <v>Not selected</v>
      </c>
      <c r="E17" s="51" t="str">
        <f t="shared" si="4"/>
        <v>Not selected</v>
      </c>
      <c r="F17" s="52" t="str">
        <f t="shared" si="5"/>
        <v>Not selected</v>
      </c>
      <c r="G17" s="13"/>
      <c r="H17" s="10"/>
      <c r="I17" s="10"/>
      <c r="J17" s="14"/>
      <c r="K17" s="53" t="str">
        <f t="shared" si="1"/>
        <v>Not selected</v>
      </c>
      <c r="L17" s="54" t="str">
        <f t="shared" si="2"/>
        <v>Not selected</v>
      </c>
      <c r="M17" s="52" t="str">
        <f t="shared" si="3"/>
        <v>Not selected</v>
      </c>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row>
    <row r="18" spans="1:116" s="2" customFormat="1" ht="14" x14ac:dyDescent="0.2">
      <c r="A18" s="10"/>
      <c r="B18" s="29" t="s">
        <v>60</v>
      </c>
      <c r="C18" s="49">
        <v>0</v>
      </c>
      <c r="D18" s="50" t="str">
        <f t="shared" si="0"/>
        <v>Not selected</v>
      </c>
      <c r="E18" s="51" t="str">
        <f t="shared" si="4"/>
        <v>Not selected</v>
      </c>
      <c r="F18" s="52" t="str">
        <f t="shared" si="5"/>
        <v>Not selected</v>
      </c>
      <c r="G18" s="13"/>
      <c r="H18" s="10"/>
      <c r="I18" s="10"/>
      <c r="J18" s="14"/>
      <c r="K18" s="53" t="str">
        <f t="shared" si="1"/>
        <v>Not selected</v>
      </c>
      <c r="L18" s="54" t="str">
        <f t="shared" si="2"/>
        <v>Not selected</v>
      </c>
      <c r="M18" s="52" t="str">
        <f t="shared" si="3"/>
        <v>Not selected</v>
      </c>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row>
    <row r="19" spans="1:116" s="2" customFormat="1" ht="14" x14ac:dyDescent="0.2">
      <c r="A19" s="10"/>
      <c r="B19" s="29" t="s">
        <v>60</v>
      </c>
      <c r="C19" s="49">
        <v>0</v>
      </c>
      <c r="D19" s="50" t="str">
        <f t="shared" si="0"/>
        <v>Not selected</v>
      </c>
      <c r="E19" s="51" t="str">
        <f t="shared" si="4"/>
        <v>Not selected</v>
      </c>
      <c r="F19" s="52" t="str">
        <f t="shared" si="5"/>
        <v>Not selected</v>
      </c>
      <c r="G19" s="13"/>
      <c r="H19" s="10"/>
      <c r="I19" s="10"/>
      <c r="J19" s="14"/>
      <c r="K19" s="53" t="str">
        <f t="shared" si="1"/>
        <v>Not selected</v>
      </c>
      <c r="L19" s="54" t="str">
        <f t="shared" si="2"/>
        <v>Not selected</v>
      </c>
      <c r="M19" s="52" t="str">
        <f t="shared" si="3"/>
        <v>Not selected</v>
      </c>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row>
    <row r="20" spans="1:116" s="2" customFormat="1" ht="14" x14ac:dyDescent="0.2">
      <c r="A20" s="10"/>
      <c r="B20" s="29" t="s">
        <v>60</v>
      </c>
      <c r="C20" s="49">
        <v>0</v>
      </c>
      <c r="D20" s="50" t="str">
        <f t="shared" si="0"/>
        <v>Not selected</v>
      </c>
      <c r="E20" s="51" t="str">
        <f t="shared" si="4"/>
        <v>Not selected</v>
      </c>
      <c r="F20" s="52" t="str">
        <f t="shared" si="5"/>
        <v>Not selected</v>
      </c>
      <c r="G20" s="13"/>
      <c r="H20" s="10"/>
      <c r="I20" s="10"/>
      <c r="J20" s="14"/>
      <c r="K20" s="53" t="str">
        <f t="shared" si="1"/>
        <v>Not selected</v>
      </c>
      <c r="L20" s="54" t="str">
        <f t="shared" si="2"/>
        <v>Not selected</v>
      </c>
      <c r="M20" s="52" t="str">
        <f t="shared" si="3"/>
        <v>Not selected</v>
      </c>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row>
    <row r="21" spans="1:116" s="2" customFormat="1" ht="14" x14ac:dyDescent="0.2">
      <c r="A21" s="10"/>
      <c r="B21" s="29" t="s">
        <v>60</v>
      </c>
      <c r="C21" s="49">
        <v>0</v>
      </c>
      <c r="D21" s="50" t="str">
        <f t="shared" si="0"/>
        <v>Not selected</v>
      </c>
      <c r="E21" s="51" t="str">
        <f t="shared" si="4"/>
        <v>Not selected</v>
      </c>
      <c r="F21" s="52" t="str">
        <f t="shared" si="5"/>
        <v>Not selected</v>
      </c>
      <c r="G21" s="13"/>
      <c r="H21" s="10"/>
      <c r="I21" s="10"/>
      <c r="J21" s="14"/>
      <c r="K21" s="53" t="str">
        <f t="shared" si="1"/>
        <v>Not selected</v>
      </c>
      <c r="L21" s="54" t="str">
        <f t="shared" si="2"/>
        <v>Not selected</v>
      </c>
      <c r="M21" s="52" t="str">
        <f t="shared" si="3"/>
        <v>Not selected</v>
      </c>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row>
    <row r="22" spans="1:116" s="2" customFormat="1" ht="14" x14ac:dyDescent="0.2">
      <c r="A22" s="10"/>
      <c r="B22" s="29" t="s">
        <v>60</v>
      </c>
      <c r="C22" s="49">
        <v>0</v>
      </c>
      <c r="D22" s="50" t="str">
        <f t="shared" si="0"/>
        <v>Not selected</v>
      </c>
      <c r="E22" s="51" t="str">
        <f t="shared" si="4"/>
        <v>Not selected</v>
      </c>
      <c r="F22" s="52" t="str">
        <f t="shared" si="5"/>
        <v>Not selected</v>
      </c>
      <c r="G22" s="13"/>
      <c r="H22" s="10"/>
      <c r="I22" s="10"/>
      <c r="J22" s="14"/>
      <c r="K22" s="53" t="str">
        <f t="shared" si="1"/>
        <v>Not selected</v>
      </c>
      <c r="L22" s="54" t="str">
        <f t="shared" si="2"/>
        <v>Not selected</v>
      </c>
      <c r="M22" s="52" t="str">
        <f t="shared" si="3"/>
        <v>Not selected</v>
      </c>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row>
    <row r="23" spans="1:116" s="2" customFormat="1" ht="14" x14ac:dyDescent="0.2">
      <c r="A23" s="10"/>
      <c r="B23" s="29" t="s">
        <v>60</v>
      </c>
      <c r="C23" s="49">
        <v>0</v>
      </c>
      <c r="D23" s="50" t="str">
        <f t="shared" si="0"/>
        <v>Not selected</v>
      </c>
      <c r="E23" s="51" t="str">
        <f t="shared" si="4"/>
        <v>Not selected</v>
      </c>
      <c r="F23" s="52" t="str">
        <f t="shared" si="5"/>
        <v>Not selected</v>
      </c>
      <c r="G23" s="13"/>
      <c r="H23" s="10"/>
      <c r="I23" s="10"/>
      <c r="J23" s="14"/>
      <c r="K23" s="53" t="str">
        <f t="shared" si="1"/>
        <v>Not selected</v>
      </c>
      <c r="L23" s="54" t="str">
        <f t="shared" si="2"/>
        <v>Not selected</v>
      </c>
      <c r="M23" s="52" t="str">
        <f t="shared" si="3"/>
        <v>Not selected</v>
      </c>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row>
    <row r="24" spans="1:116" s="2" customFormat="1" ht="14" x14ac:dyDescent="0.2">
      <c r="A24" s="10"/>
      <c r="B24" s="29" t="s">
        <v>60</v>
      </c>
      <c r="C24" s="49">
        <v>0</v>
      </c>
      <c r="D24" s="50" t="str">
        <f t="shared" si="0"/>
        <v>Not selected</v>
      </c>
      <c r="E24" s="51" t="str">
        <f t="shared" si="4"/>
        <v>Not selected</v>
      </c>
      <c r="F24" s="52" t="str">
        <f t="shared" si="5"/>
        <v>Not selected</v>
      </c>
      <c r="G24" s="13"/>
      <c r="H24" s="10"/>
      <c r="I24" s="10"/>
      <c r="J24" s="14"/>
      <c r="K24" s="53" t="str">
        <f t="shared" si="1"/>
        <v>Not selected</v>
      </c>
      <c r="L24" s="54" t="str">
        <f t="shared" si="2"/>
        <v>Not selected</v>
      </c>
      <c r="M24" s="52" t="str">
        <f t="shared" si="3"/>
        <v>Not selected</v>
      </c>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row>
    <row r="25" spans="1:116" s="2" customFormat="1" ht="14" x14ac:dyDescent="0.2">
      <c r="A25" s="10"/>
      <c r="B25" s="29" t="s">
        <v>60</v>
      </c>
      <c r="C25" s="49">
        <v>0</v>
      </c>
      <c r="D25" s="50" t="str">
        <f t="shared" si="0"/>
        <v>Not selected</v>
      </c>
      <c r="E25" s="51" t="str">
        <f t="shared" si="4"/>
        <v>Not selected</v>
      </c>
      <c r="F25" s="52" t="str">
        <f t="shared" si="5"/>
        <v>Not selected</v>
      </c>
      <c r="G25" s="13"/>
      <c r="H25" s="10"/>
      <c r="I25" s="10"/>
      <c r="J25" s="14"/>
      <c r="K25" s="53" t="str">
        <f t="shared" si="1"/>
        <v>Not selected</v>
      </c>
      <c r="L25" s="54" t="str">
        <f t="shared" si="2"/>
        <v>Not selected</v>
      </c>
      <c r="M25" s="52" t="str">
        <f t="shared" si="3"/>
        <v>Not selected</v>
      </c>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row>
    <row r="26" spans="1:116" s="2" customFormat="1" ht="14" x14ac:dyDescent="0.2">
      <c r="A26" s="10"/>
      <c r="B26" s="29" t="s">
        <v>60</v>
      </c>
      <c r="C26" s="49">
        <v>0</v>
      </c>
      <c r="D26" s="50" t="str">
        <f t="shared" si="0"/>
        <v>Not selected</v>
      </c>
      <c r="E26" s="51" t="str">
        <f t="shared" si="4"/>
        <v>Not selected</v>
      </c>
      <c r="F26" s="52" t="str">
        <f t="shared" si="5"/>
        <v>Not selected</v>
      </c>
      <c r="G26" s="13"/>
      <c r="H26" s="10"/>
      <c r="I26" s="10"/>
      <c r="J26" s="14"/>
      <c r="K26" s="53" t="str">
        <f t="shared" si="1"/>
        <v>Not selected</v>
      </c>
      <c r="L26" s="54" t="str">
        <f t="shared" si="2"/>
        <v>Not selected</v>
      </c>
      <c r="M26" s="52" t="str">
        <f t="shared" si="3"/>
        <v>Not selected</v>
      </c>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row>
    <row r="27" spans="1:116" s="2" customFormat="1" ht="14" x14ac:dyDescent="0.2">
      <c r="A27" s="10"/>
      <c r="B27" s="29" t="s">
        <v>60</v>
      </c>
      <c r="C27" s="49">
        <v>0</v>
      </c>
      <c r="D27" s="50" t="str">
        <f t="shared" si="0"/>
        <v>Not selected</v>
      </c>
      <c r="E27" s="51" t="str">
        <f t="shared" si="4"/>
        <v>Not selected</v>
      </c>
      <c r="F27" s="52" t="str">
        <f t="shared" si="5"/>
        <v>Not selected</v>
      </c>
      <c r="G27" s="13"/>
      <c r="H27" s="10"/>
      <c r="I27" s="10"/>
      <c r="J27" s="14"/>
      <c r="K27" s="53" t="str">
        <f t="shared" si="1"/>
        <v>Not selected</v>
      </c>
      <c r="L27" s="54" t="str">
        <f t="shared" si="2"/>
        <v>Not selected</v>
      </c>
      <c r="M27" s="52" t="str">
        <f t="shared" si="3"/>
        <v>Not selected</v>
      </c>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row>
    <row r="28" spans="1:116" s="2" customFormat="1" ht="14" x14ac:dyDescent="0.2">
      <c r="A28" s="10"/>
      <c r="B28" s="29" t="s">
        <v>60</v>
      </c>
      <c r="C28" s="49">
        <v>0</v>
      </c>
      <c r="D28" s="50" t="str">
        <f t="shared" si="0"/>
        <v>Not selected</v>
      </c>
      <c r="E28" s="51" t="str">
        <f t="shared" si="4"/>
        <v>Not selected</v>
      </c>
      <c r="F28" s="52" t="str">
        <f t="shared" si="5"/>
        <v>Not selected</v>
      </c>
      <c r="G28" s="13"/>
      <c r="H28" s="10"/>
      <c r="I28" s="10"/>
      <c r="J28" s="14"/>
      <c r="K28" s="53" t="str">
        <f t="shared" si="1"/>
        <v>Not selected</v>
      </c>
      <c r="L28" s="54" t="str">
        <f t="shared" si="2"/>
        <v>Not selected</v>
      </c>
      <c r="M28" s="52" t="str">
        <f t="shared" si="3"/>
        <v>Not selected</v>
      </c>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row>
    <row r="29" spans="1:116" s="2" customFormat="1" ht="14" x14ac:dyDescent="0.2">
      <c r="A29" s="10"/>
      <c r="B29" s="29" t="s">
        <v>60</v>
      </c>
      <c r="C29" s="49">
        <v>0</v>
      </c>
      <c r="D29" s="50" t="str">
        <f t="shared" si="0"/>
        <v>Not selected</v>
      </c>
      <c r="E29" s="51" t="str">
        <f t="shared" si="4"/>
        <v>Not selected</v>
      </c>
      <c r="F29" s="52" t="str">
        <f t="shared" si="5"/>
        <v>Not selected</v>
      </c>
      <c r="G29" s="13"/>
      <c r="H29" s="10"/>
      <c r="I29" s="10"/>
      <c r="J29" s="14"/>
      <c r="K29" s="53" t="str">
        <f t="shared" si="1"/>
        <v>Not selected</v>
      </c>
      <c r="L29" s="54" t="str">
        <f t="shared" si="2"/>
        <v>Not selected</v>
      </c>
      <c r="M29" s="52" t="str">
        <f t="shared" si="3"/>
        <v>Not selected</v>
      </c>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row>
    <row r="30" spans="1:116" s="2" customFormat="1" ht="14" x14ac:dyDescent="0.2">
      <c r="A30" s="10"/>
      <c r="B30" s="29" t="s">
        <v>60</v>
      </c>
      <c r="C30" s="49">
        <v>0</v>
      </c>
      <c r="D30" s="50" t="str">
        <f t="shared" si="0"/>
        <v>Not selected</v>
      </c>
      <c r="E30" s="51" t="str">
        <f t="shared" si="4"/>
        <v>Not selected</v>
      </c>
      <c r="F30" s="52" t="str">
        <f t="shared" si="5"/>
        <v>Not selected</v>
      </c>
      <c r="G30" s="13"/>
      <c r="H30" s="10"/>
      <c r="I30" s="10"/>
      <c r="J30" s="14"/>
      <c r="K30" s="53" t="str">
        <f t="shared" si="1"/>
        <v>Not selected</v>
      </c>
      <c r="L30" s="54" t="str">
        <f t="shared" si="2"/>
        <v>Not selected</v>
      </c>
      <c r="M30" s="52" t="str">
        <f t="shared" si="3"/>
        <v>Not selected</v>
      </c>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row>
    <row r="31" spans="1:116" s="2" customFormat="1" ht="14" x14ac:dyDescent="0.2">
      <c r="A31" s="10"/>
      <c r="B31" s="29" t="s">
        <v>60</v>
      </c>
      <c r="C31" s="49">
        <v>0</v>
      </c>
      <c r="D31" s="50" t="str">
        <f t="shared" si="0"/>
        <v>Not selected</v>
      </c>
      <c r="E31" s="51" t="str">
        <f t="shared" si="4"/>
        <v>Not selected</v>
      </c>
      <c r="F31" s="52" t="str">
        <f t="shared" si="5"/>
        <v>Not selected</v>
      </c>
      <c r="G31" s="13"/>
      <c r="H31" s="10"/>
      <c r="I31" s="10"/>
      <c r="J31" s="14"/>
      <c r="K31" s="53" t="str">
        <f t="shared" si="1"/>
        <v>Not selected</v>
      </c>
      <c r="L31" s="54" t="str">
        <f t="shared" si="2"/>
        <v>Not selected</v>
      </c>
      <c r="M31" s="52" t="str">
        <f t="shared" si="3"/>
        <v>Not selected</v>
      </c>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row>
    <row r="32" spans="1:116" s="2" customFormat="1" ht="14" x14ac:dyDescent="0.2">
      <c r="A32" s="10"/>
      <c r="B32" s="29" t="s">
        <v>60</v>
      </c>
      <c r="C32" s="49">
        <v>0</v>
      </c>
      <c r="D32" s="50" t="str">
        <f t="shared" si="0"/>
        <v>Not selected</v>
      </c>
      <c r="E32" s="51" t="str">
        <f t="shared" si="4"/>
        <v>Not selected</v>
      </c>
      <c r="F32" s="52" t="str">
        <f t="shared" si="5"/>
        <v>Not selected</v>
      </c>
      <c r="G32" s="13"/>
      <c r="H32" s="10"/>
      <c r="I32" s="10"/>
      <c r="J32" s="14"/>
      <c r="K32" s="53" t="str">
        <f t="shared" si="1"/>
        <v>Not selected</v>
      </c>
      <c r="L32" s="54" t="str">
        <f t="shared" si="2"/>
        <v>Not selected</v>
      </c>
      <c r="M32" s="52" t="str">
        <f t="shared" si="3"/>
        <v>Not selected</v>
      </c>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row>
    <row r="33" spans="1:116" s="2" customFormat="1" ht="14" x14ac:dyDescent="0.2">
      <c r="A33" s="10"/>
      <c r="B33" s="29" t="s">
        <v>60</v>
      </c>
      <c r="C33" s="49">
        <v>0</v>
      </c>
      <c r="D33" s="50" t="str">
        <f t="shared" si="0"/>
        <v>Not selected</v>
      </c>
      <c r="E33" s="51" t="str">
        <f t="shared" si="4"/>
        <v>Not selected</v>
      </c>
      <c r="F33" s="52" t="str">
        <f t="shared" si="5"/>
        <v>Not selected</v>
      </c>
      <c r="G33" s="13"/>
      <c r="H33" s="10"/>
      <c r="I33" s="10"/>
      <c r="J33" s="14"/>
      <c r="K33" s="53" t="str">
        <f t="shared" si="1"/>
        <v>Not selected</v>
      </c>
      <c r="L33" s="54" t="str">
        <f t="shared" si="2"/>
        <v>Not selected</v>
      </c>
      <c r="M33" s="52" t="str">
        <f t="shared" si="3"/>
        <v>Not selected</v>
      </c>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row>
    <row r="34" spans="1:116" s="2" customFormat="1" ht="14" x14ac:dyDescent="0.2">
      <c r="A34" s="10"/>
      <c r="B34" s="29" t="s">
        <v>60</v>
      </c>
      <c r="C34" s="49">
        <v>0</v>
      </c>
      <c r="D34" s="50" t="str">
        <f t="shared" si="0"/>
        <v>Not selected</v>
      </c>
      <c r="E34" s="51" t="str">
        <f t="shared" si="4"/>
        <v>Not selected</v>
      </c>
      <c r="F34" s="52" t="str">
        <f t="shared" si="5"/>
        <v>Not selected</v>
      </c>
      <c r="G34" s="13"/>
      <c r="H34" s="10"/>
      <c r="I34" s="10"/>
      <c r="J34" s="14"/>
      <c r="K34" s="53" t="str">
        <f t="shared" si="1"/>
        <v>Not selected</v>
      </c>
      <c r="L34" s="54" t="str">
        <f t="shared" si="2"/>
        <v>Not selected</v>
      </c>
      <c r="M34" s="52" t="str">
        <f t="shared" si="3"/>
        <v>Not selected</v>
      </c>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row>
    <row r="35" spans="1:116" s="2" customFormat="1" ht="14" x14ac:dyDescent="0.2">
      <c r="A35" s="10"/>
      <c r="B35" s="29" t="s">
        <v>60</v>
      </c>
      <c r="C35" s="49">
        <v>0</v>
      </c>
      <c r="D35" s="50" t="str">
        <f t="shared" si="0"/>
        <v>Not selected</v>
      </c>
      <c r="E35" s="51" t="str">
        <f t="shared" si="4"/>
        <v>Not selected</v>
      </c>
      <c r="F35" s="52" t="str">
        <f t="shared" si="5"/>
        <v>Not selected</v>
      </c>
      <c r="G35" s="13"/>
      <c r="H35" s="10"/>
      <c r="I35" s="10"/>
      <c r="J35" s="14"/>
      <c r="K35" s="53" t="str">
        <f t="shared" si="1"/>
        <v>Not selected</v>
      </c>
      <c r="L35" s="54" t="str">
        <f t="shared" si="2"/>
        <v>Not selected</v>
      </c>
      <c r="M35" s="52" t="str">
        <f t="shared" si="3"/>
        <v>Not selected</v>
      </c>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row>
    <row r="36" spans="1:116" s="2" customFormat="1" ht="14" x14ac:dyDescent="0.2">
      <c r="A36" s="10"/>
      <c r="B36" s="29" t="s">
        <v>60</v>
      </c>
      <c r="C36" s="49">
        <v>0</v>
      </c>
      <c r="D36" s="50" t="str">
        <f t="shared" si="0"/>
        <v>Not selected</v>
      </c>
      <c r="E36" s="51" t="str">
        <f t="shared" si="4"/>
        <v>Not selected</v>
      </c>
      <c r="F36" s="52" t="str">
        <f t="shared" si="5"/>
        <v>Not selected</v>
      </c>
      <c r="G36" s="13"/>
      <c r="H36" s="10"/>
      <c r="I36" s="10"/>
      <c r="J36" s="14"/>
      <c r="K36" s="53" t="str">
        <f t="shared" si="1"/>
        <v>Not selected</v>
      </c>
      <c r="L36" s="54" t="str">
        <f t="shared" si="2"/>
        <v>Not selected</v>
      </c>
      <c r="M36" s="52" t="str">
        <f t="shared" si="3"/>
        <v>Not selected</v>
      </c>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row>
    <row r="37" spans="1:116" s="2" customFormat="1" ht="14" x14ac:dyDescent="0.2">
      <c r="A37" s="10"/>
      <c r="B37" s="29" t="s">
        <v>60</v>
      </c>
      <c r="C37" s="49">
        <v>0</v>
      </c>
      <c r="D37" s="50" t="str">
        <f t="shared" si="0"/>
        <v>Not selected</v>
      </c>
      <c r="E37" s="51" t="str">
        <f t="shared" si="4"/>
        <v>Not selected</v>
      </c>
      <c r="F37" s="52" t="str">
        <f t="shared" si="5"/>
        <v>Not selected</v>
      </c>
      <c r="G37" s="13"/>
      <c r="H37" s="10"/>
      <c r="I37" s="10"/>
      <c r="J37" s="14"/>
      <c r="K37" s="53" t="str">
        <f t="shared" si="1"/>
        <v>Not selected</v>
      </c>
      <c r="L37" s="54" t="str">
        <f t="shared" si="2"/>
        <v>Not selected</v>
      </c>
      <c r="M37" s="52" t="str">
        <f t="shared" si="3"/>
        <v>Not selected</v>
      </c>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row>
    <row r="38" spans="1:116" s="2" customFormat="1" ht="14" x14ac:dyDescent="0.2">
      <c r="A38" s="10"/>
      <c r="B38" s="29" t="s">
        <v>60</v>
      </c>
      <c r="C38" s="49">
        <v>0</v>
      </c>
      <c r="D38" s="50" t="str">
        <f t="shared" si="0"/>
        <v>Not selected</v>
      </c>
      <c r="E38" s="51" t="str">
        <f t="shared" si="4"/>
        <v>Not selected</v>
      </c>
      <c r="F38" s="52" t="str">
        <f t="shared" si="5"/>
        <v>Not selected</v>
      </c>
      <c r="G38" s="13"/>
      <c r="H38" s="10"/>
      <c r="I38" s="10"/>
      <c r="J38" s="14"/>
      <c r="K38" s="53" t="str">
        <f t="shared" si="1"/>
        <v>Not selected</v>
      </c>
      <c r="L38" s="54" t="str">
        <f t="shared" si="2"/>
        <v>Not selected</v>
      </c>
      <c r="M38" s="52" t="str">
        <f t="shared" si="3"/>
        <v>Not selected</v>
      </c>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row>
    <row r="39" spans="1:116" s="2" customFormat="1" ht="14" x14ac:dyDescent="0.2">
      <c r="A39" s="10"/>
      <c r="B39" s="29" t="s">
        <v>60</v>
      </c>
      <c r="C39" s="49">
        <v>0</v>
      </c>
      <c r="D39" s="50" t="str">
        <f t="shared" si="0"/>
        <v>Not selected</v>
      </c>
      <c r="E39" s="51" t="str">
        <f t="shared" si="4"/>
        <v>Not selected</v>
      </c>
      <c r="F39" s="52" t="str">
        <f t="shared" si="5"/>
        <v>Not selected</v>
      </c>
      <c r="G39" s="13"/>
      <c r="H39" s="10"/>
      <c r="I39" s="10"/>
      <c r="J39" s="14"/>
      <c r="K39" s="53" t="str">
        <f t="shared" si="1"/>
        <v>Not selected</v>
      </c>
      <c r="L39" s="54" t="str">
        <f t="shared" si="2"/>
        <v>Not selected</v>
      </c>
      <c r="M39" s="52" t="str">
        <f t="shared" si="3"/>
        <v>Not selected</v>
      </c>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row>
    <row r="40" spans="1:116" s="2" customFormat="1" ht="14" x14ac:dyDescent="0.2">
      <c r="A40" s="10"/>
      <c r="B40" s="29" t="s">
        <v>60</v>
      </c>
      <c r="C40" s="49">
        <v>0</v>
      </c>
      <c r="D40" s="50" t="str">
        <f t="shared" si="0"/>
        <v>Not selected</v>
      </c>
      <c r="E40" s="51" t="str">
        <f t="shared" si="4"/>
        <v>Not selected</v>
      </c>
      <c r="F40" s="52" t="str">
        <f t="shared" si="5"/>
        <v>Not selected</v>
      </c>
      <c r="G40" s="13"/>
      <c r="H40" s="10"/>
      <c r="I40" s="10"/>
      <c r="J40" s="14"/>
      <c r="K40" s="53" t="str">
        <f t="shared" si="1"/>
        <v>Not selected</v>
      </c>
      <c r="L40" s="54" t="str">
        <f t="shared" si="2"/>
        <v>Not selected</v>
      </c>
      <c r="M40" s="52" t="str">
        <f t="shared" si="3"/>
        <v>Not selected</v>
      </c>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row>
    <row r="41" spans="1:116" s="2" customFormat="1" ht="14" x14ac:dyDescent="0.2">
      <c r="A41" s="10"/>
      <c r="B41" s="29" t="s">
        <v>60</v>
      </c>
      <c r="C41" s="49">
        <v>0</v>
      </c>
      <c r="D41" s="50" t="str">
        <f t="shared" si="0"/>
        <v>Not selected</v>
      </c>
      <c r="E41" s="51" t="str">
        <f t="shared" si="4"/>
        <v>Not selected</v>
      </c>
      <c r="F41" s="52" t="str">
        <f t="shared" si="5"/>
        <v>Not selected</v>
      </c>
      <c r="G41" s="13"/>
      <c r="H41" s="10"/>
      <c r="I41" s="10"/>
      <c r="J41" s="14"/>
      <c r="K41" s="53" t="str">
        <f t="shared" si="1"/>
        <v>Not selected</v>
      </c>
      <c r="L41" s="54" t="str">
        <f t="shared" si="2"/>
        <v>Not selected</v>
      </c>
      <c r="M41" s="52" t="str">
        <f t="shared" si="3"/>
        <v>Not selected</v>
      </c>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row>
    <row r="42" spans="1:116" s="2" customFormat="1" ht="14" x14ac:dyDescent="0.2">
      <c r="A42" s="10"/>
      <c r="B42" s="29" t="s">
        <v>60</v>
      </c>
      <c r="C42" s="49">
        <v>0</v>
      </c>
      <c r="D42" s="50" t="str">
        <f t="shared" si="0"/>
        <v>Not selected</v>
      </c>
      <c r="E42" s="51" t="str">
        <f t="shared" si="4"/>
        <v>Not selected</v>
      </c>
      <c r="F42" s="52" t="str">
        <f t="shared" si="5"/>
        <v>Not selected</v>
      </c>
      <c r="G42" s="13"/>
      <c r="H42" s="10"/>
      <c r="I42" s="10"/>
      <c r="J42" s="14"/>
      <c r="K42" s="53" t="str">
        <f t="shared" si="1"/>
        <v>Not selected</v>
      </c>
      <c r="L42" s="54" t="str">
        <f t="shared" si="2"/>
        <v>Not selected</v>
      </c>
      <c r="M42" s="52" t="str">
        <f t="shared" si="3"/>
        <v>Not selected</v>
      </c>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row>
    <row r="43" spans="1:116" s="2" customFormat="1" ht="14" x14ac:dyDescent="0.2">
      <c r="A43" s="10"/>
      <c r="B43" s="29" t="s">
        <v>60</v>
      </c>
      <c r="C43" s="49">
        <v>0</v>
      </c>
      <c r="D43" s="50" t="str">
        <f t="shared" si="0"/>
        <v>Not selected</v>
      </c>
      <c r="E43" s="51" t="str">
        <f t="shared" si="4"/>
        <v>Not selected</v>
      </c>
      <c r="F43" s="52" t="str">
        <f>IF(ISNUMBER(SEARCH("delta",$C$12)),((((C43/1000)+1)*$D$6)/(1+(((C43/1000)+1)*$D$6)))*1000000,IF(ISNUMBER(SEARCH("ratio",$C$12)),(C43/(1+C43))*1000000,IF(ISNUMBER(SEARCH("%",$C$12)),C43*10000,IF(ISNUMBER(SEARCH("ppm",$C$12)),C43/10000,"Not selected"))))</f>
        <v>Not selected</v>
      </c>
      <c r="G43" s="13"/>
      <c r="H43" s="10"/>
      <c r="I43" s="10"/>
      <c r="J43" s="14"/>
      <c r="K43" s="53" t="str">
        <f t="shared" si="1"/>
        <v>Not selected</v>
      </c>
      <c r="L43" s="54" t="str">
        <f t="shared" si="2"/>
        <v>Not selected</v>
      </c>
      <c r="M43" s="52" t="str">
        <f t="shared" si="3"/>
        <v>Not selected</v>
      </c>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row>
    <row r="44" spans="1:116" s="2" customFormat="1" ht="14" x14ac:dyDescent="0.2">
      <c r="A44" s="10"/>
      <c r="B44" s="29" t="s">
        <v>60</v>
      </c>
      <c r="C44" s="49">
        <v>0</v>
      </c>
      <c r="D44" s="50" t="str">
        <f t="shared" si="0"/>
        <v>Not selected</v>
      </c>
      <c r="E44" s="51" t="str">
        <f t="shared" si="4"/>
        <v>Not selected</v>
      </c>
      <c r="F44" s="52" t="str">
        <f t="shared" si="5"/>
        <v>Not selected</v>
      </c>
      <c r="G44" s="13"/>
      <c r="H44" s="10"/>
      <c r="I44" s="10"/>
      <c r="J44" s="14"/>
      <c r="K44" s="53" t="str">
        <f t="shared" si="1"/>
        <v>Not selected</v>
      </c>
      <c r="L44" s="54" t="str">
        <f t="shared" si="2"/>
        <v>Not selected</v>
      </c>
      <c r="M44" s="52" t="str">
        <f t="shared" si="3"/>
        <v>Not selected</v>
      </c>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row>
    <row r="45" spans="1:116" s="2" customFormat="1" ht="14" x14ac:dyDescent="0.2">
      <c r="A45" s="10"/>
      <c r="B45" s="29" t="s">
        <v>60</v>
      </c>
      <c r="C45" s="49">
        <v>0</v>
      </c>
      <c r="D45" s="50" t="str">
        <f t="shared" si="0"/>
        <v>Not selected</v>
      </c>
      <c r="E45" s="51" t="str">
        <f t="shared" si="4"/>
        <v>Not selected</v>
      </c>
      <c r="F45" s="52" t="str">
        <f t="shared" si="5"/>
        <v>Not selected</v>
      </c>
      <c r="G45" s="13"/>
      <c r="H45" s="10"/>
      <c r="I45" s="10"/>
      <c r="J45" s="14"/>
      <c r="K45" s="53" t="str">
        <f t="shared" si="1"/>
        <v>Not selected</v>
      </c>
      <c r="L45" s="54" t="str">
        <f t="shared" si="2"/>
        <v>Not selected</v>
      </c>
      <c r="M45" s="52" t="str">
        <f t="shared" si="3"/>
        <v>Not selected</v>
      </c>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row>
    <row r="46" spans="1:116" s="2" customFormat="1" ht="14" x14ac:dyDescent="0.2">
      <c r="A46" s="10"/>
      <c r="B46" s="29" t="s">
        <v>60</v>
      </c>
      <c r="C46" s="49">
        <v>0</v>
      </c>
      <c r="D46" s="50" t="str">
        <f t="shared" si="0"/>
        <v>Not selected</v>
      </c>
      <c r="E46" s="51" t="str">
        <f t="shared" si="4"/>
        <v>Not selected</v>
      </c>
      <c r="F46" s="52" t="str">
        <f t="shared" si="5"/>
        <v>Not selected</v>
      </c>
      <c r="G46" s="13"/>
      <c r="H46" s="10"/>
      <c r="I46" s="10"/>
      <c r="J46" s="14"/>
      <c r="K46" s="53" t="str">
        <f t="shared" si="1"/>
        <v>Not selected</v>
      </c>
      <c r="L46" s="54" t="str">
        <f t="shared" si="2"/>
        <v>Not selected</v>
      </c>
      <c r="M46" s="52" t="str">
        <f t="shared" si="3"/>
        <v>Not selected</v>
      </c>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row>
    <row r="47" spans="1:116" s="2" customFormat="1" ht="14" x14ac:dyDescent="0.2">
      <c r="A47" s="10"/>
      <c r="B47" s="29" t="s">
        <v>60</v>
      </c>
      <c r="C47" s="49">
        <v>0</v>
      </c>
      <c r="D47" s="50" t="str">
        <f t="shared" si="0"/>
        <v>Not selected</v>
      </c>
      <c r="E47" s="51" t="str">
        <f t="shared" si="4"/>
        <v>Not selected</v>
      </c>
      <c r="F47" s="52" t="str">
        <f t="shared" si="5"/>
        <v>Not selected</v>
      </c>
      <c r="G47" s="13"/>
      <c r="H47" s="10"/>
      <c r="I47" s="10"/>
      <c r="J47" s="14"/>
      <c r="K47" s="53" t="str">
        <f t="shared" si="1"/>
        <v>Not selected</v>
      </c>
      <c r="L47" s="54" t="str">
        <f t="shared" si="2"/>
        <v>Not selected</v>
      </c>
      <c r="M47" s="52" t="str">
        <f t="shared" si="3"/>
        <v>Not selected</v>
      </c>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row>
    <row r="48" spans="1:116" s="2" customFormat="1" ht="14" x14ac:dyDescent="0.2">
      <c r="A48" s="10"/>
      <c r="B48" s="29" t="s">
        <v>60</v>
      </c>
      <c r="C48" s="49">
        <v>0</v>
      </c>
      <c r="D48" s="50" t="str">
        <f t="shared" si="0"/>
        <v>Not selected</v>
      </c>
      <c r="E48" s="51" t="str">
        <f t="shared" si="4"/>
        <v>Not selected</v>
      </c>
      <c r="F48" s="52" t="str">
        <f t="shared" si="5"/>
        <v>Not selected</v>
      </c>
      <c r="G48" s="13"/>
      <c r="H48" s="10"/>
      <c r="I48" s="10"/>
      <c r="J48" s="14"/>
      <c r="K48" s="53" t="str">
        <f t="shared" si="1"/>
        <v>Not selected</v>
      </c>
      <c r="L48" s="54" t="str">
        <f t="shared" si="2"/>
        <v>Not selected</v>
      </c>
      <c r="M48" s="52" t="str">
        <f t="shared" si="3"/>
        <v>Not selected</v>
      </c>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row>
    <row r="49" spans="1:116" s="2" customFormat="1" ht="14" x14ac:dyDescent="0.2">
      <c r="A49" s="10"/>
      <c r="B49" s="29" t="s">
        <v>60</v>
      </c>
      <c r="C49" s="49">
        <v>0</v>
      </c>
      <c r="D49" s="50" t="str">
        <f t="shared" si="0"/>
        <v>Not selected</v>
      </c>
      <c r="E49" s="51" t="str">
        <f t="shared" si="4"/>
        <v>Not selected</v>
      </c>
      <c r="F49" s="52" t="str">
        <f t="shared" si="5"/>
        <v>Not selected</v>
      </c>
      <c r="G49" s="13"/>
      <c r="H49" s="10"/>
      <c r="I49" s="10"/>
      <c r="J49" s="14"/>
      <c r="K49" s="53" t="str">
        <f t="shared" si="1"/>
        <v>Not selected</v>
      </c>
      <c r="L49" s="54" t="str">
        <f t="shared" si="2"/>
        <v>Not selected</v>
      </c>
      <c r="M49" s="52" t="str">
        <f t="shared" si="3"/>
        <v>Not selected</v>
      </c>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row>
    <row r="50" spans="1:116" s="2" customFormat="1" ht="14" x14ac:dyDescent="0.2">
      <c r="A50" s="10"/>
      <c r="B50" s="29" t="s">
        <v>60</v>
      </c>
      <c r="C50" s="49">
        <v>0</v>
      </c>
      <c r="D50" s="50" t="str">
        <f t="shared" si="0"/>
        <v>Not selected</v>
      </c>
      <c r="E50" s="51" t="str">
        <f t="shared" si="4"/>
        <v>Not selected</v>
      </c>
      <c r="F50" s="52" t="str">
        <f t="shared" si="5"/>
        <v>Not selected</v>
      </c>
      <c r="G50" s="13"/>
      <c r="H50" s="10"/>
      <c r="I50" s="10"/>
      <c r="J50" s="14"/>
      <c r="K50" s="53" t="str">
        <f t="shared" si="1"/>
        <v>Not selected</v>
      </c>
      <c r="L50" s="54" t="str">
        <f t="shared" si="2"/>
        <v>Not selected</v>
      </c>
      <c r="M50" s="52" t="str">
        <f t="shared" si="3"/>
        <v>Not selected</v>
      </c>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row>
    <row r="51" spans="1:116" s="2" customFormat="1" ht="14" x14ac:dyDescent="0.2">
      <c r="A51" s="10"/>
      <c r="B51" s="29" t="s">
        <v>60</v>
      </c>
      <c r="C51" s="49">
        <v>0</v>
      </c>
      <c r="D51" s="50" t="str">
        <f t="shared" si="0"/>
        <v>Not selected</v>
      </c>
      <c r="E51" s="51" t="str">
        <f t="shared" si="4"/>
        <v>Not selected</v>
      </c>
      <c r="F51" s="52" t="str">
        <f t="shared" si="5"/>
        <v>Not selected</v>
      </c>
      <c r="G51" s="13"/>
      <c r="H51" s="10"/>
      <c r="I51" s="10"/>
      <c r="J51" s="14"/>
      <c r="K51" s="53" t="str">
        <f t="shared" si="1"/>
        <v>Not selected</v>
      </c>
      <c r="L51" s="54" t="str">
        <f t="shared" si="2"/>
        <v>Not selected</v>
      </c>
      <c r="M51" s="52" t="str">
        <f t="shared" si="3"/>
        <v>Not selected</v>
      </c>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row>
    <row r="52" spans="1:116" ht="16" thickBot="1" x14ac:dyDescent="0.25">
      <c r="B52" s="30" t="s">
        <v>60</v>
      </c>
      <c r="C52" s="55">
        <v>0</v>
      </c>
      <c r="D52" s="56" t="str">
        <f t="shared" si="0"/>
        <v>Not selected</v>
      </c>
      <c r="E52" s="57" t="str">
        <f t="shared" si="4"/>
        <v>Not selected</v>
      </c>
      <c r="F52" s="58" t="str">
        <f t="shared" si="5"/>
        <v>Not selected</v>
      </c>
      <c r="G52" s="15"/>
      <c r="H52" s="63"/>
      <c r="I52" s="63"/>
      <c r="J52" s="16"/>
      <c r="K52" s="60" t="str">
        <f t="shared" si="1"/>
        <v>Not selected</v>
      </c>
      <c r="L52" s="61" t="str">
        <f t="shared" si="2"/>
        <v>Not selected</v>
      </c>
      <c r="M52" s="58" t="str">
        <f t="shared" si="3"/>
        <v>Not selected</v>
      </c>
    </row>
    <row r="53" spans="1:116" x14ac:dyDescent="0.2">
      <c r="B53" s="62"/>
      <c r="J53" s="10"/>
    </row>
    <row r="54" spans="1:116" x14ac:dyDescent="0.2">
      <c r="B54" s="62"/>
      <c r="J54" s="10"/>
    </row>
    <row r="55" spans="1:116" x14ac:dyDescent="0.2">
      <c r="B55" s="62"/>
      <c r="J55" s="10"/>
    </row>
    <row r="56" spans="1:116" x14ac:dyDescent="0.2">
      <c r="B56" s="62"/>
      <c r="J56" s="10"/>
    </row>
    <row r="57" spans="1:116" x14ac:dyDescent="0.2">
      <c r="B57" s="62"/>
      <c r="J57" s="10"/>
    </row>
    <row r="58" spans="1:116" x14ac:dyDescent="0.2">
      <c r="B58" s="62"/>
      <c r="J58" s="10"/>
    </row>
    <row r="59" spans="1:116" x14ac:dyDescent="0.2">
      <c r="B59" s="62"/>
      <c r="J59" s="10"/>
    </row>
    <row r="60" spans="1:116" x14ac:dyDescent="0.2">
      <c r="B60" s="62"/>
      <c r="J60" s="10"/>
    </row>
    <row r="61" spans="1:116" x14ac:dyDescent="0.2">
      <c r="B61" s="62"/>
      <c r="J61" s="10"/>
    </row>
    <row r="62" spans="1:116" x14ac:dyDescent="0.2">
      <c r="B62" s="62"/>
      <c r="J62" s="10"/>
    </row>
  </sheetData>
  <mergeCells count="18">
    <mergeCell ref="K11:M11"/>
    <mergeCell ref="D8:E8"/>
    <mergeCell ref="H8:J8"/>
    <mergeCell ref="H9:J9"/>
    <mergeCell ref="D11:F11"/>
    <mergeCell ref="B2:I2"/>
    <mergeCell ref="J2:M2"/>
    <mergeCell ref="D3:E3"/>
    <mergeCell ref="H3:J3"/>
    <mergeCell ref="D4:E4"/>
    <mergeCell ref="H4:J4"/>
    <mergeCell ref="F3:G9"/>
    <mergeCell ref="D5:E5"/>
    <mergeCell ref="H5:J5"/>
    <mergeCell ref="D6:E6"/>
    <mergeCell ref="H6:J6"/>
    <mergeCell ref="D7:E7"/>
    <mergeCell ref="H7:J7"/>
  </mergeCells>
  <conditionalFormatting sqref="C13:C60">
    <cfRule type="cellIs" dxfId="29" priority="8" operator="equal">
      <formula>1</formula>
    </cfRule>
  </conditionalFormatting>
  <conditionalFormatting sqref="C13:F52">
    <cfRule type="cellIs" dxfId="28" priority="7" operator="equal">
      <formula>0</formula>
    </cfRule>
    <cfRule type="cellIs" dxfId="27" priority="11" operator="greaterThan">
      <formula>1</formula>
    </cfRule>
    <cfRule type="cellIs" dxfId="26" priority="10" operator="lessThan">
      <formula>0</formula>
    </cfRule>
  </conditionalFormatting>
  <conditionalFormatting sqref="D9">
    <cfRule type="cellIs" dxfId="25" priority="1" operator="lessThan">
      <formula>1</formula>
    </cfRule>
    <cfRule type="cellIs" dxfId="24" priority="3" operator="greaterThan">
      <formula>1</formula>
    </cfRule>
    <cfRule type="cellIs" dxfId="23" priority="2" operator="equal">
      <formula>1</formula>
    </cfRule>
  </conditionalFormatting>
  <conditionalFormatting sqref="K13:M52">
    <cfRule type="cellIs" dxfId="22" priority="4" operator="equal">
      <formula>0</formula>
    </cfRule>
    <cfRule type="cellIs" dxfId="21" priority="6" operator="greaterThan">
      <formula>1</formula>
    </cfRule>
    <cfRule type="cellIs" dxfId="20" priority="5" operator="lessThan">
      <formula>0</formula>
    </cfRule>
  </conditionalFormatting>
  <dataValidations count="2">
    <dataValidation type="decimal" allowBlank="1" showInputMessage="1" showErrorMessage="1" errorTitle="Delta" error="by definition delta value must be &gt;-1000" promptTitle="Type or paste value" sqref="C13:C51" xr:uid="{00000000-0002-0000-0400-000000000000}">
      <formula1>-999.999999999999</formula1>
      <formula2>1E+37</formula2>
    </dataValidation>
    <dataValidation type="decimal" allowBlank="1" showInputMessage="1" showErrorMessage="1" errorTitle="Delta" error="by definition delta value must be &gt;-1000" sqref="C52" xr:uid="{00000000-0002-0000-0400-000001000000}">
      <formula1>-999.999999999999</formula1>
      <formula2>1E+37</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Constants!$A$22:$A$26</xm:f>
          </x14:formula1>
          <xm:sqref>D3</xm:sqref>
        </x14:dataValidation>
        <x14:dataValidation type="list" allowBlank="1" showInputMessage="1" showErrorMessage="1" xr:uid="{00000000-0002-0000-0400-000003000000}">
          <x14:formula1>
            <xm:f>Tables!$C$24:$C$34</xm:f>
          </x14:formula1>
          <xm:sqref>D6:E6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L67"/>
  <sheetViews>
    <sheetView zoomScaleNormal="100" workbookViewId="0">
      <selection activeCell="D8" sqref="D8"/>
    </sheetView>
  </sheetViews>
  <sheetFormatPr baseColWidth="10" defaultColWidth="9.1640625" defaultRowHeight="15" x14ac:dyDescent="0.2"/>
  <cols>
    <col min="1" max="1" width="3" style="44" customWidth="1"/>
    <col min="2" max="2" width="23.83203125" style="45" customWidth="1"/>
    <col min="3" max="4" width="28.5" style="44" customWidth="1"/>
    <col min="5" max="5" width="37.5" style="44" customWidth="1"/>
    <col min="6" max="6" width="19.33203125" style="44" customWidth="1"/>
    <col min="7" max="7" width="2.33203125" style="44" customWidth="1"/>
    <col min="8" max="8" width="6.6640625" style="44" customWidth="1"/>
    <col min="9" max="9" width="20" style="44" customWidth="1"/>
    <col min="10" max="10" width="20.1640625" style="44" customWidth="1"/>
    <col min="11" max="11" width="18" style="44" customWidth="1"/>
    <col min="12" max="12" width="16.6640625" style="44" customWidth="1"/>
    <col min="13" max="13" width="19.1640625" style="44" customWidth="1"/>
    <col min="14" max="116" width="16.6640625" style="44" customWidth="1"/>
    <col min="117" max="16384" width="9.1640625" style="46"/>
  </cols>
  <sheetData>
    <row r="1" spans="1:116" ht="16" thickBot="1" x14ac:dyDescent="0.25"/>
    <row r="2" spans="1:116" s="48" customFormat="1" ht="39.75" customHeight="1" thickBot="1" x14ac:dyDescent="0.25">
      <c r="A2" s="47"/>
      <c r="B2" s="316" t="s">
        <v>59</v>
      </c>
      <c r="C2" s="318"/>
      <c r="D2" s="318"/>
      <c r="E2" s="318"/>
      <c r="F2" s="318"/>
      <c r="G2" s="318"/>
      <c r="H2" s="318"/>
      <c r="I2" s="318"/>
      <c r="J2" s="317" t="s">
        <v>326</v>
      </c>
      <c r="K2" s="317"/>
      <c r="L2" s="317"/>
      <c r="M2" s="350"/>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row>
    <row r="3" spans="1:116" s="2" customFormat="1" ht="32" customHeight="1" thickBot="1" x14ac:dyDescent="0.25">
      <c r="A3" s="10"/>
      <c r="B3" s="26" t="s">
        <v>61</v>
      </c>
      <c r="C3" s="219" t="s">
        <v>1</v>
      </c>
      <c r="D3" s="339" t="s">
        <v>30</v>
      </c>
      <c r="E3" s="340"/>
      <c r="F3" s="326" t="s">
        <v>218</v>
      </c>
      <c r="G3" s="327"/>
      <c r="H3" s="345" t="s">
        <v>40</v>
      </c>
      <c r="I3" s="346"/>
      <c r="J3" s="346"/>
      <c r="K3" s="24" t="s">
        <v>52</v>
      </c>
      <c r="L3" s="24" t="s">
        <v>58</v>
      </c>
      <c r="M3" s="25" t="s">
        <v>53</v>
      </c>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row>
    <row r="4" spans="1:116" s="2" customFormat="1" ht="32" customHeight="1" thickBot="1" x14ac:dyDescent="0.25">
      <c r="A4" s="10"/>
      <c r="B4" s="27" t="s">
        <v>130</v>
      </c>
      <c r="C4" s="227" t="s">
        <v>3</v>
      </c>
      <c r="D4" s="358" t="str">
        <f>IF(ISNUMBER(SEARCH("delta",D3)),Constants!B33,IF(ISNUMBER(SEARCH("ratio",D3)),Constants!B34,IF(ISNUMBER(SEARCH("%",D3)),Constants!B35,IF(ISNUMBER(SEARCH("ppm",D3)),Constants!B36,IF(ISNUMBER(SEARCH("select",D3)),Constants!B32)))))</f>
        <v>Select "Conversion from"</v>
      </c>
      <c r="E4" s="359"/>
      <c r="F4" s="328"/>
      <c r="G4" s="329"/>
      <c r="H4" s="347" t="s">
        <v>37</v>
      </c>
      <c r="I4" s="348"/>
      <c r="J4" s="349"/>
      <c r="K4" s="22" t="s">
        <v>41</v>
      </c>
      <c r="L4" s="5" t="s">
        <v>51</v>
      </c>
      <c r="M4" s="23">
        <v>0</v>
      </c>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row>
    <row r="5" spans="1:116" s="2" customFormat="1" ht="32" customHeight="1" thickBot="1" x14ac:dyDescent="0.25">
      <c r="A5" s="10"/>
      <c r="B5" s="26" t="s">
        <v>61</v>
      </c>
      <c r="C5" s="223" t="s">
        <v>302</v>
      </c>
      <c r="D5" s="228" t="s">
        <v>256</v>
      </c>
      <c r="E5" s="229" t="str">
        <f>IF(ISNUMBER(SEARCH(Tables!C36,D5)),Tables!J36,IF(ISNUMBER(SEARCH(Tables!C37,D5)),Tables!J37,IF(ISNUMBER(SEARCH(Tables!C38,D5)),Tables!J38,IF(ISNUMBER(SEARCH(Tables!C40,D5)),Tables!J40,IF(ISNUMBER(SEARCH(Tables!C41,D5)),Tables!J41,IF(ISNUMBER(SEARCH(Tables!C42,D5)),Tables!J42,IF(ISNUMBER(SEARCH("select",D5)),Tables!J35)))))))</f>
        <v>Select "Absolut isotope ratio Rstd for delta zero point"</v>
      </c>
      <c r="F5" s="328"/>
      <c r="G5" s="329"/>
      <c r="H5" s="310" t="s">
        <v>38</v>
      </c>
      <c r="I5" s="308"/>
      <c r="J5" s="309"/>
      <c r="K5" s="3" t="s">
        <v>42</v>
      </c>
      <c r="L5" s="20" t="s">
        <v>34</v>
      </c>
      <c r="M5" s="35" t="s">
        <v>54</v>
      </c>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row>
    <row r="6" spans="1:116" s="2" customFormat="1" ht="46.5" customHeight="1" thickBot="1" x14ac:dyDescent="0.25">
      <c r="A6" s="10"/>
      <c r="B6" s="27" t="s">
        <v>130</v>
      </c>
      <c r="C6" s="223" t="s">
        <v>303</v>
      </c>
      <c r="D6" s="225" t="str">
        <f>IF(ISNUMBER(SEARCH(Tables!C36,D5)),Tables!D36,IF(ISNUMBER(SEARCH(Tables!C37,D5)),Tables!D37,IF(ISNUMBER(SEARCH(Tables!C38,D5)),Tables!D38,IF(ISNUMBER(SEARCH(Tables!C40,D5)),Tables!D40,IF(ISNUMBER(SEARCH(Tables!C41,D5)),Tables!D41,IF(ISNUMBER(SEARCH(Tables!C42,D5)),Tables!D42,IF(ISNUMBER(SEARCH("select",D5)),Tables!D2)))))))</f>
        <v xml:space="preserve">Select "Absolute isotope ratio Rstd for delta zero point" </v>
      </c>
      <c r="E6" s="230" t="str">
        <f>E5</f>
        <v>Select "Absolut isotope ratio Rstd for delta zero point"</v>
      </c>
      <c r="F6" s="328"/>
      <c r="G6" s="329"/>
      <c r="H6" s="307" t="s">
        <v>198</v>
      </c>
      <c r="I6" s="308"/>
      <c r="J6" s="309"/>
      <c r="K6" s="19" t="s">
        <v>79</v>
      </c>
      <c r="L6" s="20" t="s">
        <v>31</v>
      </c>
      <c r="M6" s="36" t="s">
        <v>57</v>
      </c>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row>
    <row r="7" spans="1:116" s="2" customFormat="1" ht="42.75" customHeight="1" thickBot="1" x14ac:dyDescent="0.25">
      <c r="A7" s="10"/>
      <c r="B7" s="27" t="s">
        <v>130</v>
      </c>
      <c r="C7" s="231" t="s">
        <v>231</v>
      </c>
      <c r="D7" s="232" t="str">
        <f>IF(ISNUMBER(SEARCH(Tables!C36,D5)),Tables!G36,IF(ISNUMBER(SEARCH(Tables!C37,D5)),Tables!G37,IF(ISNUMBER(SEARCH(Tables!C38,D5)),Tables!G38,IF(ISNUMBER(SEARCH(Tables!C40,D5)),Tables!G40,IF(ISNUMBER(SEARCH(Tables!C41,D5)),Tables!G41,IF(ISNUMBER(SEARCH(Tables!C42,D5)),Tables!G42,IF(ISNUMBER(SEARCH("select",D5)),Tables!D2)))))))</f>
        <v xml:space="preserve">Select "Absolute isotope ratio Rstd for delta zero point" </v>
      </c>
      <c r="E7" s="233"/>
      <c r="F7" s="328"/>
      <c r="G7" s="329"/>
      <c r="H7" s="310" t="s">
        <v>233</v>
      </c>
      <c r="I7" s="308"/>
      <c r="J7" s="309"/>
      <c r="K7" s="3" t="s">
        <v>43</v>
      </c>
      <c r="L7" s="20" t="s">
        <v>34</v>
      </c>
      <c r="M7" s="35" t="s">
        <v>54</v>
      </c>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row>
    <row r="8" spans="1:116" s="2" customFormat="1" ht="39" customHeight="1" thickBot="1" x14ac:dyDescent="0.25">
      <c r="A8" s="10"/>
      <c r="B8" s="26" t="s">
        <v>61</v>
      </c>
      <c r="C8" s="196" t="s">
        <v>237</v>
      </c>
      <c r="D8" s="208" t="s">
        <v>298</v>
      </c>
      <c r="E8" s="209" t="str">
        <f>IF(ISNUMBER(SEARCH(Tables!C65,D8)),Tables!J65,IF(ISNUMBER(SEARCH(Tables!C66,D8)),Tables!J66,IF(ISNUMBER(SEARCH(Tables!C60,D8)),Tables!J60,IF(ISNUMBER(SEARCH(Tables!C61,D8)),Tables!J61,IF(ISNUMBER(SEARCH(Tables!C62,D8)),Tables!J62,IF(ISNUMBER(SEARCH(Tables!C63,D8)),Tables!J63,IF(ISNUMBER(SEARCH(Tables!C64,D8)),Tables!J64,IF(ISNUMBER(SEARCH(Tables!C67,D8)),Tables!J67,IF(ISNUMBER(SEARCH(Tables!C68,D8)),Tables!J68,IF(ISNUMBER(SEARCH("select",D8)),Tables!J35))))))))))</f>
        <v>Select "Absolut isotope ratio Rstd for delta zero point"</v>
      </c>
      <c r="F8" s="328"/>
      <c r="G8" s="329"/>
      <c r="H8" s="310" t="s">
        <v>202</v>
      </c>
      <c r="I8" s="308"/>
      <c r="J8" s="309"/>
      <c r="K8" s="20" t="s">
        <v>323</v>
      </c>
      <c r="L8" s="20" t="s">
        <v>32</v>
      </c>
      <c r="M8" s="17" t="s">
        <v>55</v>
      </c>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row>
    <row r="9" spans="1:116" s="2" customFormat="1" ht="39" customHeight="1" thickBot="1" x14ac:dyDescent="0.25">
      <c r="A9" s="10"/>
      <c r="B9" s="27" t="s">
        <v>130</v>
      </c>
      <c r="C9" s="193" t="s">
        <v>238</v>
      </c>
      <c r="D9" s="194" t="str">
        <f>IF(ISNUMBER(SEARCH(Tables!C65,D8)),Tables!D65,IF(ISNUMBER(SEARCH(Tables!C66,D8)),Tables!D66,IF(ISNUMBER(SEARCH(Tables!C67,D8)),Tables!D67,IF(ISNUMBER(SEARCH(Tables!C60,D8)),Tables!D60,IF(ISNUMBER(SEARCH(Tables!C61,D8)),Tables!D61,IF(ISNUMBER(SEARCH(Tables!C62,D8)),Tables!D62,IF(ISNUMBER(SEARCH(Tables!C64,D8)),Tables!D64,IF(ISNUMBER(SEARCH(Tables!C68,D8)),Tables!D68,IF(ISNUMBER(SEARCH(Tables!C63,D8)),Tables!D63,IF(ISNUMBER(SEARCH(Tables!C59,D8)),Tables!D59))))))))))</f>
        <v>Select "Absolute isotope ratio Rstd(17O/16O) for delta zero-point uncertainty"</v>
      </c>
      <c r="E9" s="195" t="str">
        <f>E8</f>
        <v>Select "Absolut isotope ratio Rstd for delta zero point"</v>
      </c>
      <c r="F9" s="330"/>
      <c r="G9" s="331"/>
      <c r="H9" s="322" t="s">
        <v>203</v>
      </c>
      <c r="I9" s="323"/>
      <c r="J9" s="324"/>
      <c r="K9" s="21" t="s">
        <v>323</v>
      </c>
      <c r="L9" s="21" t="s">
        <v>33</v>
      </c>
      <c r="M9" s="18" t="s">
        <v>56</v>
      </c>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row>
    <row r="10" spans="1:116" s="2" customFormat="1" ht="42.75" customHeight="1" thickBot="1" x14ac:dyDescent="0.25">
      <c r="A10" s="10"/>
      <c r="B10" s="27" t="s">
        <v>130</v>
      </c>
      <c r="C10" s="210" t="s">
        <v>261</v>
      </c>
      <c r="D10" s="211" t="str">
        <f>IF(ISNUMBER(SEARCH(Tables!C65,D8)),Tables!G65,IF(ISNUMBER(SEARCH(Tables!C66,D8)),Tables!G66,IF(ISNUMBER(SEARCH(Tables!C67,D8)),Tables!G67,IF(ISNUMBER(SEARCH(Tables!C60,D8)),Tables!G60,IF(ISNUMBER(SEARCH(Tables!C61,D8)),Tables!G61,IF(ISNUMBER(SEARCH(Tables!C62,D8)),Tables!G62,IF(ISNUMBER(SEARCH(Tables!C64,D8)),Tables!G64,IF(ISNUMBER(SEARCH(Tables!C68,D8)),Tables!G68,IF(ISNUMBER(SEARCH(Tables!C63,D8)),Tables!G63,IF(ISNUMBER(SEARCH(Tables!C59,D8)),Tables!G59))))))))))</f>
        <v>Select "Absolute isotope ratio Rstd(17O/16O) for delta zero-point"</v>
      </c>
      <c r="E10" s="212"/>
      <c r="F10" s="356"/>
      <c r="G10" s="313"/>
      <c r="H10" s="354" t="s">
        <v>313</v>
      </c>
      <c r="I10" s="354"/>
      <c r="J10" s="354"/>
      <c r="K10" s="354"/>
      <c r="L10" s="354"/>
      <c r="M10" s="354"/>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row>
    <row r="11" spans="1:116" s="2" customFormat="1" ht="39.75" customHeight="1" thickTop="1" thickBot="1" x14ac:dyDescent="0.25">
      <c r="A11" s="10"/>
      <c r="B11" s="26" t="s">
        <v>61</v>
      </c>
      <c r="C11" s="234" t="s">
        <v>304</v>
      </c>
      <c r="D11" s="235" t="s">
        <v>328</v>
      </c>
      <c r="E11" s="236"/>
      <c r="F11" s="357"/>
      <c r="G11" s="314"/>
      <c r="H11" s="355"/>
      <c r="I11" s="355"/>
      <c r="J11" s="355"/>
      <c r="K11" s="355"/>
      <c r="L11" s="355"/>
      <c r="M11" s="355"/>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row>
    <row r="12" spans="1:116" s="2" customFormat="1" ht="32" customHeight="1" thickBot="1" x14ac:dyDescent="0.25">
      <c r="A12" s="10"/>
      <c r="B12" s="27" t="s">
        <v>130</v>
      </c>
      <c r="C12" s="237" t="s">
        <v>223</v>
      </c>
      <c r="D12" s="238" t="str">
        <f>IF(ISNUMBER(SEARCH("select",D11)),Constants!A50,IF(ISNUMBER(SEARCH("0.528",D11)),Constants!A51,IF(ISNUMBER(SEARCH("0.516",D11)),Constants!A52, IF(ISNUMBER(SEARCH("0.5",D11)),Constants!A53))))</f>
        <v>Select "Lambda λ17"</v>
      </c>
      <c r="E12" s="239"/>
      <c r="F12" s="357"/>
      <c r="G12" s="314"/>
      <c r="H12" s="355"/>
      <c r="I12" s="355"/>
      <c r="J12" s="355"/>
      <c r="K12" s="355"/>
      <c r="L12" s="355"/>
      <c r="M12" s="355"/>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row>
    <row r="13" spans="1:116" s="2" customFormat="1" ht="32" customHeight="1" thickBot="1" x14ac:dyDescent="0.25">
      <c r="A13" s="10"/>
      <c r="B13" s="28" t="s">
        <v>131</v>
      </c>
      <c r="C13" s="1" t="str">
        <f>CONCATENATE("uncertainty ",D3)</f>
        <v>uncertainty Select</v>
      </c>
      <c r="D13" s="200">
        <v>0</v>
      </c>
      <c r="E13" s="201"/>
      <c r="F13" s="357"/>
      <c r="G13" s="314"/>
      <c r="H13" s="355"/>
      <c r="I13" s="355"/>
      <c r="J13" s="355"/>
      <c r="K13" s="355"/>
      <c r="L13" s="355"/>
      <c r="M13" s="355"/>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row>
    <row r="14" spans="1:116" s="2" customFormat="1" ht="32" customHeight="1" thickBot="1" x14ac:dyDescent="0.25">
      <c r="A14" s="10"/>
      <c r="B14" s="351" t="str">
        <f>IF(E5=E8,"No warnings","Warning you selected different isotope scales for  Rstd(18O/16O) and Rstd(17O/16O)")</f>
        <v>No warnings</v>
      </c>
      <c r="C14" s="352"/>
      <c r="D14" s="352"/>
      <c r="E14" s="353"/>
      <c r="F14" s="357"/>
      <c r="G14" s="314"/>
      <c r="H14" s="185"/>
      <c r="I14" s="185"/>
      <c r="J14" s="185"/>
      <c r="K14" s="185"/>
      <c r="L14" s="185"/>
      <c r="M14" s="185"/>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row>
    <row r="15" spans="1:116" ht="29.25" customHeight="1" thickBot="1" x14ac:dyDescent="0.25">
      <c r="B15" s="62"/>
    </row>
    <row r="16" spans="1:116" s="2" customFormat="1" ht="15" customHeight="1" x14ac:dyDescent="0.2">
      <c r="A16" s="10"/>
      <c r="B16" s="33" t="s">
        <v>119</v>
      </c>
      <c r="C16" s="8" t="s">
        <v>21</v>
      </c>
      <c r="D16" s="332" t="s">
        <v>39</v>
      </c>
      <c r="E16" s="333"/>
      <c r="F16" s="334"/>
      <c r="G16" s="11"/>
      <c r="H16" s="12"/>
      <c r="I16" s="12"/>
      <c r="J16" s="41"/>
      <c r="K16" s="319" t="s">
        <v>232</v>
      </c>
      <c r="L16" s="320"/>
      <c r="M16" s="321"/>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row>
    <row r="17" spans="1:116" s="2" customFormat="1" ht="15.75" customHeight="1" x14ac:dyDescent="0.2">
      <c r="A17" s="10"/>
      <c r="B17" s="34" t="s">
        <v>133</v>
      </c>
      <c r="C17" s="9" t="str">
        <f>D3</f>
        <v>Select</v>
      </c>
      <c r="D17" s="42" t="str">
        <f>IF(ISNUMBER(SEARCH("delta",C17)),"Ratio (18O/16O)",IF(ISNUMBER(SEARCH("ratio",C17)),"Delta (18O/16O) [‰]",IF(ISNUMBER(SEARCH("fraction",C17)),"Delta (18O/16O) [‰]","Not selected")))</f>
        <v>Not selected</v>
      </c>
      <c r="E17" s="43" t="str">
        <f>IF(ISNUMBER(SEARCH("delta",C17)),"Fraction (18O) [%]",IF(ISNUMBER(SEARCH("Ratio",C17)),"Fraction (18O) [%]",IF(ISNUMBER(SEARCH("fraction (18O) [%]",C17)),"Ratio (18O/16O)",IF(ISNUMBER(SEARCH("fraction (18O) [ppm]",C17)),"Ratio (18O/16O)", "Not selected"))))</f>
        <v>Not selected</v>
      </c>
      <c r="F17" s="7" t="str">
        <f>IF(ISNUMBER(SEARCH("delta",C17)),"Fraction (18O) [ppm]",IF(ISNUMBER(SEARCH("ratio",C17)),"Fraction (18O) [ppm]",IF(ISNUMBER(SEARCH("fraction (18O) [%]",C17)),"Fraction (18O) [ppm]",IF(ISNUMBER(SEARCH("fraction (18O) [ppm]",C17)),"Fraction (18O) [%]", "Not selected" ))))</f>
        <v>Not selected</v>
      </c>
      <c r="G17" s="13"/>
      <c r="H17" s="10"/>
      <c r="I17" s="10"/>
      <c r="J17" s="116"/>
      <c r="K17" s="42" t="str">
        <f>D17</f>
        <v>Not selected</v>
      </c>
      <c r="L17" s="43" t="str">
        <f>E17</f>
        <v>Not selected</v>
      </c>
      <c r="M17" s="7" t="str">
        <f>F17</f>
        <v>Not selected</v>
      </c>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row>
    <row r="18" spans="1:116" s="99" customFormat="1" ht="14" x14ac:dyDescent="0.2">
      <c r="A18" s="98"/>
      <c r="B18" s="29" t="s">
        <v>60</v>
      </c>
      <c r="C18" s="117">
        <v>0</v>
      </c>
      <c r="D18" s="118" t="str">
        <f t="shared" ref="D18:D57" si="0">IF(ISNUMBER(SEARCH("delta",$C$17)),((C18/1000)+1)*$D$5,IF(ISNUMBER(SEARCH("ratio",$C$17)),(((C18/$D$5)-1)*1000),IF(ISNUMBER(SEARCH("%",$C$17)),((((C18/(100-C18))/$D$5)-1)*1000),IF(ISNUMBER(SEARCH("ppm",$C$17)),((((((C18/10000)/(100-(C18/10000))/$D$5)-1)*1000))),"Not selected"))))</f>
        <v>Not selected</v>
      </c>
      <c r="E18" s="119" t="str">
        <f t="shared" ref="E18:E57" si="1">IF(ISNUMBER(SEARCH("delta",$C$17)),(((((C18/1000)+1)*$D$5)/(1+(((C18/1000)+1)*$D$5)+(((((C18/1000)+1)*$D$5))^$D$11)*($D$8/(($D$5)^$D$11))))*100),IF(ISNUMBER(SEARCH("ratio",$C$17)),(((C18/(1+C18+(((((((C18/$D$5-1)*1000)/1000)+1)*$D$5))^$D$11)*($D$8/(($D$5)^$D$11))))*100)),IF(ISNUMBER(SEARCH("%",$C$17)),(C18/(100-C18)),IF(ISNUMBER(SEARCH("ppm",$C$17)),((C18/10000)/(100-(C18/10000))),"Not selected"))))</f>
        <v>Not selected</v>
      </c>
      <c r="F18" s="115" t="str">
        <f t="shared" ref="F18:F57" si="2">IF(ISNUMBER(SEARCH("delta",$C$17)),(((((C18/1000)+1)*$D$5)/(1+(((C18/1000)+1)*$D$5)+(((((C18/1000)+1)*$D$5))^$D$11)*($D$8/(($D$5)^$D$11)))))*1000000,IF(ISNUMBER(SEARCH("ratio",$C$17)),(((C18/(1+C18+(((((((C18/$D$5-1)*1000)/1000)+1)*$D$5))^$D$11)*($D$8/(($D$5)^$D$11))))*1000000)),IF(ISNUMBER(SEARCH("%",$C$17)),C18*10000,IF(ISNUMBER(SEARCH("ppm",$C$17)),C18/10000,"Not selected"))))</f>
        <v>Not selected</v>
      </c>
      <c r="G18" s="120"/>
      <c r="H18" s="121"/>
      <c r="I18" s="122"/>
      <c r="J18" s="123"/>
      <c r="K18" s="113" t="str">
        <f t="shared" ref="K18:K57" si="3">IF(ISNUMBER(SEARCH("delta",$C$17)),SQRT((((((C18/1000)+1)*($D$5+$D$6))-D18)^2)+((((((C18+$D$13)/1000)+1)*$D$5)-D18)^2)),IF(ISNUMBER(SEARCH("ratio",$C$17)),SQRT(((((((C18/($D$5+$D$6))-1)*1000))-D18)^2)+(((((((C18+$D$13)/$D$5)-1)*1000))-D18)^2)),IF(ISNUMBER(SEARCH("%",$C$17)),SQRT((((((((C18/(100-C18))/($D$5+$D$6))-1)*1000))-D18)^2)+((((((((C18+$D$13)/(100-(C18+$D$13)))/$D$5)-1)*1000))-D18)^2)),IF(ISNUMBER(SEARCH("ppm",$C$17)),SQRT((((((((C18/10000)/(100-(C18/10000)))/($D$5+$D$6))-1)*1000)-D18)^2)+(((((((((C18+$D$13)/10000)/(100-((C18+$D$13)/10000)))/$D$5)-1)*1000))-D18)^2)),"Not selected"))))</f>
        <v>Not selected</v>
      </c>
      <c r="L18" s="114" t="str">
        <f t="shared" ref="L18:L57" si="4">IF(ISNUMBER(SEARCH("delta",$C$17)),SQRT((((((((C18/1000)+1)*($D$5+$D$6))/(1+(((C18/1000)+1)*($D$5+$D$6))+(((((C18/1000)+1)*($D$5+$D$6)))^$D$11)*($D$8/((($D$5+$D$6))^$D$11))))*100)-E18)^2)+(((((((C18/1000)+1)*$D$5)/(1+(((C18/1000)+1)*$D$5)+(((((C18/1000)+1)*$D$5))^$D$11)*(($D$8+$D$9)/(($D$5)^$D$11))))*100)-E18)^2)+(((((((C18/1000)+1)*$D$5)/(1+(((C18/1000)+1)*$D$5)+(((((C18/1000)+1)*$D$5))^$D$11)*($D$8/(($D$5)^$D$11))))*100)-E18)^2)+((((((((C18+$D$13)/1000)+1)*$D$5)/(1+((((C18+$D$13)/1000)+1)*$D$5)+((((((C18+$D$13)/1000)+1)*$D$5))^$D$11)*($D$8/(($D$5)^$D$11))))*100)-E18)^2)),IF(ISNUMBER(SEARCH("ratio",$C$17)),SQRT((((((C18/(1+C18+(((((((C18/($D$5+$D$6)-1)*1000)/1000)+1)*($D$5+$D$6)))^$D$11)*($D$8/((($D$5+$D$6))^$D$11))))*100))-E18)^2)+(((((C18/(1+C18+(((((((C18/$D$5-1)*1000)/1000)+1)*$D$5))^$D$11)*($D$8+$D$9)/(($D$5)^$D$11))))*100)-E18)^2)+(((((C18/(1+C18+(((((((C18/$D$5-1)*1000)/1000)+1)*$D$5))^$D$11)*($D$8/(($D$5)^$D$11))))*100))-E18)^2)+(((((C18+$D$13)/(1+(C18+$D$13)+(((((((((C18+$D$13)/$D$5-1)*1000)/1000)+1)*$D$5))^$D$11)*($D$8/(($D$5)^$D$11))))*100))-E18)^2)),IF(ISNUMBER(SEARCH("%",$C$17)),SQRT(((((C18/(100-C18)))-E18)^2)+(((((C18+$D$13)/(100-(C18+$D$13))))-E18)^2)),
IF(ISNUMBER(SEARCH("ppm",$C$17)),SQRT((((((C18/10000)/(100-(C18/10000))))-E18)^2)+((((((C18+$D$13)/10000)/(100-((C18+$D$13)/10000))))-E18)^2)),"Not selected"))))</f>
        <v>Not selected</v>
      </c>
      <c r="M18" s="115" t="str">
        <f t="shared" ref="M18:M57" si="5">IF(ISNUMBER(SEARCH("delta",$C$17)),SQRT((((((((C18/1000)+1)*($D$5+$D$6))/(1+(((C18/1000)+1)*($D$5+$D$6))+(((((C18/1000)+1)*($D$5+$D$6)))^$D$11)*($D$8/((($D$5+$D$6))^$D$11))))*1000000)-F18)^2)+(((((((C18/1000)+1)*$D$5)/(1+(((C18/1000)+1)*$D$5)+(((((C18/1000)+1)*$D$5))^$D$11)*(($D$8+$D$9)/(($D$5)^$D$11))))*1000000)-F18)^2)+(((((((C18/1000)+1)*$D$5)/(1+(((C18/1000)+1)*$D$5)+(((((C18/1000)+1)*$D$5))^$D$11)*($D$8/(($D$5)^$D$11))))*1000000)-F18)^2)+((((((((C18+$D$13)/1000)+1)*$D$5)/(1+((((C18+$D$13)/1000)+1)*$D$5)+((((((C18+$D$13)/1000)+1)*$D$5))^$D$11)*($D$8/(($D$5)^$D$11))))*1000000)-F18)^2)),IF(ISNUMBER(SEARCH("ratio",$C$17)),SQRT((((((C18/(1+C18+(((((((C18/($D$5+$D$6)-1)*1000)/1000)+1)*($D$5+$D$6)))^$D$11)*($D$8/((($D$5+$D$6))^$D$11))))*1000000))-F18)^2)+(((((C18/(1+C18+(((((((C18/$D$5-1)*1000)/1000)+1)*$D$5))^$D$11)*($D$8+$D$9)/(($D$5)^$D$11))))*1000000)-F18)^2)+(((((C18/(1+C18+(((((((C18/$D$5-1)*1000)/1000)+1)*$D$5))^$D$11)*($D$8/(($D$5)^$D$11))))*1000000))-F18)^2)+(((((C18+$D$13)/(1+(C18+$D$13)+(((((((((C18+$D$13)/$D$5-1)*1000)/1000)+1)*$D$5))^$D$11)*($D$8/(($D$5)^$D$11))))*1000000))-F18)^2)),IF(ISNUMBER(SEARCH("%",$C$17)),SQRT((((C18*10000)-F18)^2)+((((C18+$D$13)*10000)-F18)^2)),IF(ISNUMBER(SEARCH("ppm",$C$17)),SQRT((((C18/10000)-F18)^2)+((((C18+$D$13)/10000)-F18)^2)),"Not selected"))))</f>
        <v>Not selected</v>
      </c>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c r="AZ18" s="98"/>
      <c r="BA18" s="98"/>
      <c r="BB18" s="98"/>
      <c r="BC18" s="98"/>
      <c r="BD18" s="98"/>
      <c r="BE18" s="98"/>
      <c r="BF18" s="98"/>
      <c r="BG18" s="98"/>
      <c r="BH18" s="98"/>
      <c r="BI18" s="98"/>
      <c r="BJ18" s="98"/>
      <c r="BK18" s="98"/>
      <c r="BL18" s="98"/>
      <c r="BM18" s="98"/>
      <c r="BN18" s="98"/>
      <c r="BO18" s="98"/>
      <c r="BP18" s="98"/>
      <c r="BQ18" s="98"/>
      <c r="BR18" s="98"/>
      <c r="BS18" s="98"/>
      <c r="BT18" s="98"/>
      <c r="BU18" s="98"/>
      <c r="BV18" s="98"/>
      <c r="BW18" s="98"/>
      <c r="BX18" s="98"/>
      <c r="BY18" s="98"/>
      <c r="BZ18" s="98"/>
      <c r="CA18" s="98"/>
      <c r="CB18" s="98"/>
      <c r="CC18" s="98"/>
      <c r="CD18" s="98"/>
      <c r="CE18" s="98"/>
      <c r="CF18" s="98"/>
      <c r="CG18" s="98"/>
      <c r="CH18" s="98"/>
      <c r="CI18" s="98"/>
      <c r="CJ18" s="98"/>
      <c r="CK18" s="98"/>
      <c r="CL18" s="98"/>
      <c r="CM18" s="98"/>
      <c r="CN18" s="98"/>
      <c r="CO18" s="98"/>
      <c r="CP18" s="98"/>
      <c r="CQ18" s="98"/>
      <c r="CR18" s="98"/>
      <c r="CS18" s="98"/>
      <c r="CT18" s="98"/>
      <c r="CU18" s="98"/>
      <c r="CV18" s="98"/>
      <c r="CW18" s="98"/>
      <c r="CX18" s="98"/>
      <c r="CY18" s="98"/>
      <c r="CZ18" s="98"/>
      <c r="DA18" s="98"/>
      <c r="DB18" s="98"/>
      <c r="DC18" s="98"/>
      <c r="DD18" s="98"/>
      <c r="DE18" s="98"/>
      <c r="DF18" s="98"/>
      <c r="DG18" s="98"/>
      <c r="DH18" s="98"/>
      <c r="DI18" s="98"/>
      <c r="DJ18" s="98"/>
      <c r="DK18" s="98"/>
      <c r="DL18" s="98"/>
    </row>
    <row r="19" spans="1:116" s="99" customFormat="1" ht="14" x14ac:dyDescent="0.2">
      <c r="A19" s="98"/>
      <c r="B19" s="29" t="s">
        <v>60</v>
      </c>
      <c r="C19" s="117">
        <v>0</v>
      </c>
      <c r="D19" s="118" t="str">
        <f t="shared" si="0"/>
        <v>Not selected</v>
      </c>
      <c r="E19" s="119" t="str">
        <f t="shared" si="1"/>
        <v>Not selected</v>
      </c>
      <c r="F19" s="115" t="str">
        <f t="shared" si="2"/>
        <v>Not selected</v>
      </c>
      <c r="G19" s="120"/>
      <c r="H19" s="121"/>
      <c r="I19" s="122"/>
      <c r="J19" s="123"/>
      <c r="K19" s="113" t="str">
        <f t="shared" si="3"/>
        <v>Not selected</v>
      </c>
      <c r="L19" s="114" t="str">
        <f t="shared" si="4"/>
        <v>Not selected</v>
      </c>
      <c r="M19" s="115" t="str">
        <f t="shared" si="5"/>
        <v>Not selected</v>
      </c>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8"/>
      <c r="AT19" s="98"/>
      <c r="AU19" s="98"/>
      <c r="AV19" s="98"/>
      <c r="AW19" s="98"/>
      <c r="AX19" s="98"/>
      <c r="AY19" s="98"/>
      <c r="AZ19" s="98"/>
      <c r="BA19" s="98"/>
      <c r="BB19" s="98"/>
      <c r="BC19" s="98"/>
      <c r="BD19" s="98"/>
      <c r="BE19" s="98"/>
      <c r="BF19" s="98"/>
      <c r="BG19" s="98"/>
      <c r="BH19" s="98"/>
      <c r="BI19" s="98"/>
      <c r="BJ19" s="98"/>
      <c r="BK19" s="98"/>
      <c r="BL19" s="98"/>
      <c r="BM19" s="98"/>
      <c r="BN19" s="98"/>
      <c r="BO19" s="98"/>
      <c r="BP19" s="98"/>
      <c r="BQ19" s="98"/>
      <c r="BR19" s="98"/>
      <c r="BS19" s="98"/>
      <c r="BT19" s="98"/>
      <c r="BU19" s="98"/>
      <c r="BV19" s="98"/>
      <c r="BW19" s="98"/>
      <c r="BX19" s="98"/>
      <c r="BY19" s="98"/>
      <c r="BZ19" s="98"/>
      <c r="CA19" s="98"/>
      <c r="CB19" s="98"/>
      <c r="CC19" s="98"/>
      <c r="CD19" s="98"/>
      <c r="CE19" s="98"/>
      <c r="CF19" s="98"/>
      <c r="CG19" s="98"/>
      <c r="CH19" s="98"/>
      <c r="CI19" s="98"/>
      <c r="CJ19" s="98"/>
      <c r="CK19" s="98"/>
      <c r="CL19" s="98"/>
      <c r="CM19" s="98"/>
      <c r="CN19" s="98"/>
      <c r="CO19" s="98"/>
      <c r="CP19" s="98"/>
      <c r="CQ19" s="98"/>
      <c r="CR19" s="98"/>
      <c r="CS19" s="98"/>
      <c r="CT19" s="98"/>
      <c r="CU19" s="98"/>
      <c r="CV19" s="98"/>
      <c r="CW19" s="98"/>
      <c r="CX19" s="98"/>
      <c r="CY19" s="98"/>
      <c r="CZ19" s="98"/>
      <c r="DA19" s="98"/>
      <c r="DB19" s="98"/>
      <c r="DC19" s="98"/>
      <c r="DD19" s="98"/>
      <c r="DE19" s="98"/>
      <c r="DF19" s="98"/>
      <c r="DG19" s="98"/>
      <c r="DH19" s="98"/>
      <c r="DI19" s="98"/>
      <c r="DJ19" s="98"/>
      <c r="DK19" s="98"/>
      <c r="DL19" s="98"/>
    </row>
    <row r="20" spans="1:116" s="99" customFormat="1" ht="14" x14ac:dyDescent="0.2">
      <c r="A20" s="98"/>
      <c r="B20" s="29" t="s">
        <v>60</v>
      </c>
      <c r="C20" s="117">
        <v>0</v>
      </c>
      <c r="D20" s="118" t="str">
        <f t="shared" si="0"/>
        <v>Not selected</v>
      </c>
      <c r="E20" s="119" t="str">
        <f t="shared" si="1"/>
        <v>Not selected</v>
      </c>
      <c r="F20" s="115" t="str">
        <f t="shared" si="2"/>
        <v>Not selected</v>
      </c>
      <c r="G20" s="120"/>
      <c r="H20" s="121"/>
      <c r="I20" s="122"/>
      <c r="J20" s="123"/>
      <c r="K20" s="113" t="str">
        <f t="shared" si="3"/>
        <v>Not selected</v>
      </c>
      <c r="L20" s="114" t="str">
        <f t="shared" si="4"/>
        <v>Not selected</v>
      </c>
      <c r="M20" s="115" t="str">
        <f t="shared" si="5"/>
        <v>Not selected</v>
      </c>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c r="AZ20" s="98"/>
      <c r="BA20" s="98"/>
      <c r="BB20" s="98"/>
      <c r="BC20" s="98"/>
      <c r="BD20" s="98"/>
      <c r="BE20" s="98"/>
      <c r="BF20" s="98"/>
      <c r="BG20" s="98"/>
      <c r="BH20" s="98"/>
      <c r="BI20" s="98"/>
      <c r="BJ20" s="98"/>
      <c r="BK20" s="98"/>
      <c r="BL20" s="98"/>
      <c r="BM20" s="98"/>
      <c r="BN20" s="98"/>
      <c r="BO20" s="98"/>
      <c r="BP20" s="98"/>
      <c r="BQ20" s="98"/>
      <c r="BR20" s="98"/>
      <c r="BS20" s="98"/>
      <c r="BT20" s="98"/>
      <c r="BU20" s="98"/>
      <c r="BV20" s="98"/>
      <c r="BW20" s="98"/>
      <c r="BX20" s="98"/>
      <c r="BY20" s="98"/>
      <c r="BZ20" s="98"/>
      <c r="CA20" s="98"/>
      <c r="CB20" s="98"/>
      <c r="CC20" s="98"/>
      <c r="CD20" s="98"/>
      <c r="CE20" s="98"/>
      <c r="CF20" s="98"/>
      <c r="CG20" s="98"/>
      <c r="CH20" s="98"/>
      <c r="CI20" s="98"/>
      <c r="CJ20" s="98"/>
      <c r="CK20" s="98"/>
      <c r="CL20" s="98"/>
      <c r="CM20" s="98"/>
      <c r="CN20" s="98"/>
      <c r="CO20" s="98"/>
      <c r="CP20" s="98"/>
      <c r="CQ20" s="98"/>
      <c r="CR20" s="98"/>
      <c r="CS20" s="98"/>
      <c r="CT20" s="98"/>
      <c r="CU20" s="98"/>
      <c r="CV20" s="98"/>
      <c r="CW20" s="98"/>
      <c r="CX20" s="98"/>
      <c r="CY20" s="98"/>
      <c r="CZ20" s="98"/>
      <c r="DA20" s="98"/>
      <c r="DB20" s="98"/>
      <c r="DC20" s="98"/>
      <c r="DD20" s="98"/>
      <c r="DE20" s="98"/>
      <c r="DF20" s="98"/>
      <c r="DG20" s="98"/>
      <c r="DH20" s="98"/>
      <c r="DI20" s="98"/>
      <c r="DJ20" s="98"/>
      <c r="DK20" s="98"/>
      <c r="DL20" s="98"/>
    </row>
    <row r="21" spans="1:116" s="99" customFormat="1" ht="14" x14ac:dyDescent="0.2">
      <c r="A21" s="98"/>
      <c r="B21" s="29" t="s">
        <v>60</v>
      </c>
      <c r="C21" s="117">
        <v>0</v>
      </c>
      <c r="D21" s="118" t="str">
        <f t="shared" si="0"/>
        <v>Not selected</v>
      </c>
      <c r="E21" s="119" t="str">
        <f t="shared" si="1"/>
        <v>Not selected</v>
      </c>
      <c r="F21" s="115" t="str">
        <f t="shared" si="2"/>
        <v>Not selected</v>
      </c>
      <c r="G21" s="120"/>
      <c r="H21" s="121"/>
      <c r="I21" s="122"/>
      <c r="J21" s="123"/>
      <c r="K21" s="113" t="str">
        <f t="shared" si="3"/>
        <v>Not selected</v>
      </c>
      <c r="L21" s="114" t="str">
        <f t="shared" si="4"/>
        <v>Not selected</v>
      </c>
      <c r="M21" s="115" t="str">
        <f t="shared" si="5"/>
        <v>Not selected</v>
      </c>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c r="AR21" s="98"/>
      <c r="AS21" s="98"/>
      <c r="AT21" s="98"/>
      <c r="AU21" s="98"/>
      <c r="AV21" s="98"/>
      <c r="AW21" s="98"/>
      <c r="AX21" s="98"/>
      <c r="AY21" s="98"/>
      <c r="AZ21" s="98"/>
      <c r="BA21" s="98"/>
      <c r="BB21" s="98"/>
      <c r="BC21" s="98"/>
      <c r="BD21" s="98"/>
      <c r="BE21" s="98"/>
      <c r="BF21" s="98"/>
      <c r="BG21" s="98"/>
      <c r="BH21" s="98"/>
      <c r="BI21" s="98"/>
      <c r="BJ21" s="98"/>
      <c r="BK21" s="98"/>
      <c r="BL21" s="98"/>
      <c r="BM21" s="98"/>
      <c r="BN21" s="98"/>
      <c r="BO21" s="98"/>
      <c r="BP21" s="98"/>
      <c r="BQ21" s="98"/>
      <c r="BR21" s="98"/>
      <c r="BS21" s="98"/>
      <c r="BT21" s="98"/>
      <c r="BU21" s="98"/>
      <c r="BV21" s="98"/>
      <c r="BW21" s="98"/>
      <c r="BX21" s="98"/>
      <c r="BY21" s="98"/>
      <c r="BZ21" s="98"/>
      <c r="CA21" s="98"/>
      <c r="CB21" s="98"/>
      <c r="CC21" s="98"/>
      <c r="CD21" s="98"/>
      <c r="CE21" s="98"/>
      <c r="CF21" s="98"/>
      <c r="CG21" s="98"/>
      <c r="CH21" s="98"/>
      <c r="CI21" s="98"/>
      <c r="CJ21" s="98"/>
      <c r="CK21" s="98"/>
      <c r="CL21" s="98"/>
      <c r="CM21" s="98"/>
      <c r="CN21" s="98"/>
      <c r="CO21" s="98"/>
      <c r="CP21" s="98"/>
      <c r="CQ21" s="98"/>
      <c r="CR21" s="98"/>
      <c r="CS21" s="98"/>
      <c r="CT21" s="98"/>
      <c r="CU21" s="98"/>
      <c r="CV21" s="98"/>
      <c r="CW21" s="98"/>
      <c r="CX21" s="98"/>
      <c r="CY21" s="98"/>
      <c r="CZ21" s="98"/>
      <c r="DA21" s="98"/>
      <c r="DB21" s="98"/>
      <c r="DC21" s="98"/>
      <c r="DD21" s="98"/>
      <c r="DE21" s="98"/>
      <c r="DF21" s="98"/>
      <c r="DG21" s="98"/>
      <c r="DH21" s="98"/>
      <c r="DI21" s="98"/>
      <c r="DJ21" s="98"/>
      <c r="DK21" s="98"/>
      <c r="DL21" s="98"/>
    </row>
    <row r="22" spans="1:116" s="99" customFormat="1" ht="14" x14ac:dyDescent="0.2">
      <c r="A22" s="98"/>
      <c r="B22" s="29" t="s">
        <v>60</v>
      </c>
      <c r="C22" s="117">
        <v>0</v>
      </c>
      <c r="D22" s="118" t="str">
        <f t="shared" si="0"/>
        <v>Not selected</v>
      </c>
      <c r="E22" s="119" t="str">
        <f t="shared" si="1"/>
        <v>Not selected</v>
      </c>
      <c r="F22" s="115" t="str">
        <f t="shared" si="2"/>
        <v>Not selected</v>
      </c>
      <c r="G22" s="120"/>
      <c r="H22" s="121"/>
      <c r="I22" s="122"/>
      <c r="J22" s="123"/>
      <c r="K22" s="113" t="str">
        <f t="shared" si="3"/>
        <v>Not selected</v>
      </c>
      <c r="L22" s="114" t="str">
        <f t="shared" si="4"/>
        <v>Not selected</v>
      </c>
      <c r="M22" s="115" t="str">
        <f t="shared" si="5"/>
        <v>Not selected</v>
      </c>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c r="AZ22" s="98"/>
      <c r="BA22" s="98"/>
      <c r="BB22" s="98"/>
      <c r="BC22" s="98"/>
      <c r="BD22" s="98"/>
      <c r="BE22" s="98"/>
      <c r="BF22" s="98"/>
      <c r="BG22" s="98"/>
      <c r="BH22" s="98"/>
      <c r="BI22" s="98"/>
      <c r="BJ22" s="98"/>
      <c r="BK22" s="98"/>
      <c r="BL22" s="98"/>
      <c r="BM22" s="98"/>
      <c r="BN22" s="98"/>
      <c r="BO22" s="98"/>
      <c r="BP22" s="98"/>
      <c r="BQ22" s="98"/>
      <c r="BR22" s="98"/>
      <c r="BS22" s="98"/>
      <c r="BT22" s="98"/>
      <c r="BU22" s="98"/>
      <c r="BV22" s="98"/>
      <c r="BW22" s="98"/>
      <c r="BX22" s="98"/>
      <c r="BY22" s="98"/>
      <c r="BZ22" s="98"/>
      <c r="CA22" s="98"/>
      <c r="CB22" s="98"/>
      <c r="CC22" s="98"/>
      <c r="CD22" s="98"/>
      <c r="CE22" s="98"/>
      <c r="CF22" s="98"/>
      <c r="CG22" s="98"/>
      <c r="CH22" s="98"/>
      <c r="CI22" s="98"/>
      <c r="CJ22" s="98"/>
      <c r="CK22" s="98"/>
      <c r="CL22" s="98"/>
      <c r="CM22" s="98"/>
      <c r="CN22" s="98"/>
      <c r="CO22" s="98"/>
      <c r="CP22" s="98"/>
      <c r="CQ22" s="98"/>
      <c r="CR22" s="98"/>
      <c r="CS22" s="98"/>
      <c r="CT22" s="98"/>
      <c r="CU22" s="98"/>
      <c r="CV22" s="98"/>
      <c r="CW22" s="98"/>
      <c r="CX22" s="98"/>
      <c r="CY22" s="98"/>
      <c r="CZ22" s="98"/>
      <c r="DA22" s="98"/>
      <c r="DB22" s="98"/>
      <c r="DC22" s="98"/>
      <c r="DD22" s="98"/>
      <c r="DE22" s="98"/>
      <c r="DF22" s="98"/>
      <c r="DG22" s="98"/>
      <c r="DH22" s="98"/>
      <c r="DI22" s="98"/>
      <c r="DJ22" s="98"/>
      <c r="DK22" s="98"/>
      <c r="DL22" s="98"/>
    </row>
    <row r="23" spans="1:116" s="99" customFormat="1" ht="14" x14ac:dyDescent="0.2">
      <c r="A23" s="98"/>
      <c r="B23" s="29" t="s">
        <v>60</v>
      </c>
      <c r="C23" s="117">
        <v>0</v>
      </c>
      <c r="D23" s="118" t="str">
        <f t="shared" si="0"/>
        <v>Not selected</v>
      </c>
      <c r="E23" s="119" t="str">
        <f t="shared" si="1"/>
        <v>Not selected</v>
      </c>
      <c r="F23" s="115" t="str">
        <f t="shared" si="2"/>
        <v>Not selected</v>
      </c>
      <c r="G23" s="120"/>
      <c r="H23" s="121"/>
      <c r="I23" s="122"/>
      <c r="J23" s="123"/>
      <c r="K23" s="113" t="str">
        <f t="shared" si="3"/>
        <v>Not selected</v>
      </c>
      <c r="L23" s="114" t="str">
        <f t="shared" si="4"/>
        <v>Not selected</v>
      </c>
      <c r="M23" s="115" t="str">
        <f t="shared" si="5"/>
        <v>Not selected</v>
      </c>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c r="BM23" s="98"/>
      <c r="BN23" s="98"/>
      <c r="BO23" s="98"/>
      <c r="BP23" s="98"/>
      <c r="BQ23" s="98"/>
      <c r="BR23" s="98"/>
      <c r="BS23" s="98"/>
      <c r="BT23" s="98"/>
      <c r="BU23" s="98"/>
      <c r="BV23" s="98"/>
      <c r="BW23" s="98"/>
      <c r="BX23" s="98"/>
      <c r="BY23" s="98"/>
      <c r="BZ23" s="98"/>
      <c r="CA23" s="98"/>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H23" s="98"/>
      <c r="DI23" s="98"/>
      <c r="DJ23" s="98"/>
      <c r="DK23" s="98"/>
      <c r="DL23" s="98"/>
    </row>
    <row r="24" spans="1:116" s="99" customFormat="1" ht="14" x14ac:dyDescent="0.2">
      <c r="A24" s="98"/>
      <c r="B24" s="29" t="s">
        <v>60</v>
      </c>
      <c r="C24" s="117">
        <v>0</v>
      </c>
      <c r="D24" s="118" t="str">
        <f t="shared" si="0"/>
        <v>Not selected</v>
      </c>
      <c r="E24" s="119" t="str">
        <f t="shared" si="1"/>
        <v>Not selected</v>
      </c>
      <c r="F24" s="115" t="str">
        <f t="shared" si="2"/>
        <v>Not selected</v>
      </c>
      <c r="G24" s="120"/>
      <c r="H24" s="121"/>
      <c r="I24" s="122"/>
      <c r="J24" s="123"/>
      <c r="K24" s="113" t="str">
        <f t="shared" si="3"/>
        <v>Not selected</v>
      </c>
      <c r="L24" s="114" t="str">
        <f t="shared" si="4"/>
        <v>Not selected</v>
      </c>
      <c r="M24" s="115" t="str">
        <f t="shared" si="5"/>
        <v>Not selected</v>
      </c>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c r="BA24" s="98"/>
      <c r="BB24" s="98"/>
      <c r="BC24" s="98"/>
      <c r="BD24" s="98"/>
      <c r="BE24" s="98"/>
      <c r="BF24" s="98"/>
      <c r="BG24" s="98"/>
      <c r="BH24" s="98"/>
      <c r="BI24" s="98"/>
      <c r="BJ24" s="98"/>
      <c r="BK24" s="98"/>
      <c r="BL24" s="98"/>
      <c r="BM24" s="98"/>
      <c r="BN24" s="98"/>
      <c r="BO24" s="98"/>
      <c r="BP24" s="98"/>
      <c r="BQ24" s="98"/>
      <c r="BR24" s="98"/>
      <c r="BS24" s="98"/>
      <c r="BT24" s="98"/>
      <c r="BU24" s="98"/>
      <c r="BV24" s="98"/>
      <c r="BW24" s="98"/>
      <c r="BX24" s="98"/>
      <c r="BY24" s="98"/>
      <c r="BZ24" s="98"/>
      <c r="CA24" s="98"/>
      <c r="CB24" s="98"/>
      <c r="CC24" s="98"/>
      <c r="CD24" s="98"/>
      <c r="CE24" s="98"/>
      <c r="CF24" s="98"/>
      <c r="CG24" s="98"/>
      <c r="CH24" s="98"/>
      <c r="CI24" s="9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H24" s="98"/>
      <c r="DI24" s="98"/>
      <c r="DJ24" s="98"/>
      <c r="DK24" s="98"/>
      <c r="DL24" s="98"/>
    </row>
    <row r="25" spans="1:116" s="99" customFormat="1" ht="14" x14ac:dyDescent="0.2">
      <c r="A25" s="98"/>
      <c r="B25" s="29" t="s">
        <v>60</v>
      </c>
      <c r="C25" s="117">
        <v>0</v>
      </c>
      <c r="D25" s="118" t="str">
        <f t="shared" si="0"/>
        <v>Not selected</v>
      </c>
      <c r="E25" s="119" t="str">
        <f t="shared" si="1"/>
        <v>Not selected</v>
      </c>
      <c r="F25" s="115" t="str">
        <f t="shared" si="2"/>
        <v>Not selected</v>
      </c>
      <c r="G25" s="120"/>
      <c r="H25" s="121"/>
      <c r="I25" s="122"/>
      <c r="J25" s="123"/>
      <c r="K25" s="113" t="str">
        <f t="shared" si="3"/>
        <v>Not selected</v>
      </c>
      <c r="L25" s="114" t="str">
        <f t="shared" si="4"/>
        <v>Not selected</v>
      </c>
      <c r="M25" s="115" t="str">
        <f t="shared" si="5"/>
        <v>Not selected</v>
      </c>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8"/>
      <c r="BA25" s="98"/>
      <c r="BB25" s="98"/>
      <c r="BC25" s="98"/>
      <c r="BD25" s="98"/>
      <c r="BE25" s="98"/>
      <c r="BF25" s="98"/>
      <c r="BG25" s="98"/>
      <c r="BH25" s="98"/>
      <c r="BI25" s="98"/>
      <c r="BJ25" s="98"/>
      <c r="BK25" s="98"/>
      <c r="BL25" s="98"/>
      <c r="BM25" s="98"/>
      <c r="BN25" s="98"/>
      <c r="BO25" s="98"/>
      <c r="BP25" s="98"/>
      <c r="BQ25" s="98"/>
      <c r="BR25" s="98"/>
      <c r="BS25" s="98"/>
      <c r="BT25" s="98"/>
      <c r="BU25" s="98"/>
      <c r="BV25" s="98"/>
      <c r="BW25" s="98"/>
      <c r="BX25" s="98"/>
      <c r="BY25" s="98"/>
      <c r="BZ25" s="98"/>
      <c r="CA25" s="98"/>
      <c r="CB25" s="98"/>
      <c r="CC25" s="98"/>
      <c r="CD25" s="98"/>
      <c r="CE25" s="98"/>
      <c r="CF25" s="98"/>
      <c r="CG25" s="98"/>
      <c r="CH25" s="98"/>
      <c r="CI25" s="98"/>
      <c r="CJ25" s="98"/>
      <c r="CK25" s="98"/>
      <c r="CL25" s="98"/>
      <c r="CM25" s="98"/>
      <c r="CN25" s="98"/>
      <c r="CO25" s="98"/>
      <c r="CP25" s="98"/>
      <c r="CQ25" s="98"/>
      <c r="CR25" s="98"/>
      <c r="CS25" s="98"/>
      <c r="CT25" s="98"/>
      <c r="CU25" s="98"/>
      <c r="CV25" s="98"/>
      <c r="CW25" s="98"/>
      <c r="CX25" s="98"/>
      <c r="CY25" s="98"/>
      <c r="CZ25" s="98"/>
      <c r="DA25" s="98"/>
      <c r="DB25" s="98"/>
      <c r="DC25" s="98"/>
      <c r="DD25" s="98"/>
      <c r="DE25" s="98"/>
      <c r="DF25" s="98"/>
      <c r="DG25" s="98"/>
      <c r="DH25" s="98"/>
      <c r="DI25" s="98"/>
      <c r="DJ25" s="98"/>
      <c r="DK25" s="98"/>
      <c r="DL25" s="98"/>
    </row>
    <row r="26" spans="1:116" s="99" customFormat="1" ht="14" x14ac:dyDescent="0.2">
      <c r="A26" s="98"/>
      <c r="B26" s="29" t="s">
        <v>60</v>
      </c>
      <c r="C26" s="117">
        <v>0</v>
      </c>
      <c r="D26" s="118" t="str">
        <f t="shared" si="0"/>
        <v>Not selected</v>
      </c>
      <c r="E26" s="119" t="str">
        <f t="shared" si="1"/>
        <v>Not selected</v>
      </c>
      <c r="F26" s="115" t="str">
        <f t="shared" si="2"/>
        <v>Not selected</v>
      </c>
      <c r="G26" s="120"/>
      <c r="H26" s="121"/>
      <c r="I26" s="122"/>
      <c r="J26" s="123"/>
      <c r="K26" s="113" t="str">
        <f t="shared" si="3"/>
        <v>Not selected</v>
      </c>
      <c r="L26" s="114" t="str">
        <f t="shared" si="4"/>
        <v>Not selected</v>
      </c>
      <c r="M26" s="115" t="str">
        <f t="shared" si="5"/>
        <v>Not selected</v>
      </c>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98"/>
      <c r="AM26" s="98"/>
      <c r="AN26" s="98"/>
      <c r="AO26" s="98"/>
      <c r="AP26" s="98"/>
      <c r="AQ26" s="98"/>
      <c r="AR26" s="98"/>
      <c r="AS26" s="98"/>
      <c r="AT26" s="98"/>
      <c r="AU26" s="98"/>
      <c r="AV26" s="98"/>
      <c r="AW26" s="98"/>
      <c r="AX26" s="98"/>
      <c r="AY26" s="98"/>
      <c r="AZ26" s="98"/>
      <c r="BA26" s="98"/>
      <c r="BB26" s="98"/>
      <c r="BC26" s="98"/>
      <c r="BD26" s="98"/>
      <c r="BE26" s="98"/>
      <c r="BF26" s="98"/>
      <c r="BG26" s="98"/>
      <c r="BH26" s="98"/>
      <c r="BI26" s="98"/>
      <c r="BJ26" s="98"/>
      <c r="BK26" s="98"/>
      <c r="BL26" s="98"/>
      <c r="BM26" s="98"/>
      <c r="BN26" s="98"/>
      <c r="BO26" s="98"/>
      <c r="BP26" s="98"/>
      <c r="BQ26" s="98"/>
      <c r="BR26" s="98"/>
      <c r="BS26" s="98"/>
      <c r="BT26" s="98"/>
      <c r="BU26" s="98"/>
      <c r="BV26" s="98"/>
      <c r="BW26" s="98"/>
      <c r="BX26" s="98"/>
      <c r="BY26" s="98"/>
      <c r="BZ26" s="98"/>
      <c r="CA26" s="98"/>
      <c r="CB26" s="98"/>
      <c r="CC26" s="98"/>
      <c r="CD26" s="98"/>
      <c r="CE26" s="98"/>
      <c r="CF26" s="98"/>
      <c r="CG26" s="98"/>
      <c r="CH26" s="98"/>
      <c r="CI26" s="9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H26" s="98"/>
      <c r="DI26" s="98"/>
      <c r="DJ26" s="98"/>
      <c r="DK26" s="98"/>
      <c r="DL26" s="98"/>
    </row>
    <row r="27" spans="1:116" s="99" customFormat="1" ht="14" x14ac:dyDescent="0.2">
      <c r="A27" s="98"/>
      <c r="B27" s="29" t="s">
        <v>60</v>
      </c>
      <c r="C27" s="117">
        <v>0</v>
      </c>
      <c r="D27" s="118" t="str">
        <f t="shared" si="0"/>
        <v>Not selected</v>
      </c>
      <c r="E27" s="119" t="str">
        <f t="shared" si="1"/>
        <v>Not selected</v>
      </c>
      <c r="F27" s="115" t="str">
        <f t="shared" si="2"/>
        <v>Not selected</v>
      </c>
      <c r="G27" s="120"/>
      <c r="H27" s="121"/>
      <c r="I27" s="122"/>
      <c r="J27" s="123"/>
      <c r="K27" s="113" t="str">
        <f t="shared" si="3"/>
        <v>Not selected</v>
      </c>
      <c r="L27" s="114" t="str">
        <f t="shared" si="4"/>
        <v>Not selected</v>
      </c>
      <c r="M27" s="115" t="str">
        <f t="shared" si="5"/>
        <v>Not selected</v>
      </c>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c r="BA27" s="98"/>
      <c r="BB27" s="98"/>
      <c r="BC27" s="98"/>
      <c r="BD27" s="98"/>
      <c r="BE27" s="98"/>
      <c r="BF27" s="98"/>
      <c r="BG27" s="98"/>
      <c r="BH27" s="98"/>
      <c r="BI27" s="98"/>
      <c r="BJ27" s="98"/>
      <c r="BK27" s="98"/>
      <c r="BL27" s="98"/>
      <c r="BM27" s="98"/>
      <c r="BN27" s="98"/>
      <c r="BO27" s="98"/>
      <c r="BP27" s="98"/>
      <c r="BQ27" s="98"/>
      <c r="BR27" s="98"/>
      <c r="BS27" s="98"/>
      <c r="BT27" s="98"/>
      <c r="BU27" s="98"/>
      <c r="BV27" s="98"/>
      <c r="BW27" s="98"/>
      <c r="BX27" s="98"/>
      <c r="BY27" s="98"/>
      <c r="BZ27" s="98"/>
      <c r="CA27" s="98"/>
      <c r="CB27" s="98"/>
      <c r="CC27" s="98"/>
      <c r="CD27" s="98"/>
      <c r="CE27" s="98"/>
      <c r="CF27" s="98"/>
      <c r="CG27" s="98"/>
      <c r="CH27" s="98"/>
      <c r="CI27" s="98"/>
      <c r="CJ27" s="98"/>
      <c r="CK27" s="98"/>
      <c r="CL27" s="98"/>
      <c r="CM27" s="98"/>
      <c r="CN27" s="98"/>
      <c r="CO27" s="98"/>
      <c r="CP27" s="98"/>
      <c r="CQ27" s="98"/>
      <c r="CR27" s="98"/>
      <c r="CS27" s="98"/>
      <c r="CT27" s="98"/>
      <c r="CU27" s="98"/>
      <c r="CV27" s="98"/>
      <c r="CW27" s="98"/>
      <c r="CX27" s="98"/>
      <c r="CY27" s="98"/>
      <c r="CZ27" s="98"/>
      <c r="DA27" s="98"/>
      <c r="DB27" s="98"/>
      <c r="DC27" s="98"/>
      <c r="DD27" s="98"/>
      <c r="DE27" s="98"/>
      <c r="DF27" s="98"/>
      <c r="DG27" s="98"/>
      <c r="DH27" s="98"/>
      <c r="DI27" s="98"/>
      <c r="DJ27" s="98"/>
      <c r="DK27" s="98"/>
      <c r="DL27" s="98"/>
    </row>
    <row r="28" spans="1:116" s="2" customFormat="1" ht="14" x14ac:dyDescent="0.2">
      <c r="A28" s="10"/>
      <c r="B28" s="29" t="s">
        <v>60</v>
      </c>
      <c r="C28" s="117">
        <v>0</v>
      </c>
      <c r="D28" s="118" t="str">
        <f t="shared" si="0"/>
        <v>Not selected</v>
      </c>
      <c r="E28" s="119" t="str">
        <f t="shared" si="1"/>
        <v>Not selected</v>
      </c>
      <c r="F28" s="115" t="str">
        <f t="shared" si="2"/>
        <v>Not selected</v>
      </c>
      <c r="G28" s="120"/>
      <c r="H28" s="121"/>
      <c r="I28" s="121"/>
      <c r="J28" s="124"/>
      <c r="K28" s="113" t="str">
        <f t="shared" si="3"/>
        <v>Not selected</v>
      </c>
      <c r="L28" s="114" t="str">
        <f t="shared" si="4"/>
        <v>Not selected</v>
      </c>
      <c r="M28" s="115" t="str">
        <f t="shared" si="5"/>
        <v>Not selected</v>
      </c>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row>
    <row r="29" spans="1:116" s="2" customFormat="1" ht="14" x14ac:dyDescent="0.2">
      <c r="A29" s="10"/>
      <c r="B29" s="29" t="s">
        <v>60</v>
      </c>
      <c r="C29" s="117">
        <v>0</v>
      </c>
      <c r="D29" s="118" t="str">
        <f t="shared" si="0"/>
        <v>Not selected</v>
      </c>
      <c r="E29" s="119" t="str">
        <f t="shared" si="1"/>
        <v>Not selected</v>
      </c>
      <c r="F29" s="115" t="str">
        <f t="shared" si="2"/>
        <v>Not selected</v>
      </c>
      <c r="G29" s="120"/>
      <c r="H29" s="121"/>
      <c r="I29" s="121"/>
      <c r="J29" s="124"/>
      <c r="K29" s="113" t="str">
        <f t="shared" si="3"/>
        <v>Not selected</v>
      </c>
      <c r="L29" s="114" t="str">
        <f t="shared" si="4"/>
        <v>Not selected</v>
      </c>
      <c r="M29" s="115" t="str">
        <f t="shared" si="5"/>
        <v>Not selected</v>
      </c>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row>
    <row r="30" spans="1:116" s="2" customFormat="1" ht="14" x14ac:dyDescent="0.2">
      <c r="A30" s="10"/>
      <c r="B30" s="29" t="s">
        <v>60</v>
      </c>
      <c r="C30" s="117">
        <v>0</v>
      </c>
      <c r="D30" s="118" t="str">
        <f t="shared" si="0"/>
        <v>Not selected</v>
      </c>
      <c r="E30" s="119" t="str">
        <f t="shared" si="1"/>
        <v>Not selected</v>
      </c>
      <c r="F30" s="115" t="str">
        <f t="shared" si="2"/>
        <v>Not selected</v>
      </c>
      <c r="G30" s="120"/>
      <c r="H30" s="121"/>
      <c r="I30" s="121"/>
      <c r="J30" s="124"/>
      <c r="K30" s="113" t="str">
        <f t="shared" si="3"/>
        <v>Not selected</v>
      </c>
      <c r="L30" s="114" t="str">
        <f t="shared" si="4"/>
        <v>Not selected</v>
      </c>
      <c r="M30" s="115" t="str">
        <f t="shared" si="5"/>
        <v>Not selected</v>
      </c>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row>
    <row r="31" spans="1:116" s="2" customFormat="1" ht="14" x14ac:dyDescent="0.2">
      <c r="A31" s="10"/>
      <c r="B31" s="29" t="s">
        <v>60</v>
      </c>
      <c r="C31" s="117">
        <v>0</v>
      </c>
      <c r="D31" s="118" t="str">
        <f t="shared" si="0"/>
        <v>Not selected</v>
      </c>
      <c r="E31" s="119" t="str">
        <f t="shared" si="1"/>
        <v>Not selected</v>
      </c>
      <c r="F31" s="115" t="str">
        <f t="shared" si="2"/>
        <v>Not selected</v>
      </c>
      <c r="G31" s="120"/>
      <c r="H31" s="121"/>
      <c r="I31" s="121"/>
      <c r="J31" s="124"/>
      <c r="K31" s="113" t="str">
        <f t="shared" si="3"/>
        <v>Not selected</v>
      </c>
      <c r="L31" s="114" t="str">
        <f t="shared" si="4"/>
        <v>Not selected</v>
      </c>
      <c r="M31" s="115" t="str">
        <f t="shared" si="5"/>
        <v>Not selected</v>
      </c>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row>
    <row r="32" spans="1:116" s="2" customFormat="1" ht="14" x14ac:dyDescent="0.2">
      <c r="A32" s="10"/>
      <c r="B32" s="29" t="s">
        <v>60</v>
      </c>
      <c r="C32" s="117">
        <v>0</v>
      </c>
      <c r="D32" s="118" t="str">
        <f t="shared" si="0"/>
        <v>Not selected</v>
      </c>
      <c r="E32" s="119" t="str">
        <f t="shared" si="1"/>
        <v>Not selected</v>
      </c>
      <c r="F32" s="115" t="str">
        <f t="shared" si="2"/>
        <v>Not selected</v>
      </c>
      <c r="G32" s="120"/>
      <c r="H32" s="121"/>
      <c r="I32" s="121"/>
      <c r="J32" s="124"/>
      <c r="K32" s="113" t="str">
        <f t="shared" si="3"/>
        <v>Not selected</v>
      </c>
      <c r="L32" s="114" t="str">
        <f t="shared" si="4"/>
        <v>Not selected</v>
      </c>
      <c r="M32" s="115" t="str">
        <f t="shared" si="5"/>
        <v>Not selected</v>
      </c>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row>
    <row r="33" spans="1:116" s="2" customFormat="1" ht="14" x14ac:dyDescent="0.2">
      <c r="A33" s="10"/>
      <c r="B33" s="29" t="s">
        <v>60</v>
      </c>
      <c r="C33" s="117">
        <v>0</v>
      </c>
      <c r="D33" s="118" t="str">
        <f t="shared" si="0"/>
        <v>Not selected</v>
      </c>
      <c r="E33" s="119" t="str">
        <f t="shared" si="1"/>
        <v>Not selected</v>
      </c>
      <c r="F33" s="115" t="str">
        <f t="shared" si="2"/>
        <v>Not selected</v>
      </c>
      <c r="G33" s="120"/>
      <c r="H33" s="121"/>
      <c r="I33" s="121"/>
      <c r="J33" s="124"/>
      <c r="K33" s="113" t="str">
        <f t="shared" si="3"/>
        <v>Not selected</v>
      </c>
      <c r="L33" s="114" t="str">
        <f t="shared" si="4"/>
        <v>Not selected</v>
      </c>
      <c r="M33" s="115" t="str">
        <f t="shared" si="5"/>
        <v>Not selected</v>
      </c>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row>
    <row r="34" spans="1:116" s="2" customFormat="1" ht="14" x14ac:dyDescent="0.2">
      <c r="A34" s="10"/>
      <c r="B34" s="29" t="s">
        <v>60</v>
      </c>
      <c r="C34" s="117">
        <v>0</v>
      </c>
      <c r="D34" s="118" t="str">
        <f t="shared" si="0"/>
        <v>Not selected</v>
      </c>
      <c r="E34" s="119" t="str">
        <f t="shared" si="1"/>
        <v>Not selected</v>
      </c>
      <c r="F34" s="115" t="str">
        <f t="shared" si="2"/>
        <v>Not selected</v>
      </c>
      <c r="G34" s="120"/>
      <c r="H34" s="121"/>
      <c r="I34" s="121"/>
      <c r="J34" s="124"/>
      <c r="K34" s="113" t="str">
        <f t="shared" si="3"/>
        <v>Not selected</v>
      </c>
      <c r="L34" s="114" t="str">
        <f t="shared" si="4"/>
        <v>Not selected</v>
      </c>
      <c r="M34" s="115" t="str">
        <f t="shared" si="5"/>
        <v>Not selected</v>
      </c>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row>
    <row r="35" spans="1:116" s="2" customFormat="1" ht="14" x14ac:dyDescent="0.2">
      <c r="A35" s="10"/>
      <c r="B35" s="29" t="s">
        <v>60</v>
      </c>
      <c r="C35" s="117">
        <v>0</v>
      </c>
      <c r="D35" s="118" t="str">
        <f t="shared" si="0"/>
        <v>Not selected</v>
      </c>
      <c r="E35" s="119" t="str">
        <f t="shared" si="1"/>
        <v>Not selected</v>
      </c>
      <c r="F35" s="115" t="str">
        <f t="shared" si="2"/>
        <v>Not selected</v>
      </c>
      <c r="G35" s="120"/>
      <c r="H35" s="121"/>
      <c r="I35" s="121"/>
      <c r="J35" s="124"/>
      <c r="K35" s="113" t="str">
        <f t="shared" si="3"/>
        <v>Not selected</v>
      </c>
      <c r="L35" s="114" t="str">
        <f t="shared" si="4"/>
        <v>Not selected</v>
      </c>
      <c r="M35" s="115" t="str">
        <f t="shared" si="5"/>
        <v>Not selected</v>
      </c>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row>
    <row r="36" spans="1:116" s="2" customFormat="1" ht="14" x14ac:dyDescent="0.2">
      <c r="A36" s="10"/>
      <c r="B36" s="29" t="s">
        <v>60</v>
      </c>
      <c r="C36" s="117">
        <v>0</v>
      </c>
      <c r="D36" s="118" t="str">
        <f t="shared" si="0"/>
        <v>Not selected</v>
      </c>
      <c r="E36" s="119" t="str">
        <f t="shared" si="1"/>
        <v>Not selected</v>
      </c>
      <c r="F36" s="115" t="str">
        <f t="shared" si="2"/>
        <v>Not selected</v>
      </c>
      <c r="G36" s="120"/>
      <c r="H36" s="121"/>
      <c r="I36" s="121"/>
      <c r="J36" s="124"/>
      <c r="K36" s="113" t="str">
        <f t="shared" si="3"/>
        <v>Not selected</v>
      </c>
      <c r="L36" s="114" t="str">
        <f t="shared" si="4"/>
        <v>Not selected</v>
      </c>
      <c r="M36" s="115" t="str">
        <f t="shared" si="5"/>
        <v>Not selected</v>
      </c>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row>
    <row r="37" spans="1:116" s="2" customFormat="1" ht="14" x14ac:dyDescent="0.2">
      <c r="A37" s="10"/>
      <c r="B37" s="29" t="s">
        <v>60</v>
      </c>
      <c r="C37" s="117">
        <v>0</v>
      </c>
      <c r="D37" s="118" t="str">
        <f t="shared" si="0"/>
        <v>Not selected</v>
      </c>
      <c r="E37" s="119" t="str">
        <f t="shared" si="1"/>
        <v>Not selected</v>
      </c>
      <c r="F37" s="115" t="str">
        <f t="shared" si="2"/>
        <v>Not selected</v>
      </c>
      <c r="G37" s="120"/>
      <c r="H37" s="121"/>
      <c r="I37" s="121"/>
      <c r="J37" s="124"/>
      <c r="K37" s="113" t="str">
        <f t="shared" si="3"/>
        <v>Not selected</v>
      </c>
      <c r="L37" s="114" t="str">
        <f t="shared" si="4"/>
        <v>Not selected</v>
      </c>
      <c r="M37" s="115" t="str">
        <f t="shared" si="5"/>
        <v>Not selected</v>
      </c>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row>
    <row r="38" spans="1:116" s="2" customFormat="1" ht="14" x14ac:dyDescent="0.2">
      <c r="A38" s="10"/>
      <c r="B38" s="29" t="s">
        <v>60</v>
      </c>
      <c r="C38" s="117">
        <v>0</v>
      </c>
      <c r="D38" s="118" t="str">
        <f t="shared" si="0"/>
        <v>Not selected</v>
      </c>
      <c r="E38" s="119" t="str">
        <f t="shared" si="1"/>
        <v>Not selected</v>
      </c>
      <c r="F38" s="115" t="str">
        <f t="shared" si="2"/>
        <v>Not selected</v>
      </c>
      <c r="G38" s="120"/>
      <c r="H38" s="121"/>
      <c r="I38" s="121"/>
      <c r="J38" s="124"/>
      <c r="K38" s="113" t="str">
        <f t="shared" si="3"/>
        <v>Not selected</v>
      </c>
      <c r="L38" s="114" t="str">
        <f t="shared" si="4"/>
        <v>Not selected</v>
      </c>
      <c r="M38" s="115" t="str">
        <f t="shared" si="5"/>
        <v>Not selected</v>
      </c>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row>
    <row r="39" spans="1:116" s="2" customFormat="1" ht="14" x14ac:dyDescent="0.2">
      <c r="A39" s="10"/>
      <c r="B39" s="29" t="s">
        <v>60</v>
      </c>
      <c r="C39" s="117">
        <v>0</v>
      </c>
      <c r="D39" s="118" t="str">
        <f t="shared" si="0"/>
        <v>Not selected</v>
      </c>
      <c r="E39" s="119" t="str">
        <f t="shared" si="1"/>
        <v>Not selected</v>
      </c>
      <c r="F39" s="115" t="str">
        <f t="shared" si="2"/>
        <v>Not selected</v>
      </c>
      <c r="G39" s="120"/>
      <c r="H39" s="121"/>
      <c r="I39" s="121"/>
      <c r="J39" s="124"/>
      <c r="K39" s="113" t="str">
        <f t="shared" si="3"/>
        <v>Not selected</v>
      </c>
      <c r="L39" s="114" t="str">
        <f t="shared" si="4"/>
        <v>Not selected</v>
      </c>
      <c r="M39" s="115" t="str">
        <f t="shared" si="5"/>
        <v>Not selected</v>
      </c>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row>
    <row r="40" spans="1:116" s="2" customFormat="1" ht="14" x14ac:dyDescent="0.2">
      <c r="A40" s="10"/>
      <c r="B40" s="29" t="s">
        <v>60</v>
      </c>
      <c r="C40" s="117">
        <v>0</v>
      </c>
      <c r="D40" s="118" t="str">
        <f t="shared" si="0"/>
        <v>Not selected</v>
      </c>
      <c r="E40" s="119" t="str">
        <f t="shared" si="1"/>
        <v>Not selected</v>
      </c>
      <c r="F40" s="115" t="str">
        <f t="shared" si="2"/>
        <v>Not selected</v>
      </c>
      <c r="G40" s="120"/>
      <c r="H40" s="121"/>
      <c r="I40" s="121"/>
      <c r="J40" s="124"/>
      <c r="K40" s="113" t="str">
        <f t="shared" si="3"/>
        <v>Not selected</v>
      </c>
      <c r="L40" s="114" t="str">
        <f t="shared" si="4"/>
        <v>Not selected</v>
      </c>
      <c r="M40" s="115" t="str">
        <f t="shared" si="5"/>
        <v>Not selected</v>
      </c>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row>
    <row r="41" spans="1:116" s="2" customFormat="1" ht="14" x14ac:dyDescent="0.2">
      <c r="A41" s="10"/>
      <c r="B41" s="29" t="s">
        <v>60</v>
      </c>
      <c r="C41" s="117">
        <v>0</v>
      </c>
      <c r="D41" s="118" t="str">
        <f t="shared" si="0"/>
        <v>Not selected</v>
      </c>
      <c r="E41" s="119" t="str">
        <f t="shared" si="1"/>
        <v>Not selected</v>
      </c>
      <c r="F41" s="115" t="str">
        <f t="shared" si="2"/>
        <v>Not selected</v>
      </c>
      <c r="G41" s="120"/>
      <c r="H41" s="121"/>
      <c r="I41" s="121"/>
      <c r="J41" s="124"/>
      <c r="K41" s="113" t="str">
        <f t="shared" si="3"/>
        <v>Not selected</v>
      </c>
      <c r="L41" s="114" t="str">
        <f t="shared" si="4"/>
        <v>Not selected</v>
      </c>
      <c r="M41" s="115" t="str">
        <f t="shared" si="5"/>
        <v>Not selected</v>
      </c>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row>
    <row r="42" spans="1:116" s="2" customFormat="1" ht="14" x14ac:dyDescent="0.2">
      <c r="A42" s="10"/>
      <c r="B42" s="29" t="s">
        <v>60</v>
      </c>
      <c r="C42" s="117">
        <v>0</v>
      </c>
      <c r="D42" s="118" t="str">
        <f t="shared" si="0"/>
        <v>Not selected</v>
      </c>
      <c r="E42" s="119" t="str">
        <f t="shared" si="1"/>
        <v>Not selected</v>
      </c>
      <c r="F42" s="115" t="str">
        <f t="shared" si="2"/>
        <v>Not selected</v>
      </c>
      <c r="G42" s="120"/>
      <c r="H42" s="121"/>
      <c r="I42" s="121"/>
      <c r="J42" s="124"/>
      <c r="K42" s="113" t="str">
        <f t="shared" si="3"/>
        <v>Not selected</v>
      </c>
      <c r="L42" s="114" t="str">
        <f t="shared" si="4"/>
        <v>Not selected</v>
      </c>
      <c r="M42" s="115" t="str">
        <f t="shared" si="5"/>
        <v>Not selected</v>
      </c>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row>
    <row r="43" spans="1:116" s="2" customFormat="1" ht="14" x14ac:dyDescent="0.2">
      <c r="A43" s="10"/>
      <c r="B43" s="29" t="s">
        <v>60</v>
      </c>
      <c r="C43" s="117">
        <v>0</v>
      </c>
      <c r="D43" s="118" t="str">
        <f t="shared" si="0"/>
        <v>Not selected</v>
      </c>
      <c r="E43" s="119" t="str">
        <f t="shared" si="1"/>
        <v>Not selected</v>
      </c>
      <c r="F43" s="115" t="str">
        <f t="shared" si="2"/>
        <v>Not selected</v>
      </c>
      <c r="G43" s="120"/>
      <c r="H43" s="121"/>
      <c r="I43" s="121"/>
      <c r="J43" s="124"/>
      <c r="K43" s="113" t="str">
        <f t="shared" si="3"/>
        <v>Not selected</v>
      </c>
      <c r="L43" s="114" t="str">
        <f t="shared" si="4"/>
        <v>Not selected</v>
      </c>
      <c r="M43" s="115" t="str">
        <f t="shared" si="5"/>
        <v>Not selected</v>
      </c>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row>
    <row r="44" spans="1:116" s="2" customFormat="1" ht="14" x14ac:dyDescent="0.2">
      <c r="A44" s="10"/>
      <c r="B44" s="29" t="s">
        <v>60</v>
      </c>
      <c r="C44" s="117">
        <v>0</v>
      </c>
      <c r="D44" s="118" t="str">
        <f t="shared" si="0"/>
        <v>Not selected</v>
      </c>
      <c r="E44" s="119" t="str">
        <f t="shared" si="1"/>
        <v>Not selected</v>
      </c>
      <c r="F44" s="115" t="str">
        <f t="shared" si="2"/>
        <v>Not selected</v>
      </c>
      <c r="G44" s="120"/>
      <c r="H44" s="121"/>
      <c r="I44" s="121"/>
      <c r="J44" s="124"/>
      <c r="K44" s="113" t="str">
        <f t="shared" si="3"/>
        <v>Not selected</v>
      </c>
      <c r="L44" s="114" t="str">
        <f t="shared" si="4"/>
        <v>Not selected</v>
      </c>
      <c r="M44" s="115" t="str">
        <f t="shared" si="5"/>
        <v>Not selected</v>
      </c>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row>
    <row r="45" spans="1:116" s="2" customFormat="1" ht="14" x14ac:dyDescent="0.2">
      <c r="A45" s="10"/>
      <c r="B45" s="29" t="s">
        <v>60</v>
      </c>
      <c r="C45" s="117">
        <v>0</v>
      </c>
      <c r="D45" s="118" t="str">
        <f t="shared" si="0"/>
        <v>Not selected</v>
      </c>
      <c r="E45" s="119" t="str">
        <f t="shared" si="1"/>
        <v>Not selected</v>
      </c>
      <c r="F45" s="115" t="str">
        <f t="shared" si="2"/>
        <v>Not selected</v>
      </c>
      <c r="G45" s="120"/>
      <c r="H45" s="121"/>
      <c r="I45" s="121"/>
      <c r="J45" s="124"/>
      <c r="K45" s="113" t="str">
        <f t="shared" si="3"/>
        <v>Not selected</v>
      </c>
      <c r="L45" s="114" t="str">
        <f t="shared" si="4"/>
        <v>Not selected</v>
      </c>
      <c r="M45" s="115" t="str">
        <f t="shared" si="5"/>
        <v>Not selected</v>
      </c>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row>
    <row r="46" spans="1:116" s="2" customFormat="1" ht="14" x14ac:dyDescent="0.2">
      <c r="A46" s="10"/>
      <c r="B46" s="29" t="s">
        <v>60</v>
      </c>
      <c r="C46" s="117">
        <v>0</v>
      </c>
      <c r="D46" s="118" t="str">
        <f t="shared" si="0"/>
        <v>Not selected</v>
      </c>
      <c r="E46" s="119" t="str">
        <f t="shared" si="1"/>
        <v>Not selected</v>
      </c>
      <c r="F46" s="115" t="str">
        <f t="shared" si="2"/>
        <v>Not selected</v>
      </c>
      <c r="G46" s="120"/>
      <c r="H46" s="121"/>
      <c r="I46" s="121"/>
      <c r="J46" s="124"/>
      <c r="K46" s="113" t="str">
        <f t="shared" si="3"/>
        <v>Not selected</v>
      </c>
      <c r="L46" s="114" t="str">
        <f t="shared" si="4"/>
        <v>Not selected</v>
      </c>
      <c r="M46" s="115" t="str">
        <f t="shared" si="5"/>
        <v>Not selected</v>
      </c>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row>
    <row r="47" spans="1:116" s="2" customFormat="1" ht="14" x14ac:dyDescent="0.2">
      <c r="A47" s="10"/>
      <c r="B47" s="29" t="s">
        <v>60</v>
      </c>
      <c r="C47" s="117">
        <v>0</v>
      </c>
      <c r="D47" s="118" t="str">
        <f t="shared" si="0"/>
        <v>Not selected</v>
      </c>
      <c r="E47" s="119" t="str">
        <f t="shared" si="1"/>
        <v>Not selected</v>
      </c>
      <c r="F47" s="115" t="str">
        <f t="shared" si="2"/>
        <v>Not selected</v>
      </c>
      <c r="G47" s="120"/>
      <c r="H47" s="121"/>
      <c r="I47" s="121"/>
      <c r="J47" s="124"/>
      <c r="K47" s="113" t="str">
        <f t="shared" si="3"/>
        <v>Not selected</v>
      </c>
      <c r="L47" s="114" t="str">
        <f t="shared" si="4"/>
        <v>Not selected</v>
      </c>
      <c r="M47" s="115" t="str">
        <f t="shared" si="5"/>
        <v>Not selected</v>
      </c>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row>
    <row r="48" spans="1:116" s="2" customFormat="1" ht="14" x14ac:dyDescent="0.2">
      <c r="A48" s="10"/>
      <c r="B48" s="29" t="s">
        <v>60</v>
      </c>
      <c r="C48" s="117">
        <v>0</v>
      </c>
      <c r="D48" s="118" t="str">
        <f t="shared" si="0"/>
        <v>Not selected</v>
      </c>
      <c r="E48" s="119" t="str">
        <f t="shared" si="1"/>
        <v>Not selected</v>
      </c>
      <c r="F48" s="115" t="str">
        <f t="shared" si="2"/>
        <v>Not selected</v>
      </c>
      <c r="G48" s="120"/>
      <c r="H48" s="121"/>
      <c r="I48" s="121"/>
      <c r="J48" s="124"/>
      <c r="K48" s="113" t="str">
        <f t="shared" si="3"/>
        <v>Not selected</v>
      </c>
      <c r="L48" s="114" t="str">
        <f t="shared" si="4"/>
        <v>Not selected</v>
      </c>
      <c r="M48" s="115" t="str">
        <f t="shared" si="5"/>
        <v>Not selected</v>
      </c>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row>
    <row r="49" spans="1:116" s="2" customFormat="1" ht="14" x14ac:dyDescent="0.2">
      <c r="A49" s="10"/>
      <c r="B49" s="29" t="s">
        <v>60</v>
      </c>
      <c r="C49" s="117">
        <v>0</v>
      </c>
      <c r="D49" s="118" t="str">
        <f t="shared" si="0"/>
        <v>Not selected</v>
      </c>
      <c r="E49" s="119" t="str">
        <f t="shared" si="1"/>
        <v>Not selected</v>
      </c>
      <c r="F49" s="115" t="str">
        <f t="shared" si="2"/>
        <v>Not selected</v>
      </c>
      <c r="G49" s="120"/>
      <c r="H49" s="121"/>
      <c r="I49" s="121"/>
      <c r="J49" s="124"/>
      <c r="K49" s="113" t="str">
        <f t="shared" si="3"/>
        <v>Not selected</v>
      </c>
      <c r="L49" s="114" t="str">
        <f t="shared" si="4"/>
        <v>Not selected</v>
      </c>
      <c r="M49" s="115" t="str">
        <f t="shared" si="5"/>
        <v>Not selected</v>
      </c>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row>
    <row r="50" spans="1:116" s="2" customFormat="1" ht="14" x14ac:dyDescent="0.2">
      <c r="A50" s="10"/>
      <c r="B50" s="29" t="s">
        <v>60</v>
      </c>
      <c r="C50" s="117">
        <v>0</v>
      </c>
      <c r="D50" s="118" t="str">
        <f t="shared" si="0"/>
        <v>Not selected</v>
      </c>
      <c r="E50" s="119" t="str">
        <f t="shared" si="1"/>
        <v>Not selected</v>
      </c>
      <c r="F50" s="115" t="str">
        <f t="shared" si="2"/>
        <v>Not selected</v>
      </c>
      <c r="G50" s="120"/>
      <c r="H50" s="121"/>
      <c r="I50" s="121"/>
      <c r="J50" s="124"/>
      <c r="K50" s="113" t="str">
        <f t="shared" si="3"/>
        <v>Not selected</v>
      </c>
      <c r="L50" s="114" t="str">
        <f t="shared" si="4"/>
        <v>Not selected</v>
      </c>
      <c r="M50" s="115" t="str">
        <f t="shared" si="5"/>
        <v>Not selected</v>
      </c>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row>
    <row r="51" spans="1:116" s="2" customFormat="1" ht="14" x14ac:dyDescent="0.2">
      <c r="A51" s="10"/>
      <c r="B51" s="29" t="s">
        <v>60</v>
      </c>
      <c r="C51" s="117">
        <v>0</v>
      </c>
      <c r="D51" s="118" t="str">
        <f t="shared" si="0"/>
        <v>Not selected</v>
      </c>
      <c r="E51" s="119" t="str">
        <f t="shared" si="1"/>
        <v>Not selected</v>
      </c>
      <c r="F51" s="115" t="str">
        <f t="shared" si="2"/>
        <v>Not selected</v>
      </c>
      <c r="G51" s="120"/>
      <c r="H51" s="121"/>
      <c r="I51" s="121"/>
      <c r="J51" s="124"/>
      <c r="K51" s="113" t="str">
        <f t="shared" si="3"/>
        <v>Not selected</v>
      </c>
      <c r="L51" s="114" t="str">
        <f t="shared" si="4"/>
        <v>Not selected</v>
      </c>
      <c r="M51" s="115" t="str">
        <f t="shared" si="5"/>
        <v>Not selected</v>
      </c>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row>
    <row r="52" spans="1:116" s="2" customFormat="1" ht="14" x14ac:dyDescent="0.2">
      <c r="A52" s="10"/>
      <c r="B52" s="29" t="s">
        <v>60</v>
      </c>
      <c r="C52" s="117">
        <v>0</v>
      </c>
      <c r="D52" s="118" t="str">
        <f t="shared" si="0"/>
        <v>Not selected</v>
      </c>
      <c r="E52" s="119" t="str">
        <f t="shared" si="1"/>
        <v>Not selected</v>
      </c>
      <c r="F52" s="115" t="str">
        <f t="shared" si="2"/>
        <v>Not selected</v>
      </c>
      <c r="G52" s="120"/>
      <c r="H52" s="121"/>
      <c r="I52" s="121"/>
      <c r="J52" s="124"/>
      <c r="K52" s="113" t="str">
        <f t="shared" si="3"/>
        <v>Not selected</v>
      </c>
      <c r="L52" s="114" t="str">
        <f t="shared" si="4"/>
        <v>Not selected</v>
      </c>
      <c r="M52" s="115" t="str">
        <f t="shared" si="5"/>
        <v>Not selected</v>
      </c>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row>
    <row r="53" spans="1:116" s="2" customFormat="1" ht="14" x14ac:dyDescent="0.2">
      <c r="A53" s="10"/>
      <c r="B53" s="29" t="s">
        <v>60</v>
      </c>
      <c r="C53" s="117">
        <v>0</v>
      </c>
      <c r="D53" s="118" t="str">
        <f t="shared" si="0"/>
        <v>Not selected</v>
      </c>
      <c r="E53" s="119" t="str">
        <f t="shared" si="1"/>
        <v>Not selected</v>
      </c>
      <c r="F53" s="115" t="str">
        <f t="shared" si="2"/>
        <v>Not selected</v>
      </c>
      <c r="G53" s="120"/>
      <c r="H53" s="121"/>
      <c r="I53" s="121"/>
      <c r="J53" s="124"/>
      <c r="K53" s="113" t="str">
        <f t="shared" si="3"/>
        <v>Not selected</v>
      </c>
      <c r="L53" s="114" t="str">
        <f t="shared" si="4"/>
        <v>Not selected</v>
      </c>
      <c r="M53" s="115" t="str">
        <f t="shared" si="5"/>
        <v>Not selected</v>
      </c>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row>
    <row r="54" spans="1:116" s="2" customFormat="1" ht="14" x14ac:dyDescent="0.2">
      <c r="A54" s="10"/>
      <c r="B54" s="29" t="s">
        <v>60</v>
      </c>
      <c r="C54" s="117">
        <v>0</v>
      </c>
      <c r="D54" s="118" t="str">
        <f t="shared" si="0"/>
        <v>Not selected</v>
      </c>
      <c r="E54" s="119" t="str">
        <f t="shared" si="1"/>
        <v>Not selected</v>
      </c>
      <c r="F54" s="115" t="str">
        <f t="shared" si="2"/>
        <v>Not selected</v>
      </c>
      <c r="G54" s="120"/>
      <c r="H54" s="121"/>
      <c r="I54" s="121"/>
      <c r="J54" s="124"/>
      <c r="K54" s="113" t="str">
        <f t="shared" si="3"/>
        <v>Not selected</v>
      </c>
      <c r="L54" s="114" t="str">
        <f t="shared" si="4"/>
        <v>Not selected</v>
      </c>
      <c r="M54" s="115" t="str">
        <f t="shared" si="5"/>
        <v>Not selected</v>
      </c>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row>
    <row r="55" spans="1:116" s="2" customFormat="1" ht="14" x14ac:dyDescent="0.2">
      <c r="A55" s="10"/>
      <c r="B55" s="29" t="s">
        <v>60</v>
      </c>
      <c r="C55" s="117">
        <v>0</v>
      </c>
      <c r="D55" s="118" t="str">
        <f t="shared" si="0"/>
        <v>Not selected</v>
      </c>
      <c r="E55" s="119" t="str">
        <f t="shared" si="1"/>
        <v>Not selected</v>
      </c>
      <c r="F55" s="115" t="str">
        <f t="shared" si="2"/>
        <v>Not selected</v>
      </c>
      <c r="G55" s="120"/>
      <c r="H55" s="121"/>
      <c r="I55" s="121"/>
      <c r="J55" s="124"/>
      <c r="K55" s="113" t="str">
        <f t="shared" si="3"/>
        <v>Not selected</v>
      </c>
      <c r="L55" s="114" t="str">
        <f t="shared" si="4"/>
        <v>Not selected</v>
      </c>
      <c r="M55" s="115" t="str">
        <f t="shared" si="5"/>
        <v>Not selected</v>
      </c>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row>
    <row r="56" spans="1:116" s="2" customFormat="1" ht="14" x14ac:dyDescent="0.2">
      <c r="A56" s="10"/>
      <c r="B56" s="29" t="s">
        <v>60</v>
      </c>
      <c r="C56" s="117">
        <v>0</v>
      </c>
      <c r="D56" s="118" t="str">
        <f t="shared" si="0"/>
        <v>Not selected</v>
      </c>
      <c r="E56" s="119" t="str">
        <f t="shared" si="1"/>
        <v>Not selected</v>
      </c>
      <c r="F56" s="115" t="str">
        <f t="shared" si="2"/>
        <v>Not selected</v>
      </c>
      <c r="G56" s="120"/>
      <c r="H56" s="121"/>
      <c r="I56" s="121"/>
      <c r="J56" s="124"/>
      <c r="K56" s="113" t="str">
        <f t="shared" si="3"/>
        <v>Not selected</v>
      </c>
      <c r="L56" s="114" t="str">
        <f t="shared" si="4"/>
        <v>Not selected</v>
      </c>
      <c r="M56" s="115" t="str">
        <f t="shared" si="5"/>
        <v>Not selected</v>
      </c>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row>
    <row r="57" spans="1:116" ht="16" thickBot="1" x14ac:dyDescent="0.25">
      <c r="B57" s="30" t="s">
        <v>60</v>
      </c>
      <c r="C57" s="125">
        <v>0</v>
      </c>
      <c r="D57" s="126" t="str">
        <f t="shared" si="0"/>
        <v>Not selected</v>
      </c>
      <c r="E57" s="127" t="str">
        <f t="shared" si="1"/>
        <v>Not selected</v>
      </c>
      <c r="F57" s="128" t="str">
        <f t="shared" si="2"/>
        <v>Not selected</v>
      </c>
      <c r="G57" s="129"/>
      <c r="H57" s="130"/>
      <c r="I57" s="130"/>
      <c r="J57" s="131"/>
      <c r="K57" s="132" t="str">
        <f t="shared" si="3"/>
        <v>Not selected</v>
      </c>
      <c r="L57" s="133" t="str">
        <f t="shared" si="4"/>
        <v>Not selected</v>
      </c>
      <c r="M57" s="128" t="str">
        <f t="shared" si="5"/>
        <v>Not selected</v>
      </c>
    </row>
    <row r="58" spans="1:116" x14ac:dyDescent="0.2">
      <c r="B58" s="62"/>
      <c r="J58" s="10"/>
    </row>
    <row r="59" spans="1:116" x14ac:dyDescent="0.2">
      <c r="B59" s="62"/>
      <c r="J59" s="10"/>
    </row>
    <row r="60" spans="1:116" x14ac:dyDescent="0.2">
      <c r="B60" s="62"/>
      <c r="J60" s="10"/>
    </row>
    <row r="61" spans="1:116" x14ac:dyDescent="0.2">
      <c r="B61" s="62"/>
      <c r="J61" s="10"/>
    </row>
    <row r="62" spans="1:116" x14ac:dyDescent="0.2">
      <c r="B62" s="62"/>
      <c r="J62" s="10"/>
    </row>
    <row r="63" spans="1:116" x14ac:dyDescent="0.2">
      <c r="B63" s="62"/>
      <c r="J63" s="10"/>
    </row>
    <row r="64" spans="1:116" x14ac:dyDescent="0.2">
      <c r="B64" s="62"/>
      <c r="J64" s="10"/>
    </row>
    <row r="65" spans="2:10" x14ac:dyDescent="0.2">
      <c r="B65" s="62"/>
      <c r="J65" s="10"/>
    </row>
    <row r="66" spans="2:10" x14ac:dyDescent="0.2">
      <c r="B66" s="62"/>
      <c r="J66" s="10"/>
    </row>
    <row r="67" spans="2:10" x14ac:dyDescent="0.2">
      <c r="B67" s="62"/>
      <c r="J67" s="10"/>
    </row>
  </sheetData>
  <dataConsolidate/>
  <mergeCells count="17">
    <mergeCell ref="B2:I2"/>
    <mergeCell ref="J2:M2"/>
    <mergeCell ref="D3:E3"/>
    <mergeCell ref="F3:G9"/>
    <mergeCell ref="H3:J3"/>
    <mergeCell ref="D4:E4"/>
    <mergeCell ref="H4:J4"/>
    <mergeCell ref="H5:J5"/>
    <mergeCell ref="D16:F16"/>
    <mergeCell ref="K16:M16"/>
    <mergeCell ref="H6:J6"/>
    <mergeCell ref="H7:J7"/>
    <mergeCell ref="H8:J8"/>
    <mergeCell ref="H9:J9"/>
    <mergeCell ref="B14:E14"/>
    <mergeCell ref="H10:M13"/>
    <mergeCell ref="F10:G14"/>
  </mergeCells>
  <conditionalFormatting sqref="C18:C65">
    <cfRule type="cellIs" dxfId="19" priority="5" operator="equal">
      <formula>1</formula>
    </cfRule>
  </conditionalFormatting>
  <conditionalFormatting sqref="C18:F57">
    <cfRule type="cellIs" dxfId="18" priority="8" operator="greaterThan">
      <formula>1</formula>
    </cfRule>
    <cfRule type="cellIs" dxfId="17" priority="7" operator="lessThan">
      <formula>0</formula>
    </cfRule>
    <cfRule type="cellIs" dxfId="16" priority="4" operator="equal">
      <formula>0</formula>
    </cfRule>
  </conditionalFormatting>
  <conditionalFormatting sqref="D13">
    <cfRule type="cellIs" dxfId="15" priority="31" operator="lessThan">
      <formula>1</formula>
    </cfRule>
    <cfRule type="cellIs" dxfId="14" priority="33" operator="greaterThan">
      <formula>1</formula>
    </cfRule>
    <cfRule type="cellIs" dxfId="13" priority="32" operator="equal">
      <formula>1</formula>
    </cfRule>
  </conditionalFormatting>
  <conditionalFormatting sqref="K18:M57">
    <cfRule type="cellIs" dxfId="12" priority="3" operator="greaterThan">
      <formula>1</formula>
    </cfRule>
    <cfRule type="cellIs" dxfId="11" priority="2" operator="lessThan">
      <formula>0</formula>
    </cfRule>
    <cfRule type="cellIs" dxfId="10" priority="1" operator="equal">
      <formula>0</formula>
    </cfRule>
  </conditionalFormatting>
  <dataValidations count="2">
    <dataValidation type="decimal" allowBlank="1" showInputMessage="1" showErrorMessage="1" errorTitle="Delta" error="by definition delta value must be &gt;-1000" sqref="C57" xr:uid="{00000000-0002-0000-0500-000000000000}">
      <formula1>-999.999999999999</formula1>
      <formula2>1E+37</formula2>
    </dataValidation>
    <dataValidation type="decimal" allowBlank="1" showInputMessage="1" showErrorMessage="1" errorTitle="Delta" error="by definition delta value must be &gt;-1000" promptTitle="Type or paste value" sqref="C18:C56" xr:uid="{00000000-0002-0000-0500-000001000000}">
      <formula1>-999.999999999999</formula1>
      <formula2>1E+37</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2000000}">
          <x14:formula1>
            <xm:f>Constants!$A$32:$A$36</xm:f>
          </x14:formula1>
          <xm:sqref>D3</xm:sqref>
        </x14:dataValidation>
        <x14:dataValidation type="list" allowBlank="1" showInputMessage="1" showErrorMessage="1" xr:uid="{00000000-0002-0000-0500-000003000000}">
          <x14:formula1>
            <xm:f>Constants!$B$50:$B$53</xm:f>
          </x14:formula1>
          <xm:sqref>D11:E11</xm:sqref>
        </x14:dataValidation>
        <x14:dataValidation type="list" showInputMessage="1" showErrorMessage="1" xr:uid="{00000000-0002-0000-0500-000004000000}">
          <x14:formula1>
            <xm:f>Tables!$C$59:$C$68</xm:f>
          </x14:formula1>
          <xm:sqref>D8</xm:sqref>
        </x14:dataValidation>
        <x14:dataValidation type="list" allowBlank="1" showInputMessage="1" showErrorMessage="1" xr:uid="{00000000-0002-0000-0500-000005000000}">
          <x14:formula1>
            <xm:f>Tables!$C$35:$C$42</xm:f>
          </x14:formula1>
          <xm:sqref>D5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L72"/>
  <sheetViews>
    <sheetView zoomScaleNormal="100" workbookViewId="0">
      <selection activeCell="G17" sqref="G17"/>
    </sheetView>
  </sheetViews>
  <sheetFormatPr baseColWidth="10" defaultColWidth="9.1640625" defaultRowHeight="15" x14ac:dyDescent="0.2"/>
  <cols>
    <col min="1" max="1" width="5.5" style="44" customWidth="1"/>
    <col min="2" max="2" width="25.5" style="45" customWidth="1"/>
    <col min="3" max="3" width="27.6640625" style="44" customWidth="1"/>
    <col min="4" max="4" width="27.83203125" style="44" customWidth="1"/>
    <col min="5" max="5" width="27.5" style="44" customWidth="1"/>
    <col min="6" max="6" width="19.33203125" style="44" customWidth="1"/>
    <col min="7" max="7" width="2.5" style="44" customWidth="1"/>
    <col min="8" max="8" width="11.83203125" style="44" customWidth="1"/>
    <col min="9" max="9" width="19" style="44" customWidth="1"/>
    <col min="10" max="10" width="20.33203125" style="44" customWidth="1"/>
    <col min="11" max="11" width="18" style="44" customWidth="1"/>
    <col min="12" max="12" width="19.5" style="44" customWidth="1"/>
    <col min="13" max="13" width="18.5" style="44" customWidth="1"/>
    <col min="14" max="116" width="16.6640625" style="44" customWidth="1"/>
    <col min="117" max="16384" width="9.1640625" style="46"/>
  </cols>
  <sheetData>
    <row r="1" spans="1:116" ht="16" thickBot="1" x14ac:dyDescent="0.25"/>
    <row r="2" spans="1:116" s="48" customFormat="1" ht="39.75" customHeight="1" thickBot="1" x14ac:dyDescent="0.25">
      <c r="A2" s="47"/>
      <c r="B2" s="316" t="s">
        <v>63</v>
      </c>
      <c r="C2" s="318"/>
      <c r="D2" s="318"/>
      <c r="E2" s="318"/>
      <c r="F2" s="318"/>
      <c r="G2" s="318"/>
      <c r="H2" s="318"/>
      <c r="I2" s="318"/>
      <c r="J2" s="317" t="s">
        <v>325</v>
      </c>
      <c r="K2" s="317"/>
      <c r="L2" s="317"/>
      <c r="M2" s="350"/>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row>
    <row r="3" spans="1:116" s="2" customFormat="1" ht="32" customHeight="1" thickBot="1" x14ac:dyDescent="0.25">
      <c r="A3" s="10"/>
      <c r="B3" s="26" t="s">
        <v>61</v>
      </c>
      <c r="C3" s="219" t="s">
        <v>1</v>
      </c>
      <c r="D3" s="339" t="s">
        <v>30</v>
      </c>
      <c r="E3" s="340"/>
      <c r="F3" s="326" t="s">
        <v>218</v>
      </c>
      <c r="G3" s="327"/>
      <c r="H3" s="345" t="s">
        <v>40</v>
      </c>
      <c r="I3" s="346"/>
      <c r="J3" s="346"/>
      <c r="K3" s="24" t="s">
        <v>52</v>
      </c>
      <c r="L3" s="24" t="s">
        <v>58</v>
      </c>
      <c r="M3" s="25" t="s">
        <v>53</v>
      </c>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row>
    <row r="4" spans="1:116" s="2" customFormat="1" ht="32" customHeight="1" thickBot="1" x14ac:dyDescent="0.25">
      <c r="A4" s="10"/>
      <c r="B4" s="27" t="s">
        <v>130</v>
      </c>
      <c r="C4" s="220" t="s">
        <v>3</v>
      </c>
      <c r="D4" s="337" t="str">
        <f>IF(ISNUMBER(SEARCH("delta",D3)),Constants!B43,IF(ISNUMBER(SEARCH("ratio",D3)),Constants!B44,IF(ISNUMBER(SEARCH("%",D3)),Constants!B45,IF(ISNUMBER(SEARCH("ppm",D3)),Constants!B46,IF(ISNUMBER(SEARCH("select",D3)),Constants!B42)))))</f>
        <v>Select "Conversion from"</v>
      </c>
      <c r="E4" s="338"/>
      <c r="F4" s="328"/>
      <c r="G4" s="329"/>
      <c r="H4" s="347" t="s">
        <v>37</v>
      </c>
      <c r="I4" s="348"/>
      <c r="J4" s="349"/>
      <c r="K4" s="22" t="s">
        <v>65</v>
      </c>
      <c r="L4" s="5" t="s">
        <v>64</v>
      </c>
      <c r="M4" s="23">
        <v>0</v>
      </c>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row>
    <row r="5" spans="1:116" s="2" customFormat="1" ht="32" customHeight="1" thickBot="1" x14ac:dyDescent="0.25">
      <c r="A5" s="10"/>
      <c r="B5" s="27" t="s">
        <v>130</v>
      </c>
      <c r="C5" s="221" t="s">
        <v>2</v>
      </c>
      <c r="D5" s="311" t="s">
        <v>64</v>
      </c>
      <c r="E5" s="312"/>
      <c r="F5" s="328"/>
      <c r="G5" s="329"/>
      <c r="H5" s="310" t="s">
        <v>38</v>
      </c>
      <c r="I5" s="308"/>
      <c r="J5" s="309"/>
      <c r="K5" s="3" t="s">
        <v>66</v>
      </c>
      <c r="L5" s="20" t="s">
        <v>34</v>
      </c>
      <c r="M5" s="35" t="s">
        <v>54</v>
      </c>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row>
    <row r="6" spans="1:116" s="2" customFormat="1" ht="32" customHeight="1" thickTop="1" thickBot="1" x14ac:dyDescent="0.25">
      <c r="A6" s="10"/>
      <c r="B6" s="26" t="s">
        <v>61</v>
      </c>
      <c r="C6" s="222" t="s">
        <v>305</v>
      </c>
      <c r="D6" s="341" t="s">
        <v>256</v>
      </c>
      <c r="E6" s="342"/>
      <c r="F6" s="328"/>
      <c r="G6" s="329"/>
      <c r="H6" s="307" t="s">
        <v>199</v>
      </c>
      <c r="I6" s="308"/>
      <c r="J6" s="309"/>
      <c r="K6" s="19" t="s">
        <v>80</v>
      </c>
      <c r="L6" s="20" t="s">
        <v>31</v>
      </c>
      <c r="M6" s="36" t="s">
        <v>57</v>
      </c>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row>
    <row r="7" spans="1:116" s="2" customFormat="1" ht="39" customHeight="1" thickBot="1" x14ac:dyDescent="0.25">
      <c r="A7" s="10"/>
      <c r="B7" s="27" t="s">
        <v>130</v>
      </c>
      <c r="C7" s="223" t="s">
        <v>306</v>
      </c>
      <c r="D7" s="225" t="str">
        <f>IF(ISNUMBER(SEARCH(Tables!C49,D6)),Tables!D49,IF(ISNUMBER(SEARCH(Tables!C50,D6)),Tables!D50,IF(ISNUMBER(SEARCH(Tables!C51,D6)),Tables!D51,IF(ISNUMBER(SEARCH(Tables!C52,D6)),Tables!D52,IF(ISNUMBER(SEARCH(Tables!C53,D6)),Tables!D53,IF(ISNUMBER(SEARCH("select",D6)),Tables!D2))))))</f>
        <v xml:space="preserve">Select "Absolute isotope ratio Rstd for delta zero point" </v>
      </c>
      <c r="E7" s="226"/>
      <c r="F7" s="328"/>
      <c r="G7" s="329"/>
      <c r="H7" s="310" t="s">
        <v>236</v>
      </c>
      <c r="I7" s="308"/>
      <c r="J7" s="309"/>
      <c r="K7" s="3" t="s">
        <v>67</v>
      </c>
      <c r="L7" s="20" t="s">
        <v>34</v>
      </c>
      <c r="M7" s="35" t="s">
        <v>54</v>
      </c>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row>
    <row r="8" spans="1:116" s="2" customFormat="1" ht="32" customHeight="1" thickBot="1" x14ac:dyDescent="0.25">
      <c r="A8" s="10"/>
      <c r="B8" s="27" t="s">
        <v>130</v>
      </c>
      <c r="C8" s="224" t="s">
        <v>231</v>
      </c>
      <c r="D8" s="335" t="str">
        <f>IF(ISNUMBER(SEARCH(Tables!C49,D6)),Tables!G49,IF(ISNUMBER(SEARCH(Tables!C50,D6)),Tables!G50,IF(ISNUMBER(SEARCH(Tables!C51,D6)),Tables!G51,IF(ISNUMBER(SEARCH(Tables!C52,D6)),Tables!G52,IF(ISNUMBER(SEARCH(Tables!C53,D6)),Tables!G53,IF(ISNUMBER(SEARCH("select",D6)),Tables!D2))))))</f>
        <v xml:space="preserve">Select "Absolute isotope ratio Rstd for delta zero point" </v>
      </c>
      <c r="E8" s="336"/>
      <c r="F8" s="328"/>
      <c r="G8" s="329"/>
      <c r="H8" s="310" t="s">
        <v>200</v>
      </c>
      <c r="I8" s="308"/>
      <c r="J8" s="309"/>
      <c r="K8" s="20" t="s">
        <v>324</v>
      </c>
      <c r="L8" s="20" t="s">
        <v>32</v>
      </c>
      <c r="M8" s="17" t="s">
        <v>55</v>
      </c>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row>
    <row r="9" spans="1:116" s="2" customFormat="1" ht="32" customHeight="1" thickTop="1" thickBot="1" x14ac:dyDescent="0.25">
      <c r="A9" s="10"/>
      <c r="B9" s="26" t="s">
        <v>61</v>
      </c>
      <c r="C9" s="244" t="s">
        <v>307</v>
      </c>
      <c r="D9" s="245">
        <v>7.8771999999999991E-3</v>
      </c>
      <c r="E9" s="246"/>
      <c r="F9" s="330"/>
      <c r="G9" s="331"/>
      <c r="H9" s="362" t="s">
        <v>201</v>
      </c>
      <c r="I9" s="363"/>
      <c r="J9" s="364"/>
      <c r="K9" s="163" t="s">
        <v>324</v>
      </c>
      <c r="L9" s="163" t="s">
        <v>33</v>
      </c>
      <c r="M9" s="23" t="s">
        <v>56</v>
      </c>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row>
    <row r="10" spans="1:116" s="2" customFormat="1" ht="39" customHeight="1" thickBot="1" x14ac:dyDescent="0.25">
      <c r="A10" s="10"/>
      <c r="B10" s="27" t="s">
        <v>130</v>
      </c>
      <c r="C10" s="247" t="s">
        <v>308</v>
      </c>
      <c r="D10" s="248">
        <f>IF(ISNUMBER(SEARCH(Tables!C70,D9)),Tables!D70,IF(ISNUMBER(SEARCH(Tables!C71,D9)),Tables!D71,IF(ISNUMBER(SEARCH(Tables!C72,D9)),Tables!D72,IF(ISNUMBER(SEARCH("select",D9)),Tables!D69))))</f>
        <v>2.9000000000000002E-6</v>
      </c>
      <c r="E10" s="249"/>
      <c r="F10" s="165"/>
      <c r="G10" s="165"/>
      <c r="H10" s="354" t="s">
        <v>312</v>
      </c>
      <c r="I10" s="354"/>
      <c r="J10" s="354"/>
      <c r="K10" s="354"/>
      <c r="L10" s="354"/>
      <c r="M10" s="354"/>
      <c r="N10" s="167"/>
      <c r="O10" s="167"/>
      <c r="P10" s="167"/>
      <c r="Q10" s="167"/>
      <c r="R10" s="166"/>
      <c r="S10" s="165"/>
      <c r="T10" s="165"/>
      <c r="U10" s="165"/>
      <c r="V10" s="165"/>
      <c r="W10" s="165"/>
      <c r="X10" s="165"/>
      <c r="Y10" s="165"/>
      <c r="Z10" s="165"/>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row>
    <row r="11" spans="1:116" s="2" customFormat="1" ht="38.25" customHeight="1" thickBot="1" x14ac:dyDescent="0.25">
      <c r="A11" s="10"/>
      <c r="B11" s="27" t="s">
        <v>130</v>
      </c>
      <c r="C11" s="237" t="s">
        <v>231</v>
      </c>
      <c r="D11" s="250" t="str">
        <f>IF(ISNUMBER(SEARCH(Tables!C70,D9)),Tables!G70,IF(ISNUMBER(SEARCH(Tables!C71,D9)),Tables!G71,IF(ISNUMBER(SEARCH(Tables!C72,D9)),Tables!G72,IF(ISNUMBER(SEARCH("select",D9)),Tables!D69))))</f>
        <v>Kaiser &amp; Röckmann 2008</v>
      </c>
      <c r="E11" s="251"/>
      <c r="F11" s="165"/>
      <c r="G11" s="165"/>
      <c r="H11" s="355"/>
      <c r="I11" s="355"/>
      <c r="J11" s="355"/>
      <c r="K11" s="355"/>
      <c r="L11" s="355"/>
      <c r="M11" s="355"/>
      <c r="N11" s="168"/>
      <c r="O11" s="168"/>
      <c r="P11" s="168"/>
      <c r="Q11" s="168"/>
      <c r="R11" s="168"/>
      <c r="S11" s="170"/>
      <c r="T11" s="170"/>
      <c r="U11" s="170"/>
      <c r="V11" s="170"/>
      <c r="W11" s="170"/>
      <c r="X11" s="170"/>
      <c r="Y11" s="170"/>
      <c r="Z11" s="17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row>
    <row r="12" spans="1:116" s="2" customFormat="1" ht="32" customHeight="1" thickTop="1" thickBot="1" x14ac:dyDescent="0.25">
      <c r="A12" s="10"/>
      <c r="B12" s="26" t="s">
        <v>61</v>
      </c>
      <c r="C12" s="240" t="s">
        <v>309</v>
      </c>
      <c r="D12" s="252">
        <v>1.5349999999999999E-4</v>
      </c>
      <c r="E12" s="253"/>
      <c r="F12" s="165"/>
      <c r="G12" s="165"/>
      <c r="H12" s="167"/>
      <c r="I12" s="167"/>
      <c r="J12" s="169"/>
      <c r="K12" s="168"/>
      <c r="L12" s="155"/>
      <c r="M12" s="169"/>
      <c r="N12" s="169"/>
      <c r="O12" s="169"/>
      <c r="P12" s="169"/>
      <c r="Q12" s="169"/>
      <c r="R12" s="169"/>
      <c r="S12" s="170"/>
      <c r="T12" s="170"/>
      <c r="U12" s="170"/>
      <c r="V12" s="170"/>
      <c r="W12" s="170"/>
      <c r="X12" s="170"/>
      <c r="Y12" s="170"/>
      <c r="Z12" s="17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row>
    <row r="13" spans="1:116" s="2" customFormat="1" ht="42.75" customHeight="1" thickBot="1" x14ac:dyDescent="0.25">
      <c r="A13" s="10"/>
      <c r="B13" s="27" t="s">
        <v>130</v>
      </c>
      <c r="C13" s="241" t="s">
        <v>310</v>
      </c>
      <c r="D13" s="242">
        <f>IF(ISNUMBER(SEARCH(Tables!C79,D12)),Tables!D79,IF(ISNUMBER(SEARCH(Tables!D80,D12)),Tables!D80,IF(ISNUMBER(SEARCH(Tables!C81,D12)),Tables!D81,IF(ISNUMBER(SEARCH("select",D12)),Tables!D78))))</f>
        <v>4.9999999999999998E-7</v>
      </c>
      <c r="E13" s="254"/>
      <c r="F13" s="165"/>
      <c r="G13" s="165"/>
      <c r="H13" s="167"/>
      <c r="I13" s="155"/>
      <c r="J13" s="168"/>
      <c r="K13" s="168"/>
      <c r="L13" s="155"/>
      <c r="M13" s="169"/>
      <c r="N13" s="171"/>
      <c r="O13" s="169"/>
      <c r="P13" s="171"/>
      <c r="Q13" s="171"/>
      <c r="R13" s="171"/>
      <c r="S13" s="170"/>
      <c r="T13" s="170"/>
      <c r="U13" s="170"/>
      <c r="V13" s="170"/>
      <c r="W13" s="170"/>
      <c r="X13" s="170"/>
      <c r="Y13" s="170"/>
      <c r="Z13" s="17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row>
    <row r="14" spans="1:116" s="2" customFormat="1" ht="45" customHeight="1" thickBot="1" x14ac:dyDescent="0.25">
      <c r="A14" s="10"/>
      <c r="B14" s="27" t="s">
        <v>130</v>
      </c>
      <c r="C14" s="243" t="s">
        <v>231</v>
      </c>
      <c r="D14" s="255" t="str">
        <f>IF(ISNUMBER(SEARCH(Tables!C79,D12)),Tables!G79,IF(ISNUMBER(SEARCH(Tables!C80,D12)),Tables!G80,IF(ISNUMBER(SEARCH(Tables!C81,D12)),Tables!G81,IF(ISNUMBER(SEARCH("select",D12)),Tables!D78))))</f>
        <v>Kaiser &amp; Röckmann 2008</v>
      </c>
      <c r="E14" s="256"/>
      <c r="F14" s="165"/>
      <c r="G14" s="165"/>
      <c r="H14" s="167"/>
      <c r="I14" s="167"/>
      <c r="J14" s="172"/>
      <c r="K14" s="172"/>
      <c r="L14" s="155"/>
      <c r="M14" s="172"/>
      <c r="N14" s="172"/>
      <c r="O14" s="172"/>
      <c r="P14" s="172"/>
      <c r="Q14" s="172"/>
      <c r="R14" s="172"/>
      <c r="S14" s="170"/>
      <c r="T14" s="170"/>
      <c r="U14" s="170"/>
      <c r="V14" s="170"/>
      <c r="W14" s="170"/>
      <c r="X14" s="170"/>
      <c r="Y14" s="170"/>
      <c r="Z14" s="17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row>
    <row r="15" spans="1:116" s="2" customFormat="1" ht="32" customHeight="1" thickTop="1" thickBot="1" x14ac:dyDescent="0.25">
      <c r="A15" s="10"/>
      <c r="B15" s="26" t="s">
        <v>61</v>
      </c>
      <c r="C15" s="257" t="s">
        <v>311</v>
      </c>
      <c r="D15" s="258">
        <v>0.51500000000000001</v>
      </c>
      <c r="E15" s="259"/>
      <c r="F15" s="165"/>
      <c r="G15" s="165"/>
      <c r="H15" s="167"/>
      <c r="I15" s="155"/>
      <c r="J15" s="173"/>
      <c r="K15" s="173"/>
      <c r="L15" s="155"/>
      <c r="M15" s="174"/>
      <c r="N15" s="174"/>
      <c r="O15" s="174"/>
      <c r="P15" s="174"/>
      <c r="Q15" s="172"/>
      <c r="R15" s="174"/>
      <c r="S15" s="170"/>
      <c r="T15" s="170"/>
      <c r="U15" s="170"/>
      <c r="V15" s="170"/>
      <c r="W15" s="170"/>
      <c r="X15" s="170"/>
      <c r="Y15" s="170"/>
      <c r="Z15" s="17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row>
    <row r="16" spans="1:116" s="2" customFormat="1" ht="32" customHeight="1" thickBot="1" x14ac:dyDescent="0.25">
      <c r="A16" s="10"/>
      <c r="B16" s="27" t="s">
        <v>130</v>
      </c>
      <c r="C16" s="260" t="s">
        <v>223</v>
      </c>
      <c r="D16" s="261" t="str">
        <f>IF(ISNUMBER(SEARCH("select",D15)),Constants!A57,IF(ISNUMBER(SEARCH("0.515",D15)),Constants!A58,IF(ISNUMBER(SEARCH("test1",D15)),Constants!A59, IF(ISNUMBER(SEARCH("0.00000000  - blank space for user-defined value, add in Constants",D15)),Constants!A60))))</f>
        <v>Kaiser &amp; Röckmann 2008</v>
      </c>
      <c r="E16" s="262"/>
      <c r="F16" s="175"/>
      <c r="G16" s="165"/>
      <c r="H16" s="166"/>
      <c r="I16" s="167"/>
      <c r="J16" s="176"/>
      <c r="K16" s="176"/>
      <c r="L16" s="155"/>
      <c r="M16" s="174"/>
      <c r="N16" s="174"/>
      <c r="O16" s="174"/>
      <c r="P16" s="174"/>
      <c r="Q16" s="174"/>
      <c r="R16" s="174"/>
      <c r="S16" s="170"/>
      <c r="T16" s="170"/>
      <c r="U16" s="170"/>
      <c r="V16" s="170"/>
      <c r="W16" s="170"/>
      <c r="X16" s="170"/>
      <c r="Y16" s="170"/>
      <c r="Z16" s="17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row>
    <row r="17" spans="1:116" s="2" customFormat="1" ht="32" customHeight="1" thickTop="1" thickBot="1" x14ac:dyDescent="0.25">
      <c r="A17" s="10"/>
      <c r="B17" s="26" t="s">
        <v>61</v>
      </c>
      <c r="C17" s="213" t="s">
        <v>239</v>
      </c>
      <c r="D17" s="214">
        <v>1.9</v>
      </c>
      <c r="E17" s="215"/>
      <c r="F17" s="165"/>
      <c r="G17" s="165"/>
      <c r="H17" s="167"/>
      <c r="I17" s="167"/>
      <c r="J17" s="169"/>
      <c r="K17" s="168"/>
      <c r="L17" s="177"/>
      <c r="M17" s="171"/>
      <c r="N17" s="171"/>
      <c r="O17" s="171"/>
      <c r="P17" s="171"/>
      <c r="Q17" s="171"/>
      <c r="R17" s="171"/>
      <c r="S17" s="165"/>
      <c r="T17" s="165"/>
      <c r="U17" s="165"/>
      <c r="V17" s="165"/>
      <c r="W17" s="165"/>
      <c r="X17" s="165"/>
      <c r="Y17" s="165"/>
      <c r="Z17" s="165"/>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row>
    <row r="18" spans="1:116" s="2" customFormat="1" ht="32" customHeight="1" thickBot="1" x14ac:dyDescent="0.25">
      <c r="A18" s="10"/>
      <c r="B18" s="27" t="s">
        <v>130</v>
      </c>
      <c r="C18" s="216" t="s">
        <v>223</v>
      </c>
      <c r="D18" s="217" t="str">
        <f>IF(ISNUMBER(SEARCH("select",D17)),Constants!A64,IF(ISNUMBER(SEARCH("1.9",D17)),Constants!A65,IF(ISNUMBER(SEARCH("test1",D17)),Constants!A66, IF(ISNUMBER(SEARCH("0.00000000  - blank space for user-defined value, add in Constants",D17)),Constants!A67))))</f>
        <v>Kaiser &amp; Röckmann 2008</v>
      </c>
      <c r="E18" s="218"/>
      <c r="F18" s="165"/>
      <c r="G18" s="165"/>
      <c r="H18" s="167"/>
      <c r="I18" s="155"/>
      <c r="J18" s="178"/>
      <c r="K18" s="168"/>
      <c r="L18" s="179"/>
      <c r="M18" s="171"/>
      <c r="N18" s="171"/>
      <c r="O18" s="171"/>
      <c r="P18" s="171"/>
      <c r="Q18" s="171"/>
      <c r="R18" s="171"/>
      <c r="S18" s="165"/>
      <c r="T18" s="165"/>
      <c r="U18" s="165"/>
      <c r="V18" s="165"/>
      <c r="W18" s="165"/>
      <c r="X18" s="165"/>
      <c r="Y18" s="165"/>
      <c r="Z18" s="165"/>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row>
    <row r="19" spans="1:116" s="2" customFormat="1" ht="32" customHeight="1" thickBot="1" x14ac:dyDescent="0.25">
      <c r="A19" s="10"/>
      <c r="B19" s="28" t="s">
        <v>131</v>
      </c>
      <c r="C19" s="1" t="str">
        <f>CONCATENATE("uncertainty ",D3)</f>
        <v>uncertainty Select</v>
      </c>
      <c r="D19" s="360">
        <v>1</v>
      </c>
      <c r="E19" s="361"/>
      <c r="F19" s="165"/>
      <c r="G19" s="165"/>
      <c r="H19" s="167"/>
      <c r="I19" s="167"/>
      <c r="J19" s="169"/>
      <c r="K19" s="168"/>
      <c r="L19" s="177"/>
      <c r="M19" s="171"/>
      <c r="N19" s="171"/>
      <c r="O19" s="171"/>
      <c r="P19" s="171"/>
      <c r="Q19" s="171"/>
      <c r="R19" s="171"/>
      <c r="S19" s="165"/>
      <c r="T19" s="165"/>
      <c r="U19" s="165"/>
      <c r="V19" s="165"/>
      <c r="W19" s="165"/>
      <c r="X19" s="165"/>
      <c r="Y19" s="165"/>
      <c r="Z19" s="165"/>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row>
    <row r="20" spans="1:116" ht="29.25" customHeight="1" thickBot="1" x14ac:dyDescent="0.25">
      <c r="F20" s="180"/>
      <c r="G20" s="180"/>
      <c r="H20" s="167"/>
      <c r="I20" s="181"/>
      <c r="J20" s="181"/>
      <c r="K20" s="182"/>
      <c r="L20" s="183"/>
      <c r="M20" s="184"/>
      <c r="N20" s="184"/>
      <c r="O20" s="184"/>
      <c r="P20" s="184"/>
      <c r="Q20" s="184"/>
      <c r="R20" s="184"/>
      <c r="S20" s="180"/>
      <c r="T20" s="180"/>
      <c r="U20" s="180"/>
      <c r="V20" s="180"/>
      <c r="W20" s="180"/>
      <c r="X20" s="180"/>
      <c r="Y20" s="180"/>
      <c r="Z20" s="180"/>
    </row>
    <row r="21" spans="1:116" s="2" customFormat="1" ht="15" customHeight="1" x14ac:dyDescent="0.2">
      <c r="A21" s="10"/>
      <c r="B21" s="33" t="s">
        <v>119</v>
      </c>
      <c r="C21" s="8" t="s">
        <v>21</v>
      </c>
      <c r="D21" s="332" t="s">
        <v>39</v>
      </c>
      <c r="E21" s="333"/>
      <c r="F21" s="334"/>
      <c r="G21" s="13"/>
      <c r="H21" s="10"/>
      <c r="I21" s="10"/>
      <c r="J21" s="14"/>
      <c r="K21" s="319" t="s">
        <v>232</v>
      </c>
      <c r="L21" s="320"/>
      <c r="M21" s="321"/>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row>
    <row r="22" spans="1:116" s="2" customFormat="1" ht="15.75" customHeight="1" x14ac:dyDescent="0.2">
      <c r="A22" s="10"/>
      <c r="B22" s="34" t="s">
        <v>132</v>
      </c>
      <c r="C22" s="9" t="str">
        <f>D3</f>
        <v>Select</v>
      </c>
      <c r="D22" s="42" t="str">
        <f>IF(ISNUMBER(SEARCH("delta",C22)),"Ratio (34S/32S)",IF(ISNUMBER(SEARCH("ratio",C22)),"Delta (34S/32S) [‰]",IF(ISNUMBER(SEARCH("fraction",C22)),"Delta (34S/32S) [‰]","Not selected")))</f>
        <v>Not selected</v>
      </c>
      <c r="E22" s="43" t="str">
        <f>IF(ISNUMBER(SEARCH("delta",C22)),"Fraction (34S) [%]",IF(ISNUMBER(SEARCH("Ratio",C22)),"Fraction (34S) [%]",IF(ISNUMBER(SEARCH("fraction (34S) [%]",C22)),"Ratio (34S/32S)",IF(ISNUMBER(SEARCH("fraction (34S) [ppm]",C22)),"Ratio (34S/32S)", "Not selected"))))</f>
        <v>Not selected</v>
      </c>
      <c r="F22" s="7" t="str">
        <f>IF(ISNUMBER(SEARCH("delta",C22)),"Fraction (34S) [ppm]",IF(ISNUMBER(SEARCH("ratio",C22)),"Fraction (34S) [ppm]",IF(ISNUMBER(SEARCH("fraction (34S) [%]",C22)),"Fraction (34S) [ppm]",IF(ISNUMBER(SEARCH("fraction (34S) [ppm]",C22)),"Fraction (34S) [%]", "Not selected" ))))</f>
        <v>Not selected</v>
      </c>
      <c r="G22" s="13"/>
      <c r="H22" s="10"/>
      <c r="I22" s="10"/>
      <c r="J22" s="14"/>
      <c r="K22" s="42" t="str">
        <f>D22</f>
        <v>Not selected</v>
      </c>
      <c r="L22" s="43" t="str">
        <f>E22</f>
        <v>Not selected</v>
      </c>
      <c r="M22" s="7" t="str">
        <f>F22</f>
        <v>Not selected</v>
      </c>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row>
    <row r="23" spans="1:116" s="2" customFormat="1" ht="14" x14ac:dyDescent="0.2">
      <c r="A23" s="10"/>
      <c r="B23" s="29" t="s">
        <v>62</v>
      </c>
      <c r="C23" s="49">
        <v>0</v>
      </c>
      <c r="D23" s="162" t="str">
        <f t="shared" ref="D23:D62" si="0">IF(ISNUMBER(SEARCH("delta",$C$22)),((C23/1000)+1)*$D$6,IF(ISNUMBER(SEARCH("ratio",$C$22)),(((C23/$D$6)-1)*1000),IF(ISNUMBER(SEARCH("%",$C$22)),((((C23/(100-C23))/$D$6)-1)*1000),IF(ISNUMBER(SEARCH("ppm",$C$22)),((((((C23/10000)/(100-(C23/10000))/$D$6)-1)*1000))),"Not selected"))))</f>
        <v>Not selected</v>
      </c>
      <c r="E23" s="51" t="str">
        <f t="shared" ref="E23:E62" si="1">IF(ISNUMBER(SEARCH("delta",$C$22)),((((C23/1000)+1)*$D$6)/(((((C23/1000)+1)^$D$17)*$D$12)+((($C$23/1000)+1)*$D$6)+((((C23/1000)+1)^$D$15)*$D$9)+1))*100,IF(ISNUMBER(SEARCH("ratio",$C$22)),(C23/((((C23/$D$6)^$D$17)*$D$12)+C23+(((C23/$D$6)^$D$15)*$D$9)+1))*100,IF(ISNUMBER(SEARCH("%",$C$22)),(C23/(100-C23)),IF(ISNUMBER(SEARCH("ppm",$C$22)),((C23/10000)/(100-(C23/10000))),"Not selected"))))</f>
        <v>Not selected</v>
      </c>
      <c r="F23" s="52" t="str">
        <f t="shared" ref="F23:F62" si="2">IF(ISNUMBER(SEARCH("delta",$C$22)),((((C23/1000)+1)*$D$6)/(((((C23/1000)+1)^$D$17)*$D$12)+(((C23/1000)+1)*$D$6)+((((C23/1000)+1)^$D$15)*$D$9)+1))*1000000,IF(ISNUMBER(SEARCH("ratio",$C$22)),(C23/((((C23/$D$6)^$D$17)*$D$12)+C23+(((C23/$D$6)^$D$15)*$D$9)+1))*1000000,IF(ISNUMBER(SEARCH("%",$C$22)),C23*10000,IF(ISNUMBER(SEARCH("ppm",$C$22)),C23/10000,"Not selected"))))</f>
        <v>Not selected</v>
      </c>
      <c r="G23" s="13"/>
      <c r="H23" s="10"/>
      <c r="I23" s="10"/>
      <c r="J23" s="14"/>
      <c r="K23" s="53" t="str">
        <f t="shared" ref="K23:K62" si="3">IF(ISNUMBER(SEARCH("delta",$C$22)),SQRT((((((C23/1000)+1)*($D$6+$D$7))-D23)^2)+((((((C23+$D$19)/1000)+1)*$D$6)-D23)^2)),IF(ISNUMBER(SEARCH("ratio",$C$22)),SQRT(((((((C23/($D$6+$D$7))-1)*1000))-D23)^2)+(((((((C23+$D$19)/$D$6)-1)*1000))-D23)^2)),IF(ISNUMBER(SEARCH("%",$C$22)),SQRT((((((((C23/(100-C23))/($D$6+$D$7))-1)*1000))-D23)^2)+((((((((C23+$D$19)/(100-(C23+$D$19)))/$D$6)-1)*1000))-D23)^2)),IF(ISNUMBER(SEARCH("ppm",$C$22)),SQRT((((((((C23/10000)/(100-(C23/10000)))/($D$6+$D$7))-1)*1000)-D23)^2)+(((((((((C23+$D$19)/10000)/(100-((C23+$D$19)/10000)))/$D$6)-1)*1000))-D23)^2)),"Not selected"))))</f>
        <v>Not selected</v>
      </c>
      <c r="L23" s="114" t="str">
        <f t="shared" ref="L23:L62" si="4">IF(ISNUMBER(SEARCH("delta",$C$22)),SQRT((((((((C23/1000)+1)*$D$6)/(((((C23/1000)+1)^$D$17)*$D$12)+(((C23/1000)+1)*$D$6)+((((C23/1000)+1)^$D$15)*($D$9+$D$10))+1))*100)-E23)^2)+(((((((C23/1000)+1)*($D$6+$D$7))/(((((C23/1000)+1)^$D$17)*$D$12)+(((C23/1000)+1)*($D$6+$D$7))+((((C23/1000)+1)^$D$15)*($D$9))+1))*100)-E23)^2)+(((((((C23/1000)+1)*$D$6)/(((((C23/1000)+1)^$D$17)*($D$12+$D$13)+(((C23/1000)+1)*$D$6)+((((C23/1000)+1)^$D$15)*($D$9))+1))*100))-E23)^2)+(((((((C23/1000)+1)*$D$6)/(((((C23/1000)+1)^$D$17)*$D$12)+(((C23/1000)+1)*$D$6)+((((C23/1000)+1)^$D$15)*($D$9))+1))*100)-E23)^2)+(((((((C23/1000)+1)*$D$6)/(((((C23/1000)+1)^$D$17)*$D$12)+(((C23/1000)+1)*$D$6)+((((C23/1000)+1)^$D$15)*($D$9))+1))*100)-E23)^2)+((((((((C23+$D$19)/1000)+1)*$D$6)/((((((C23+$D$19)/1000)+1)^$D$17)*$D$12)+((((C23+$D$19)/1000)+1)*$D$6)+(((((C23+$D$19)/1000)+1)^$D$15)*($D$9))+1))*100)-E23)^2)),IF(ISNUMBER(SEARCH("ratio",$C$22)),SQRT(((((C23/((((C23/$D$6)^$D$17)*$D$12)+C23+(((C23/$D$6)^$D$15)*($D$9+$D$10))+1))*100)-E23)^2)+((((C23/((((C23/($D$6+$D$7))^$D$17)*$D$12)+C23+(((C23/($D$6+$D$7))^$D$15)*($D$9))+1))*100)-E23)^2)+((((C23/((((C23/$D$6)^$D$17)*($D$12+$D$13))+C23+(((C23/$D$6)^$D$15)*($D$9))+1))*100)-E23)^2)+((((C23/((((C23/$D$6)^$D$17)*$D$12)+C23+(((C23/$D$6)^$D$15)*($D$9))+1))*100)-E23)^2)+((((C23/((((C23/$D$6)^$D$17)*$D$12)+C23+(((C23/$D$6)^$D$15)*($D$9))+1))*100)-E23)^2)+(((((C23+$D$19)/(((((C23+$D$19)/$D$6)^$D$17)*$D$12)+(C23+$D$19)+((((C23+$D$19)/$D$6)^$D$15)*($D$9))+1))*100)-E23)^2)),IF(ISNUMBER(SEARCH("%",$C$22)),SQRT(((((C23/(100-C23)))-E23)^2)+(((((C23+$D$19)/(100-(C23+$D$19))))-E23)^2)),
IF(ISNUMBER(SEARCH("ppm",$C$22)),SQRT((((((C23/10000)/(100-(C23/10000))))-E23)^2)+((((((C23+$D$19)/10000)/(100-((C23+$D$19)/10000))))-E23)^2)),"Not selected"))))</f>
        <v>Not selected</v>
      </c>
      <c r="M23" s="115" t="str">
        <f t="shared" ref="M23:M62" si="5">IF(ISNUMBER(SEARCH("delta",$C$22)),SQRT((((((((C23/1000)+1)*$D$6)/(((((C23/1000)+1)^$D$17)*$D$12)+(((C23/1000)+1)*$D$6)+((((C23/1000)+1)^$D$15)*($D$9+$D$10))+1))*1000000)-F23)^2)+(((((((C23/1000)+1)*($D$6+$D$7))/(((((C23/1000)+1)^$D$17)*$D$12)+(((C23/1000)+1)*($D$6+$D$7))+((((C23/1000)+1)^$D$15)*($D$9))+1))*1000000)-F23)^2)+(((((((C23/1000)+1)*$D$6)/(((((C23/1000)+1)^$D$17)*($D$12+$D$13)+(((C23/1000)+1)*$D$6)+((((C23/1000)+1)^$D$15)*($D$9))+1))*1000000))-F23)^2)+(((((((C23/1000)+1)*$D$6)/(((((C23/1000)+1)^$D$17)*$D$12)+(((C23/1000)+1)*$D$6)+((((C23/1000)+1)^$D$15)*($D$9))+1))*1000000)-F23)^2)+(((((((C23/1000)+1)*$D$6)/(((((C23/1000)+1)^$D$17)*$D$12)+(((C23/1000)+1)*$D$6)+((((C23/1000)+1)^$D$15)*($D$9))+1))*1000000)-F23)^2)+((((((((C23+$D$19)/1000)+1)*$D$6)/((((((C23+$D$19)/1000)+1)^$D$17)*$D$12)+((((C23+$D$19)/1000)+1)*$D$6)+(((((C23+$D$19)/1000)+1)^$D$15)*($D$9))+1))*1000000)-F23)^2)),IF(ISNUMBER(SEARCH("ratio",$C$22)),SQRT(((((C23/((((C23/$D$6)^$D$17)*$D$12)+C23+(((C23/$D$6)^$D$15)*($D$9+$D$10))+1))*1000000)-F23)^2)+((((C23/((((C23/($D$6+$D$7))^$D$17)*$D$12)+C23+(((C23/($D$6+$D$7))^$D$15)*($D$9))+1))*1000000)-F23)^2)+((((C23/((((C23/$D$6)^$D$17)*($D$12+$D$13))+C23+(((C23/$D$6)^$D$15)*($D$9))+1))*1000000)-F23)^2)+((((C23/((((C23/$D$6)^$D$17)*$D$12)+C23+(((C23/$D$6)^$D$15)*($D$9))+1))*1000000)-F23)^2)+((((C23/((((C23/$D$6)^$D$17)*$D$12)+C23+(((C23/$D$6)^$D$15)*($D$9))+1))*1000000)-F23)^2)+(((((C23+$D$19)/(((((C23+$D$19)/$D$6)^$D$17)*$D$12)+(C23+$D$19)+((((C23+$D$19)/$D$6)^$D$15)*($D$9))+1))*1000000)-F23)^2)),IF(ISNUMBER(SEARCH("%",$C$22)),SQRT((((C23*10000)-F23)^2)+((((C23+$D$19)*10000)-F23)^2)),IF(ISNUMBER(SEARCH("ppm",$C$22)),SQRT((((C23/10000)-F23)^2)+((((C23+$D$19)/10000)-F23)^2)),"Not selected"))))</f>
        <v>Not selected</v>
      </c>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row>
    <row r="24" spans="1:116" s="2" customFormat="1" ht="14" x14ac:dyDescent="0.2">
      <c r="A24" s="10"/>
      <c r="B24" s="29" t="s">
        <v>60</v>
      </c>
      <c r="C24" s="49">
        <v>0</v>
      </c>
      <c r="D24" s="162" t="str">
        <f t="shared" si="0"/>
        <v>Not selected</v>
      </c>
      <c r="E24" s="51" t="str">
        <f t="shared" si="1"/>
        <v>Not selected</v>
      </c>
      <c r="F24" s="52" t="str">
        <f t="shared" si="2"/>
        <v>Not selected</v>
      </c>
      <c r="G24" s="13"/>
      <c r="H24" s="10"/>
      <c r="I24" s="10"/>
      <c r="J24" s="14"/>
      <c r="K24" s="53" t="str">
        <f t="shared" si="3"/>
        <v>Not selected</v>
      </c>
      <c r="L24" s="114" t="str">
        <f t="shared" si="4"/>
        <v>Not selected</v>
      </c>
      <c r="M24" s="115" t="str">
        <f t="shared" si="5"/>
        <v>Not selected</v>
      </c>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row>
    <row r="25" spans="1:116" s="2" customFormat="1" ht="14" x14ac:dyDescent="0.2">
      <c r="A25" s="10"/>
      <c r="B25" s="29" t="s">
        <v>60</v>
      </c>
      <c r="C25" s="49">
        <v>0</v>
      </c>
      <c r="D25" s="162" t="str">
        <f t="shared" si="0"/>
        <v>Not selected</v>
      </c>
      <c r="E25" s="51" t="str">
        <f t="shared" si="1"/>
        <v>Not selected</v>
      </c>
      <c r="F25" s="52" t="str">
        <f t="shared" si="2"/>
        <v>Not selected</v>
      </c>
      <c r="G25" s="13"/>
      <c r="H25" s="10"/>
      <c r="I25" s="10"/>
      <c r="J25" s="14"/>
      <c r="K25" s="53" t="str">
        <f t="shared" si="3"/>
        <v>Not selected</v>
      </c>
      <c r="L25" s="114" t="str">
        <f t="shared" si="4"/>
        <v>Not selected</v>
      </c>
      <c r="M25" s="115" t="str">
        <f t="shared" si="5"/>
        <v>Not selected</v>
      </c>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row>
    <row r="26" spans="1:116" s="2" customFormat="1" ht="14" x14ac:dyDescent="0.2">
      <c r="A26" s="10"/>
      <c r="B26" s="29" t="s">
        <v>60</v>
      </c>
      <c r="C26" s="49">
        <v>0</v>
      </c>
      <c r="D26" s="162" t="str">
        <f t="shared" si="0"/>
        <v>Not selected</v>
      </c>
      <c r="E26" s="51" t="str">
        <f t="shared" si="1"/>
        <v>Not selected</v>
      </c>
      <c r="F26" s="52" t="str">
        <f t="shared" si="2"/>
        <v>Not selected</v>
      </c>
      <c r="G26" s="13"/>
      <c r="H26" s="10"/>
      <c r="I26" s="10"/>
      <c r="J26" s="14"/>
      <c r="K26" s="53" t="str">
        <f t="shared" si="3"/>
        <v>Not selected</v>
      </c>
      <c r="L26" s="114" t="str">
        <f t="shared" si="4"/>
        <v>Not selected</v>
      </c>
      <c r="M26" s="115" t="str">
        <f t="shared" si="5"/>
        <v>Not selected</v>
      </c>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row>
    <row r="27" spans="1:116" s="2" customFormat="1" ht="14" x14ac:dyDescent="0.2">
      <c r="A27" s="10"/>
      <c r="B27" s="29" t="s">
        <v>60</v>
      </c>
      <c r="C27" s="49">
        <v>0</v>
      </c>
      <c r="D27" s="162" t="str">
        <f t="shared" si="0"/>
        <v>Not selected</v>
      </c>
      <c r="E27" s="51" t="str">
        <f t="shared" si="1"/>
        <v>Not selected</v>
      </c>
      <c r="F27" s="52" t="str">
        <f t="shared" si="2"/>
        <v>Not selected</v>
      </c>
      <c r="G27" s="13"/>
      <c r="H27" s="10"/>
      <c r="I27" s="10"/>
      <c r="J27" s="14"/>
      <c r="K27" s="53" t="str">
        <f t="shared" si="3"/>
        <v>Not selected</v>
      </c>
      <c r="L27" s="114" t="str">
        <f t="shared" si="4"/>
        <v>Not selected</v>
      </c>
      <c r="M27" s="115" t="str">
        <f t="shared" si="5"/>
        <v>Not selected</v>
      </c>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row>
    <row r="28" spans="1:116" s="2" customFormat="1" ht="14" x14ac:dyDescent="0.2">
      <c r="A28" s="10"/>
      <c r="B28" s="29" t="s">
        <v>60</v>
      </c>
      <c r="C28" s="49">
        <v>0</v>
      </c>
      <c r="D28" s="162" t="str">
        <f t="shared" si="0"/>
        <v>Not selected</v>
      </c>
      <c r="E28" s="51" t="str">
        <f t="shared" si="1"/>
        <v>Not selected</v>
      </c>
      <c r="F28" s="52" t="str">
        <f t="shared" si="2"/>
        <v>Not selected</v>
      </c>
      <c r="G28" s="13"/>
      <c r="H28" s="10"/>
      <c r="I28" s="10"/>
      <c r="J28" s="14"/>
      <c r="K28" s="53" t="str">
        <f t="shared" si="3"/>
        <v>Not selected</v>
      </c>
      <c r="L28" s="114" t="str">
        <f t="shared" si="4"/>
        <v>Not selected</v>
      </c>
      <c r="M28" s="115" t="str">
        <f t="shared" si="5"/>
        <v>Not selected</v>
      </c>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row>
    <row r="29" spans="1:116" s="2" customFormat="1" ht="14" x14ac:dyDescent="0.2">
      <c r="A29" s="10"/>
      <c r="B29" s="29" t="s">
        <v>60</v>
      </c>
      <c r="C29" s="49">
        <v>0</v>
      </c>
      <c r="D29" s="162" t="str">
        <f t="shared" si="0"/>
        <v>Not selected</v>
      </c>
      <c r="E29" s="51" t="str">
        <f t="shared" si="1"/>
        <v>Not selected</v>
      </c>
      <c r="F29" s="52" t="str">
        <f t="shared" si="2"/>
        <v>Not selected</v>
      </c>
      <c r="G29" s="13"/>
      <c r="H29" s="10"/>
      <c r="I29" s="10"/>
      <c r="J29" s="14"/>
      <c r="K29" s="53" t="str">
        <f t="shared" si="3"/>
        <v>Not selected</v>
      </c>
      <c r="L29" s="114" t="str">
        <f t="shared" si="4"/>
        <v>Not selected</v>
      </c>
      <c r="M29" s="115" t="str">
        <f t="shared" si="5"/>
        <v>Not selected</v>
      </c>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row>
    <row r="30" spans="1:116" s="2" customFormat="1" ht="14" x14ac:dyDescent="0.2">
      <c r="A30" s="10"/>
      <c r="B30" s="29" t="s">
        <v>60</v>
      </c>
      <c r="C30" s="49">
        <v>0</v>
      </c>
      <c r="D30" s="162" t="str">
        <f t="shared" si="0"/>
        <v>Not selected</v>
      </c>
      <c r="E30" s="51" t="str">
        <f t="shared" si="1"/>
        <v>Not selected</v>
      </c>
      <c r="F30" s="52" t="str">
        <f t="shared" si="2"/>
        <v>Not selected</v>
      </c>
      <c r="G30" s="13"/>
      <c r="H30" s="10"/>
      <c r="I30" s="10"/>
      <c r="J30" s="14"/>
      <c r="K30" s="53" t="str">
        <f t="shared" si="3"/>
        <v>Not selected</v>
      </c>
      <c r="L30" s="114" t="str">
        <f t="shared" si="4"/>
        <v>Not selected</v>
      </c>
      <c r="M30" s="115" t="str">
        <f t="shared" si="5"/>
        <v>Not selected</v>
      </c>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row>
    <row r="31" spans="1:116" s="2" customFormat="1" ht="14" x14ac:dyDescent="0.2">
      <c r="A31" s="10"/>
      <c r="B31" s="29" t="s">
        <v>60</v>
      </c>
      <c r="C31" s="49">
        <v>0</v>
      </c>
      <c r="D31" s="162" t="str">
        <f t="shared" si="0"/>
        <v>Not selected</v>
      </c>
      <c r="E31" s="51" t="str">
        <f t="shared" si="1"/>
        <v>Not selected</v>
      </c>
      <c r="F31" s="52" t="str">
        <f t="shared" si="2"/>
        <v>Not selected</v>
      </c>
      <c r="G31" s="13"/>
      <c r="H31" s="10"/>
      <c r="I31" s="10"/>
      <c r="J31" s="14"/>
      <c r="K31" s="53" t="str">
        <f t="shared" si="3"/>
        <v>Not selected</v>
      </c>
      <c r="L31" s="114" t="str">
        <f t="shared" si="4"/>
        <v>Not selected</v>
      </c>
      <c r="M31" s="115" t="str">
        <f t="shared" si="5"/>
        <v>Not selected</v>
      </c>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row>
    <row r="32" spans="1:116" s="2" customFormat="1" ht="14" x14ac:dyDescent="0.2">
      <c r="A32" s="10"/>
      <c r="B32" s="29" t="s">
        <v>60</v>
      </c>
      <c r="C32" s="49">
        <v>0</v>
      </c>
      <c r="D32" s="162" t="str">
        <f t="shared" si="0"/>
        <v>Not selected</v>
      </c>
      <c r="E32" s="51" t="str">
        <f t="shared" si="1"/>
        <v>Not selected</v>
      </c>
      <c r="F32" s="52" t="str">
        <f t="shared" si="2"/>
        <v>Not selected</v>
      </c>
      <c r="G32" s="13"/>
      <c r="H32" s="10"/>
      <c r="I32" s="10"/>
      <c r="J32" s="14"/>
      <c r="K32" s="53" t="str">
        <f t="shared" si="3"/>
        <v>Not selected</v>
      </c>
      <c r="L32" s="114" t="str">
        <f t="shared" si="4"/>
        <v>Not selected</v>
      </c>
      <c r="M32" s="115" t="str">
        <f t="shared" si="5"/>
        <v>Not selected</v>
      </c>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row>
    <row r="33" spans="1:116" s="2" customFormat="1" ht="14" x14ac:dyDescent="0.2">
      <c r="A33" s="10"/>
      <c r="B33" s="29" t="s">
        <v>60</v>
      </c>
      <c r="C33" s="49">
        <v>0</v>
      </c>
      <c r="D33" s="162" t="str">
        <f t="shared" si="0"/>
        <v>Not selected</v>
      </c>
      <c r="E33" s="51" t="str">
        <f t="shared" si="1"/>
        <v>Not selected</v>
      </c>
      <c r="F33" s="52" t="str">
        <f t="shared" si="2"/>
        <v>Not selected</v>
      </c>
      <c r="G33" s="13"/>
      <c r="H33" s="10"/>
      <c r="I33" s="10"/>
      <c r="J33" s="14"/>
      <c r="K33" s="53" t="str">
        <f t="shared" si="3"/>
        <v>Not selected</v>
      </c>
      <c r="L33" s="114" t="str">
        <f t="shared" si="4"/>
        <v>Not selected</v>
      </c>
      <c r="M33" s="115" t="str">
        <f t="shared" si="5"/>
        <v>Not selected</v>
      </c>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row>
    <row r="34" spans="1:116" s="2" customFormat="1" ht="14" x14ac:dyDescent="0.2">
      <c r="A34" s="10"/>
      <c r="B34" s="29" t="s">
        <v>60</v>
      </c>
      <c r="C34" s="49">
        <v>0</v>
      </c>
      <c r="D34" s="162" t="str">
        <f t="shared" si="0"/>
        <v>Not selected</v>
      </c>
      <c r="E34" s="51" t="str">
        <f t="shared" si="1"/>
        <v>Not selected</v>
      </c>
      <c r="F34" s="52" t="str">
        <f t="shared" si="2"/>
        <v>Not selected</v>
      </c>
      <c r="G34" s="13"/>
      <c r="H34" s="10"/>
      <c r="I34" s="10"/>
      <c r="J34" s="14"/>
      <c r="K34" s="53" t="str">
        <f t="shared" si="3"/>
        <v>Not selected</v>
      </c>
      <c r="L34" s="114" t="str">
        <f t="shared" si="4"/>
        <v>Not selected</v>
      </c>
      <c r="M34" s="115" t="str">
        <f t="shared" si="5"/>
        <v>Not selected</v>
      </c>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row>
    <row r="35" spans="1:116" s="2" customFormat="1" ht="14" x14ac:dyDescent="0.2">
      <c r="A35" s="10"/>
      <c r="B35" s="29" t="s">
        <v>60</v>
      </c>
      <c r="C35" s="49">
        <v>0</v>
      </c>
      <c r="D35" s="162" t="str">
        <f t="shared" si="0"/>
        <v>Not selected</v>
      </c>
      <c r="E35" s="51" t="str">
        <f t="shared" si="1"/>
        <v>Not selected</v>
      </c>
      <c r="F35" s="52" t="str">
        <f t="shared" si="2"/>
        <v>Not selected</v>
      </c>
      <c r="G35" s="13"/>
      <c r="H35" s="10"/>
      <c r="I35" s="10"/>
      <c r="J35" s="14"/>
      <c r="K35" s="53" t="str">
        <f t="shared" si="3"/>
        <v>Not selected</v>
      </c>
      <c r="L35" s="114" t="str">
        <f t="shared" si="4"/>
        <v>Not selected</v>
      </c>
      <c r="M35" s="115" t="str">
        <f t="shared" si="5"/>
        <v>Not selected</v>
      </c>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row>
    <row r="36" spans="1:116" s="2" customFormat="1" ht="14" x14ac:dyDescent="0.2">
      <c r="A36" s="10"/>
      <c r="B36" s="29" t="s">
        <v>60</v>
      </c>
      <c r="C36" s="49">
        <v>0</v>
      </c>
      <c r="D36" s="162" t="str">
        <f t="shared" si="0"/>
        <v>Not selected</v>
      </c>
      <c r="E36" s="51" t="str">
        <f t="shared" si="1"/>
        <v>Not selected</v>
      </c>
      <c r="F36" s="52" t="str">
        <f t="shared" si="2"/>
        <v>Not selected</v>
      </c>
      <c r="G36" s="13"/>
      <c r="H36" s="10"/>
      <c r="I36" s="10"/>
      <c r="J36" s="14"/>
      <c r="K36" s="53" t="str">
        <f t="shared" si="3"/>
        <v>Not selected</v>
      </c>
      <c r="L36" s="114" t="str">
        <f t="shared" si="4"/>
        <v>Not selected</v>
      </c>
      <c r="M36" s="115" t="str">
        <f t="shared" si="5"/>
        <v>Not selected</v>
      </c>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row>
    <row r="37" spans="1:116" s="2" customFormat="1" ht="14" x14ac:dyDescent="0.2">
      <c r="A37" s="10"/>
      <c r="B37" s="29" t="s">
        <v>60</v>
      </c>
      <c r="C37" s="49">
        <v>0</v>
      </c>
      <c r="D37" s="162" t="str">
        <f t="shared" si="0"/>
        <v>Not selected</v>
      </c>
      <c r="E37" s="51" t="str">
        <f t="shared" si="1"/>
        <v>Not selected</v>
      </c>
      <c r="F37" s="52" t="str">
        <f t="shared" si="2"/>
        <v>Not selected</v>
      </c>
      <c r="G37" s="13"/>
      <c r="H37" s="10"/>
      <c r="I37" s="10"/>
      <c r="J37" s="14"/>
      <c r="K37" s="53" t="str">
        <f t="shared" si="3"/>
        <v>Not selected</v>
      </c>
      <c r="L37" s="114" t="str">
        <f t="shared" si="4"/>
        <v>Not selected</v>
      </c>
      <c r="M37" s="115" t="str">
        <f t="shared" si="5"/>
        <v>Not selected</v>
      </c>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row>
    <row r="38" spans="1:116" s="2" customFormat="1" ht="14" x14ac:dyDescent="0.2">
      <c r="A38" s="10"/>
      <c r="B38" s="29" t="s">
        <v>60</v>
      </c>
      <c r="C38" s="49">
        <v>0</v>
      </c>
      <c r="D38" s="162" t="str">
        <f t="shared" si="0"/>
        <v>Not selected</v>
      </c>
      <c r="E38" s="51" t="str">
        <f t="shared" si="1"/>
        <v>Not selected</v>
      </c>
      <c r="F38" s="52" t="str">
        <f t="shared" si="2"/>
        <v>Not selected</v>
      </c>
      <c r="G38" s="13"/>
      <c r="H38" s="10"/>
      <c r="I38" s="10"/>
      <c r="J38" s="14"/>
      <c r="K38" s="53" t="str">
        <f t="shared" si="3"/>
        <v>Not selected</v>
      </c>
      <c r="L38" s="114" t="str">
        <f t="shared" si="4"/>
        <v>Not selected</v>
      </c>
      <c r="M38" s="115" t="str">
        <f t="shared" si="5"/>
        <v>Not selected</v>
      </c>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row>
    <row r="39" spans="1:116" s="2" customFormat="1" ht="14" x14ac:dyDescent="0.2">
      <c r="A39" s="10"/>
      <c r="B39" s="29" t="s">
        <v>60</v>
      </c>
      <c r="C39" s="49">
        <v>0</v>
      </c>
      <c r="D39" s="162" t="str">
        <f t="shared" si="0"/>
        <v>Not selected</v>
      </c>
      <c r="E39" s="51" t="str">
        <f t="shared" si="1"/>
        <v>Not selected</v>
      </c>
      <c r="F39" s="52" t="str">
        <f t="shared" si="2"/>
        <v>Not selected</v>
      </c>
      <c r="G39" s="13"/>
      <c r="H39" s="10"/>
      <c r="I39" s="10"/>
      <c r="J39" s="14"/>
      <c r="K39" s="53" t="str">
        <f t="shared" si="3"/>
        <v>Not selected</v>
      </c>
      <c r="L39" s="114" t="str">
        <f t="shared" si="4"/>
        <v>Not selected</v>
      </c>
      <c r="M39" s="115" t="str">
        <f t="shared" si="5"/>
        <v>Not selected</v>
      </c>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row>
    <row r="40" spans="1:116" s="2" customFormat="1" ht="14" x14ac:dyDescent="0.2">
      <c r="A40" s="10"/>
      <c r="B40" s="29" t="s">
        <v>60</v>
      </c>
      <c r="C40" s="49">
        <v>0</v>
      </c>
      <c r="D40" s="162" t="str">
        <f t="shared" si="0"/>
        <v>Not selected</v>
      </c>
      <c r="E40" s="51" t="str">
        <f t="shared" si="1"/>
        <v>Not selected</v>
      </c>
      <c r="F40" s="52" t="str">
        <f t="shared" si="2"/>
        <v>Not selected</v>
      </c>
      <c r="G40" s="13"/>
      <c r="H40" s="10"/>
      <c r="I40" s="10"/>
      <c r="J40" s="14"/>
      <c r="K40" s="53" t="str">
        <f t="shared" si="3"/>
        <v>Not selected</v>
      </c>
      <c r="L40" s="114" t="str">
        <f t="shared" si="4"/>
        <v>Not selected</v>
      </c>
      <c r="M40" s="115" t="str">
        <f t="shared" si="5"/>
        <v>Not selected</v>
      </c>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row>
    <row r="41" spans="1:116" s="2" customFormat="1" ht="14" x14ac:dyDescent="0.2">
      <c r="A41" s="10"/>
      <c r="B41" s="29" t="s">
        <v>60</v>
      </c>
      <c r="C41" s="49">
        <v>0</v>
      </c>
      <c r="D41" s="162" t="str">
        <f t="shared" si="0"/>
        <v>Not selected</v>
      </c>
      <c r="E41" s="51" t="str">
        <f t="shared" si="1"/>
        <v>Not selected</v>
      </c>
      <c r="F41" s="52" t="str">
        <f t="shared" si="2"/>
        <v>Not selected</v>
      </c>
      <c r="G41" s="13"/>
      <c r="H41" s="10"/>
      <c r="I41" s="10"/>
      <c r="J41" s="14"/>
      <c r="K41" s="53" t="str">
        <f t="shared" si="3"/>
        <v>Not selected</v>
      </c>
      <c r="L41" s="114" t="str">
        <f t="shared" si="4"/>
        <v>Not selected</v>
      </c>
      <c r="M41" s="115" t="str">
        <f t="shared" si="5"/>
        <v>Not selected</v>
      </c>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row>
    <row r="42" spans="1:116" s="2" customFormat="1" ht="14" x14ac:dyDescent="0.2">
      <c r="A42" s="10"/>
      <c r="B42" s="29" t="s">
        <v>60</v>
      </c>
      <c r="C42" s="49">
        <v>0</v>
      </c>
      <c r="D42" s="162" t="str">
        <f t="shared" si="0"/>
        <v>Not selected</v>
      </c>
      <c r="E42" s="51" t="str">
        <f t="shared" si="1"/>
        <v>Not selected</v>
      </c>
      <c r="F42" s="52" t="str">
        <f t="shared" si="2"/>
        <v>Not selected</v>
      </c>
      <c r="G42" s="13"/>
      <c r="H42" s="10"/>
      <c r="I42" s="10"/>
      <c r="J42" s="14"/>
      <c r="K42" s="53" t="str">
        <f t="shared" si="3"/>
        <v>Not selected</v>
      </c>
      <c r="L42" s="114" t="str">
        <f t="shared" si="4"/>
        <v>Not selected</v>
      </c>
      <c r="M42" s="115" t="str">
        <f t="shared" si="5"/>
        <v>Not selected</v>
      </c>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row>
    <row r="43" spans="1:116" s="2" customFormat="1" ht="14" x14ac:dyDescent="0.2">
      <c r="A43" s="10"/>
      <c r="B43" s="29" t="s">
        <v>60</v>
      </c>
      <c r="C43" s="49">
        <v>0</v>
      </c>
      <c r="D43" s="162" t="str">
        <f t="shared" si="0"/>
        <v>Not selected</v>
      </c>
      <c r="E43" s="51" t="str">
        <f t="shared" si="1"/>
        <v>Not selected</v>
      </c>
      <c r="F43" s="52" t="str">
        <f t="shared" si="2"/>
        <v>Not selected</v>
      </c>
      <c r="G43" s="13"/>
      <c r="H43" s="10"/>
      <c r="I43" s="10"/>
      <c r="J43" s="14"/>
      <c r="K43" s="53" t="str">
        <f t="shared" si="3"/>
        <v>Not selected</v>
      </c>
      <c r="L43" s="114" t="str">
        <f t="shared" si="4"/>
        <v>Not selected</v>
      </c>
      <c r="M43" s="115" t="str">
        <f t="shared" si="5"/>
        <v>Not selected</v>
      </c>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row>
    <row r="44" spans="1:116" s="2" customFormat="1" ht="14" x14ac:dyDescent="0.2">
      <c r="A44" s="10"/>
      <c r="B44" s="29" t="s">
        <v>60</v>
      </c>
      <c r="C44" s="49">
        <v>0</v>
      </c>
      <c r="D44" s="162" t="str">
        <f t="shared" si="0"/>
        <v>Not selected</v>
      </c>
      <c r="E44" s="51" t="str">
        <f t="shared" si="1"/>
        <v>Not selected</v>
      </c>
      <c r="F44" s="52" t="str">
        <f t="shared" si="2"/>
        <v>Not selected</v>
      </c>
      <c r="G44" s="13"/>
      <c r="H44" s="10"/>
      <c r="I44" s="10"/>
      <c r="J44" s="14"/>
      <c r="K44" s="53" t="str">
        <f t="shared" si="3"/>
        <v>Not selected</v>
      </c>
      <c r="L44" s="114" t="str">
        <f t="shared" si="4"/>
        <v>Not selected</v>
      </c>
      <c r="M44" s="115" t="str">
        <f t="shared" si="5"/>
        <v>Not selected</v>
      </c>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row>
    <row r="45" spans="1:116" s="2" customFormat="1" ht="14" x14ac:dyDescent="0.2">
      <c r="A45" s="10"/>
      <c r="B45" s="29" t="s">
        <v>60</v>
      </c>
      <c r="C45" s="49">
        <v>0</v>
      </c>
      <c r="D45" s="162" t="str">
        <f t="shared" si="0"/>
        <v>Not selected</v>
      </c>
      <c r="E45" s="51" t="str">
        <f t="shared" si="1"/>
        <v>Not selected</v>
      </c>
      <c r="F45" s="52" t="str">
        <f t="shared" si="2"/>
        <v>Not selected</v>
      </c>
      <c r="G45" s="13"/>
      <c r="H45" s="10"/>
      <c r="I45" s="10"/>
      <c r="J45" s="14"/>
      <c r="K45" s="53" t="str">
        <f t="shared" si="3"/>
        <v>Not selected</v>
      </c>
      <c r="L45" s="114" t="str">
        <f t="shared" si="4"/>
        <v>Not selected</v>
      </c>
      <c r="M45" s="115" t="str">
        <f t="shared" si="5"/>
        <v>Not selected</v>
      </c>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row>
    <row r="46" spans="1:116" s="2" customFormat="1" ht="14" x14ac:dyDescent="0.2">
      <c r="A46" s="10"/>
      <c r="B46" s="29" t="s">
        <v>60</v>
      </c>
      <c r="C46" s="49">
        <v>0</v>
      </c>
      <c r="D46" s="162" t="str">
        <f t="shared" si="0"/>
        <v>Not selected</v>
      </c>
      <c r="E46" s="51" t="str">
        <f t="shared" si="1"/>
        <v>Not selected</v>
      </c>
      <c r="F46" s="52" t="str">
        <f t="shared" si="2"/>
        <v>Not selected</v>
      </c>
      <c r="G46" s="13"/>
      <c r="H46" s="10"/>
      <c r="I46" s="10"/>
      <c r="J46" s="14"/>
      <c r="K46" s="53" t="str">
        <f t="shared" si="3"/>
        <v>Not selected</v>
      </c>
      <c r="L46" s="114" t="str">
        <f t="shared" si="4"/>
        <v>Not selected</v>
      </c>
      <c r="M46" s="115" t="str">
        <f t="shared" si="5"/>
        <v>Not selected</v>
      </c>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row>
    <row r="47" spans="1:116" s="2" customFormat="1" ht="14" x14ac:dyDescent="0.2">
      <c r="A47" s="10"/>
      <c r="B47" s="29" t="s">
        <v>60</v>
      </c>
      <c r="C47" s="49">
        <v>0</v>
      </c>
      <c r="D47" s="162" t="str">
        <f t="shared" si="0"/>
        <v>Not selected</v>
      </c>
      <c r="E47" s="51" t="str">
        <f t="shared" si="1"/>
        <v>Not selected</v>
      </c>
      <c r="F47" s="52" t="str">
        <f t="shared" si="2"/>
        <v>Not selected</v>
      </c>
      <c r="G47" s="13"/>
      <c r="H47" s="10"/>
      <c r="I47" s="10"/>
      <c r="J47" s="14"/>
      <c r="K47" s="53" t="str">
        <f t="shared" si="3"/>
        <v>Not selected</v>
      </c>
      <c r="L47" s="114" t="str">
        <f t="shared" si="4"/>
        <v>Not selected</v>
      </c>
      <c r="M47" s="115" t="str">
        <f t="shared" si="5"/>
        <v>Not selected</v>
      </c>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row>
    <row r="48" spans="1:116" s="2" customFormat="1" ht="14" x14ac:dyDescent="0.2">
      <c r="A48" s="10"/>
      <c r="B48" s="29" t="s">
        <v>60</v>
      </c>
      <c r="C48" s="49">
        <v>0</v>
      </c>
      <c r="D48" s="162" t="str">
        <f t="shared" si="0"/>
        <v>Not selected</v>
      </c>
      <c r="E48" s="51" t="str">
        <f t="shared" si="1"/>
        <v>Not selected</v>
      </c>
      <c r="F48" s="52" t="str">
        <f t="shared" si="2"/>
        <v>Not selected</v>
      </c>
      <c r="G48" s="13"/>
      <c r="H48" s="10"/>
      <c r="I48" s="10"/>
      <c r="J48" s="14"/>
      <c r="K48" s="53" t="str">
        <f t="shared" si="3"/>
        <v>Not selected</v>
      </c>
      <c r="L48" s="114" t="str">
        <f t="shared" si="4"/>
        <v>Not selected</v>
      </c>
      <c r="M48" s="115" t="str">
        <f t="shared" si="5"/>
        <v>Not selected</v>
      </c>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row>
    <row r="49" spans="1:116" s="2" customFormat="1" ht="14" x14ac:dyDescent="0.2">
      <c r="A49" s="10"/>
      <c r="B49" s="29" t="s">
        <v>60</v>
      </c>
      <c r="C49" s="49">
        <v>0</v>
      </c>
      <c r="D49" s="162" t="str">
        <f t="shared" si="0"/>
        <v>Not selected</v>
      </c>
      <c r="E49" s="51" t="str">
        <f t="shared" si="1"/>
        <v>Not selected</v>
      </c>
      <c r="F49" s="52" t="str">
        <f t="shared" si="2"/>
        <v>Not selected</v>
      </c>
      <c r="G49" s="13"/>
      <c r="H49" s="10"/>
      <c r="I49" s="10"/>
      <c r="J49" s="14"/>
      <c r="K49" s="53" t="str">
        <f t="shared" si="3"/>
        <v>Not selected</v>
      </c>
      <c r="L49" s="114" t="str">
        <f t="shared" si="4"/>
        <v>Not selected</v>
      </c>
      <c r="M49" s="115" t="str">
        <f t="shared" si="5"/>
        <v>Not selected</v>
      </c>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row>
    <row r="50" spans="1:116" s="2" customFormat="1" ht="14" x14ac:dyDescent="0.2">
      <c r="A50" s="10"/>
      <c r="B50" s="29" t="s">
        <v>60</v>
      </c>
      <c r="C50" s="49">
        <v>0</v>
      </c>
      <c r="D50" s="162" t="str">
        <f t="shared" si="0"/>
        <v>Not selected</v>
      </c>
      <c r="E50" s="51" t="str">
        <f t="shared" si="1"/>
        <v>Not selected</v>
      </c>
      <c r="F50" s="52" t="str">
        <f t="shared" si="2"/>
        <v>Not selected</v>
      </c>
      <c r="G50" s="13"/>
      <c r="H50" s="10"/>
      <c r="I50" s="10"/>
      <c r="J50" s="14"/>
      <c r="K50" s="53" t="str">
        <f t="shared" si="3"/>
        <v>Not selected</v>
      </c>
      <c r="L50" s="114" t="str">
        <f t="shared" si="4"/>
        <v>Not selected</v>
      </c>
      <c r="M50" s="115" t="str">
        <f t="shared" si="5"/>
        <v>Not selected</v>
      </c>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row>
    <row r="51" spans="1:116" s="2" customFormat="1" ht="14" x14ac:dyDescent="0.2">
      <c r="A51" s="10"/>
      <c r="B51" s="29" t="s">
        <v>60</v>
      </c>
      <c r="C51" s="49">
        <v>0</v>
      </c>
      <c r="D51" s="162" t="str">
        <f t="shared" si="0"/>
        <v>Not selected</v>
      </c>
      <c r="E51" s="51" t="str">
        <f t="shared" si="1"/>
        <v>Not selected</v>
      </c>
      <c r="F51" s="52" t="str">
        <f t="shared" si="2"/>
        <v>Not selected</v>
      </c>
      <c r="G51" s="13"/>
      <c r="H51" s="10"/>
      <c r="I51" s="10"/>
      <c r="J51" s="14"/>
      <c r="K51" s="53" t="str">
        <f t="shared" si="3"/>
        <v>Not selected</v>
      </c>
      <c r="L51" s="114" t="str">
        <f t="shared" si="4"/>
        <v>Not selected</v>
      </c>
      <c r="M51" s="115" t="str">
        <f t="shared" si="5"/>
        <v>Not selected</v>
      </c>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row>
    <row r="52" spans="1:116" s="2" customFormat="1" ht="14" x14ac:dyDescent="0.2">
      <c r="A52" s="10"/>
      <c r="B52" s="29" t="s">
        <v>60</v>
      </c>
      <c r="C52" s="49">
        <v>0</v>
      </c>
      <c r="D52" s="162" t="str">
        <f t="shared" si="0"/>
        <v>Not selected</v>
      </c>
      <c r="E52" s="51" t="str">
        <f t="shared" si="1"/>
        <v>Not selected</v>
      </c>
      <c r="F52" s="52" t="str">
        <f t="shared" si="2"/>
        <v>Not selected</v>
      </c>
      <c r="G52" s="13"/>
      <c r="H52" s="10"/>
      <c r="I52" s="10"/>
      <c r="J52" s="14"/>
      <c r="K52" s="53" t="str">
        <f t="shared" si="3"/>
        <v>Not selected</v>
      </c>
      <c r="L52" s="114" t="str">
        <f t="shared" si="4"/>
        <v>Not selected</v>
      </c>
      <c r="M52" s="115" t="str">
        <f t="shared" si="5"/>
        <v>Not selected</v>
      </c>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row>
    <row r="53" spans="1:116" s="2" customFormat="1" ht="14" x14ac:dyDescent="0.2">
      <c r="A53" s="10"/>
      <c r="B53" s="29" t="s">
        <v>60</v>
      </c>
      <c r="C53" s="49">
        <v>0</v>
      </c>
      <c r="D53" s="162" t="str">
        <f t="shared" si="0"/>
        <v>Not selected</v>
      </c>
      <c r="E53" s="51" t="str">
        <f t="shared" si="1"/>
        <v>Not selected</v>
      </c>
      <c r="F53" s="52" t="str">
        <f t="shared" si="2"/>
        <v>Not selected</v>
      </c>
      <c r="G53" s="13"/>
      <c r="H53" s="10"/>
      <c r="I53" s="10"/>
      <c r="J53" s="14"/>
      <c r="K53" s="53" t="str">
        <f t="shared" si="3"/>
        <v>Not selected</v>
      </c>
      <c r="L53" s="114" t="str">
        <f t="shared" si="4"/>
        <v>Not selected</v>
      </c>
      <c r="M53" s="115" t="str">
        <f t="shared" si="5"/>
        <v>Not selected</v>
      </c>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row>
    <row r="54" spans="1:116" s="2" customFormat="1" ht="14" x14ac:dyDescent="0.2">
      <c r="A54" s="10"/>
      <c r="B54" s="29" t="s">
        <v>60</v>
      </c>
      <c r="C54" s="49">
        <v>0</v>
      </c>
      <c r="D54" s="162" t="str">
        <f t="shared" si="0"/>
        <v>Not selected</v>
      </c>
      <c r="E54" s="51" t="str">
        <f t="shared" si="1"/>
        <v>Not selected</v>
      </c>
      <c r="F54" s="52" t="str">
        <f t="shared" si="2"/>
        <v>Not selected</v>
      </c>
      <c r="G54" s="13"/>
      <c r="H54" s="10"/>
      <c r="I54" s="10"/>
      <c r="J54" s="14"/>
      <c r="K54" s="53" t="str">
        <f t="shared" si="3"/>
        <v>Not selected</v>
      </c>
      <c r="L54" s="114" t="str">
        <f t="shared" si="4"/>
        <v>Not selected</v>
      </c>
      <c r="M54" s="115" t="str">
        <f t="shared" si="5"/>
        <v>Not selected</v>
      </c>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row>
    <row r="55" spans="1:116" s="2" customFormat="1" ht="14" x14ac:dyDescent="0.2">
      <c r="A55" s="10"/>
      <c r="B55" s="29" t="s">
        <v>60</v>
      </c>
      <c r="C55" s="49">
        <v>0</v>
      </c>
      <c r="D55" s="162" t="str">
        <f t="shared" si="0"/>
        <v>Not selected</v>
      </c>
      <c r="E55" s="51" t="str">
        <f t="shared" si="1"/>
        <v>Not selected</v>
      </c>
      <c r="F55" s="52" t="str">
        <f t="shared" si="2"/>
        <v>Not selected</v>
      </c>
      <c r="G55" s="13"/>
      <c r="H55" s="10"/>
      <c r="I55" s="10"/>
      <c r="J55" s="14"/>
      <c r="K55" s="53" t="str">
        <f t="shared" si="3"/>
        <v>Not selected</v>
      </c>
      <c r="L55" s="114" t="str">
        <f t="shared" si="4"/>
        <v>Not selected</v>
      </c>
      <c r="M55" s="115" t="str">
        <f t="shared" si="5"/>
        <v>Not selected</v>
      </c>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row>
    <row r="56" spans="1:116" s="2" customFormat="1" ht="14" x14ac:dyDescent="0.2">
      <c r="A56" s="10"/>
      <c r="B56" s="29" t="s">
        <v>60</v>
      </c>
      <c r="C56" s="49">
        <v>0</v>
      </c>
      <c r="D56" s="162" t="str">
        <f t="shared" si="0"/>
        <v>Not selected</v>
      </c>
      <c r="E56" s="51" t="str">
        <f t="shared" si="1"/>
        <v>Not selected</v>
      </c>
      <c r="F56" s="52" t="str">
        <f t="shared" si="2"/>
        <v>Not selected</v>
      </c>
      <c r="G56" s="13"/>
      <c r="H56" s="10"/>
      <c r="I56" s="10"/>
      <c r="J56" s="14"/>
      <c r="K56" s="53" t="str">
        <f t="shared" si="3"/>
        <v>Not selected</v>
      </c>
      <c r="L56" s="114" t="str">
        <f t="shared" si="4"/>
        <v>Not selected</v>
      </c>
      <c r="M56" s="115" t="str">
        <f t="shared" si="5"/>
        <v>Not selected</v>
      </c>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row>
    <row r="57" spans="1:116" s="2" customFormat="1" ht="14" x14ac:dyDescent="0.2">
      <c r="A57" s="10"/>
      <c r="B57" s="29" t="s">
        <v>60</v>
      </c>
      <c r="C57" s="49">
        <v>0</v>
      </c>
      <c r="D57" s="162" t="str">
        <f t="shared" si="0"/>
        <v>Not selected</v>
      </c>
      <c r="E57" s="51" t="str">
        <f t="shared" si="1"/>
        <v>Not selected</v>
      </c>
      <c r="F57" s="52" t="str">
        <f t="shared" si="2"/>
        <v>Not selected</v>
      </c>
      <c r="G57" s="13"/>
      <c r="H57" s="10"/>
      <c r="I57" s="10"/>
      <c r="J57" s="14"/>
      <c r="K57" s="53" t="str">
        <f t="shared" si="3"/>
        <v>Not selected</v>
      </c>
      <c r="L57" s="114" t="str">
        <f t="shared" si="4"/>
        <v>Not selected</v>
      </c>
      <c r="M57" s="115" t="str">
        <f t="shared" si="5"/>
        <v>Not selected</v>
      </c>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row>
    <row r="58" spans="1:116" s="2" customFormat="1" ht="14" x14ac:dyDescent="0.2">
      <c r="A58" s="10"/>
      <c r="B58" s="29" t="s">
        <v>60</v>
      </c>
      <c r="C58" s="49">
        <v>0</v>
      </c>
      <c r="D58" s="162" t="str">
        <f t="shared" si="0"/>
        <v>Not selected</v>
      </c>
      <c r="E58" s="51" t="str">
        <f t="shared" si="1"/>
        <v>Not selected</v>
      </c>
      <c r="F58" s="52" t="str">
        <f t="shared" si="2"/>
        <v>Not selected</v>
      </c>
      <c r="G58" s="13"/>
      <c r="H58" s="10"/>
      <c r="I58" s="10"/>
      <c r="J58" s="14"/>
      <c r="K58" s="53" t="str">
        <f t="shared" si="3"/>
        <v>Not selected</v>
      </c>
      <c r="L58" s="114" t="str">
        <f t="shared" si="4"/>
        <v>Not selected</v>
      </c>
      <c r="M58" s="115" t="str">
        <f t="shared" si="5"/>
        <v>Not selected</v>
      </c>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row>
    <row r="59" spans="1:116" s="2" customFormat="1" ht="14" x14ac:dyDescent="0.2">
      <c r="A59" s="10"/>
      <c r="B59" s="29" t="s">
        <v>60</v>
      </c>
      <c r="C59" s="49">
        <v>0</v>
      </c>
      <c r="D59" s="162" t="str">
        <f t="shared" si="0"/>
        <v>Not selected</v>
      </c>
      <c r="E59" s="51" t="str">
        <f t="shared" si="1"/>
        <v>Not selected</v>
      </c>
      <c r="F59" s="52" t="str">
        <f t="shared" si="2"/>
        <v>Not selected</v>
      </c>
      <c r="G59" s="13"/>
      <c r="H59" s="10"/>
      <c r="I59" s="10"/>
      <c r="J59" s="14"/>
      <c r="K59" s="53" t="str">
        <f t="shared" si="3"/>
        <v>Not selected</v>
      </c>
      <c r="L59" s="114" t="str">
        <f t="shared" si="4"/>
        <v>Not selected</v>
      </c>
      <c r="M59" s="115" t="str">
        <f t="shared" si="5"/>
        <v>Not selected</v>
      </c>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row>
    <row r="60" spans="1:116" s="2" customFormat="1" ht="14" x14ac:dyDescent="0.2">
      <c r="A60" s="10"/>
      <c r="B60" s="29" t="s">
        <v>60</v>
      </c>
      <c r="C60" s="49">
        <v>0</v>
      </c>
      <c r="D60" s="162" t="str">
        <f t="shared" si="0"/>
        <v>Not selected</v>
      </c>
      <c r="E60" s="51" t="str">
        <f t="shared" si="1"/>
        <v>Not selected</v>
      </c>
      <c r="F60" s="52" t="str">
        <f t="shared" si="2"/>
        <v>Not selected</v>
      </c>
      <c r="G60" s="13"/>
      <c r="H60" s="10"/>
      <c r="I60" s="10"/>
      <c r="J60" s="14"/>
      <c r="K60" s="53" t="str">
        <f t="shared" si="3"/>
        <v>Not selected</v>
      </c>
      <c r="L60" s="114" t="str">
        <f t="shared" si="4"/>
        <v>Not selected</v>
      </c>
      <c r="M60" s="115" t="str">
        <f t="shared" si="5"/>
        <v>Not selected</v>
      </c>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row>
    <row r="61" spans="1:116" s="2" customFormat="1" ht="14" x14ac:dyDescent="0.2">
      <c r="A61" s="10"/>
      <c r="B61" s="29" t="s">
        <v>60</v>
      </c>
      <c r="C61" s="49">
        <v>0</v>
      </c>
      <c r="D61" s="162" t="str">
        <f t="shared" si="0"/>
        <v>Not selected</v>
      </c>
      <c r="E61" s="51" t="str">
        <f t="shared" si="1"/>
        <v>Not selected</v>
      </c>
      <c r="F61" s="52" t="str">
        <f t="shared" si="2"/>
        <v>Not selected</v>
      </c>
      <c r="G61" s="13"/>
      <c r="H61" s="10"/>
      <c r="I61" s="10"/>
      <c r="J61" s="14"/>
      <c r="K61" s="53" t="str">
        <f t="shared" si="3"/>
        <v>Not selected</v>
      </c>
      <c r="L61" s="114" t="str">
        <f t="shared" si="4"/>
        <v>Not selected</v>
      </c>
      <c r="M61" s="115" t="str">
        <f t="shared" si="5"/>
        <v>Not selected</v>
      </c>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row>
    <row r="62" spans="1:116" ht="16" thickBot="1" x14ac:dyDescent="0.25">
      <c r="B62" s="30" t="s">
        <v>60</v>
      </c>
      <c r="C62" s="55">
        <v>0</v>
      </c>
      <c r="D62" s="164" t="str">
        <f t="shared" si="0"/>
        <v>Not selected</v>
      </c>
      <c r="E62" s="57" t="str">
        <f t="shared" si="1"/>
        <v>Not selected</v>
      </c>
      <c r="F62" s="58" t="str">
        <f t="shared" si="2"/>
        <v>Not selected</v>
      </c>
      <c r="G62" s="15"/>
      <c r="H62" s="63"/>
      <c r="I62" s="63"/>
      <c r="J62" s="16"/>
      <c r="K62" s="60" t="str">
        <f t="shared" si="3"/>
        <v>Not selected</v>
      </c>
      <c r="L62" s="133" t="str">
        <f t="shared" si="4"/>
        <v>Not selected</v>
      </c>
      <c r="M62" s="128" t="str">
        <f t="shared" si="5"/>
        <v>Not selected</v>
      </c>
    </row>
    <row r="63" spans="1:116" x14ac:dyDescent="0.2">
      <c r="B63" s="62"/>
      <c r="J63" s="10"/>
    </row>
    <row r="64" spans="1:116" x14ac:dyDescent="0.2">
      <c r="B64" s="62"/>
      <c r="J64" s="10"/>
    </row>
    <row r="65" spans="2:10" x14ac:dyDescent="0.2">
      <c r="B65" s="62"/>
      <c r="J65" s="10"/>
    </row>
    <row r="66" spans="2:10" x14ac:dyDescent="0.2">
      <c r="B66" s="62"/>
      <c r="J66" s="10"/>
    </row>
    <row r="67" spans="2:10" x14ac:dyDescent="0.2">
      <c r="B67" s="62"/>
      <c r="J67" s="10"/>
    </row>
    <row r="68" spans="2:10" x14ac:dyDescent="0.2">
      <c r="B68" s="62"/>
      <c r="J68" s="10"/>
    </row>
    <row r="69" spans="2:10" x14ac:dyDescent="0.2">
      <c r="B69" s="62"/>
      <c r="J69" s="10"/>
    </row>
    <row r="70" spans="2:10" x14ac:dyDescent="0.2">
      <c r="B70" s="62"/>
      <c r="J70" s="10"/>
    </row>
    <row r="71" spans="2:10" x14ac:dyDescent="0.2">
      <c r="B71" s="62"/>
      <c r="J71" s="10"/>
    </row>
    <row r="72" spans="2:10" x14ac:dyDescent="0.2">
      <c r="B72" s="62"/>
      <c r="J72" s="10"/>
    </row>
  </sheetData>
  <mergeCells count="19">
    <mergeCell ref="K21:M21"/>
    <mergeCell ref="D5:E5"/>
    <mergeCell ref="H5:J5"/>
    <mergeCell ref="D6:E6"/>
    <mergeCell ref="H6:J6"/>
    <mergeCell ref="H7:J7"/>
    <mergeCell ref="D8:E8"/>
    <mergeCell ref="H8:J8"/>
    <mergeCell ref="D19:E19"/>
    <mergeCell ref="H9:J9"/>
    <mergeCell ref="D21:F21"/>
    <mergeCell ref="H10:M11"/>
    <mergeCell ref="B2:I2"/>
    <mergeCell ref="J2:M2"/>
    <mergeCell ref="D3:E3"/>
    <mergeCell ref="H3:J3"/>
    <mergeCell ref="D4:E4"/>
    <mergeCell ref="H4:J4"/>
    <mergeCell ref="F3:G9"/>
  </mergeCells>
  <conditionalFormatting sqref="C23:C70">
    <cfRule type="cellIs" dxfId="9" priority="8" operator="equal">
      <formula>1</formula>
    </cfRule>
  </conditionalFormatting>
  <conditionalFormatting sqref="C23:F62">
    <cfRule type="cellIs" dxfId="8" priority="7" operator="equal">
      <formula>0</formula>
    </cfRule>
    <cfRule type="cellIs" dxfId="7" priority="11" operator="greaterThan">
      <formula>1</formula>
    </cfRule>
    <cfRule type="cellIs" dxfId="6" priority="10" operator="lessThan">
      <formula>0</formula>
    </cfRule>
  </conditionalFormatting>
  <conditionalFormatting sqref="D19">
    <cfRule type="cellIs" dxfId="5" priority="1" operator="lessThan">
      <formula>1</formula>
    </cfRule>
    <cfRule type="cellIs" dxfId="4" priority="3" operator="greaterThan">
      <formula>1</formula>
    </cfRule>
    <cfRule type="cellIs" dxfId="3" priority="2" operator="equal">
      <formula>1</formula>
    </cfRule>
  </conditionalFormatting>
  <conditionalFormatting sqref="K23:M62">
    <cfRule type="cellIs" dxfId="2" priority="4" operator="equal">
      <formula>0</formula>
    </cfRule>
    <cfRule type="cellIs" dxfId="1" priority="6" operator="greaterThan">
      <formula>1</formula>
    </cfRule>
    <cfRule type="cellIs" dxfId="0" priority="5" operator="lessThan">
      <formula>0</formula>
    </cfRule>
  </conditionalFormatting>
  <dataValidations count="2">
    <dataValidation type="decimal" allowBlank="1" showInputMessage="1" showErrorMessage="1" errorTitle="Delta" error="by definition delta value must be &gt;-1000" promptTitle="Type or paste value" sqref="C23:C61" xr:uid="{00000000-0002-0000-0600-000000000000}">
      <formula1>-999.999999999999</formula1>
      <formula2>1E+37</formula2>
    </dataValidation>
    <dataValidation type="decimal" allowBlank="1" showInputMessage="1" showErrorMessage="1" errorTitle="Delta" error="by definition delta value must be &gt;-1000" sqref="C62" xr:uid="{00000000-0002-0000-0600-000001000000}">
      <formula1>-999.999999999999</formula1>
      <formula2>1E+37</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2000000}">
          <x14:formula1>
            <xm:f>Tables!$C$48:$C$54</xm:f>
          </x14:formula1>
          <xm:sqref>D6</xm:sqref>
        </x14:dataValidation>
        <x14:dataValidation type="list" allowBlank="1" showInputMessage="1" showErrorMessage="1" xr:uid="{00000000-0002-0000-0600-000003000000}">
          <x14:formula1>
            <xm:f>Constants!$A$42:$A$46</xm:f>
          </x14:formula1>
          <xm:sqref>D3</xm:sqref>
        </x14:dataValidation>
        <x14:dataValidation type="list" allowBlank="1" showInputMessage="1" showErrorMessage="1" xr:uid="{00000000-0002-0000-0600-000004000000}">
          <x14:formula1>
            <xm:f>Tables!$C$78:$C$81</xm:f>
          </x14:formula1>
          <xm:sqref>D12</xm:sqref>
        </x14:dataValidation>
        <x14:dataValidation type="list" allowBlank="1" showInputMessage="1" showErrorMessage="1" xr:uid="{00000000-0002-0000-0600-000005000000}">
          <x14:formula1>
            <xm:f>Tables!$C$69:$C$72</xm:f>
          </x14:formula1>
          <xm:sqref>D9:E9</xm:sqref>
        </x14:dataValidation>
        <x14:dataValidation type="list" allowBlank="1" showInputMessage="1" showErrorMessage="1" xr:uid="{00000000-0002-0000-0600-000006000000}">
          <x14:formula1>
            <xm:f>Constants!$B$57:$B$60</xm:f>
          </x14:formula1>
          <xm:sqref>D15</xm:sqref>
        </x14:dataValidation>
        <x14:dataValidation type="list" allowBlank="1" showInputMessage="1" showErrorMessage="1" xr:uid="{00000000-0002-0000-0600-000007000000}">
          <x14:formula1>
            <xm:f>Constants!$B$64:$B$67</xm:f>
          </x14:formula1>
          <xm:sqref>D17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O86"/>
  <sheetViews>
    <sheetView zoomScaleNormal="100" workbookViewId="0">
      <pane xSplit="3" ySplit="1" topLeftCell="D23" activePane="bottomRight" state="frozen"/>
      <selection pane="topRight" activeCell="D1" sqref="D1"/>
      <selection pane="bottomLeft" activeCell="A2" sqref="A2"/>
      <selection pane="bottomRight" activeCell="C41" sqref="C41"/>
    </sheetView>
  </sheetViews>
  <sheetFormatPr baseColWidth="10" defaultColWidth="9.1640625" defaultRowHeight="15" x14ac:dyDescent="0.2"/>
  <cols>
    <col min="1" max="1" width="9.33203125" style="81" bestFit="1" customWidth="1"/>
    <col min="2" max="2" width="20.5" style="81" customWidth="1"/>
    <col min="3" max="3" width="17.5" style="82" customWidth="1"/>
    <col min="4" max="4" width="15.5" style="270" customWidth="1"/>
    <col min="5" max="5" width="11.6640625" style="83" customWidth="1"/>
    <col min="6" max="6" width="11" style="81" customWidth="1"/>
    <col min="7" max="7" width="21.83203125" style="84" customWidth="1"/>
    <col min="8" max="8" width="31.5" style="85" customWidth="1"/>
    <col min="9" max="9" width="69.1640625" style="84" customWidth="1"/>
    <col min="10" max="10" width="14.1640625" style="84" customWidth="1"/>
    <col min="11" max="14" width="9.1640625" style="84"/>
    <col min="15" max="15" width="15.5" style="84" bestFit="1" customWidth="1"/>
    <col min="16" max="16384" width="9.1640625" style="84"/>
  </cols>
  <sheetData>
    <row r="1" spans="1:10" s="64" customFormat="1" ht="32" x14ac:dyDescent="0.2">
      <c r="A1" s="64" t="s">
        <v>15</v>
      </c>
      <c r="B1" s="64" t="s">
        <v>16</v>
      </c>
      <c r="C1" s="65" t="s">
        <v>17</v>
      </c>
      <c r="D1" s="65" t="s">
        <v>18</v>
      </c>
      <c r="E1" s="66" t="s">
        <v>19</v>
      </c>
      <c r="F1" s="66" t="s">
        <v>120</v>
      </c>
      <c r="G1" s="64" t="s">
        <v>147</v>
      </c>
      <c r="H1" s="67" t="s">
        <v>20</v>
      </c>
      <c r="I1" s="148" t="s">
        <v>217</v>
      </c>
      <c r="J1" s="64" t="s">
        <v>292</v>
      </c>
    </row>
    <row r="2" spans="1:10" s="68" customFormat="1" ht="16" x14ac:dyDescent="0.2">
      <c r="C2" s="65" t="s">
        <v>256</v>
      </c>
      <c r="D2" s="152" t="s">
        <v>259</v>
      </c>
      <c r="E2" s="153" t="s">
        <v>146</v>
      </c>
      <c r="G2" s="69" t="s">
        <v>258</v>
      </c>
      <c r="H2" s="69" t="s">
        <v>146</v>
      </c>
      <c r="I2" s="154"/>
    </row>
    <row r="3" spans="1:10" s="70" customFormat="1" ht="32" x14ac:dyDescent="0.2">
      <c r="A3" s="70">
        <v>1980</v>
      </c>
      <c r="B3" s="71" t="s">
        <v>247</v>
      </c>
      <c r="C3" s="72">
        <v>1.5559999999999999E-4</v>
      </c>
      <c r="D3" s="263">
        <v>1.1999999999999999E-7</v>
      </c>
      <c r="E3" s="73" t="s">
        <v>10</v>
      </c>
      <c r="F3" s="70" t="s">
        <v>5</v>
      </c>
      <c r="G3" s="74" t="s">
        <v>27</v>
      </c>
      <c r="H3" s="74" t="s">
        <v>11</v>
      </c>
      <c r="I3" s="75" t="s">
        <v>12</v>
      </c>
    </row>
    <row r="4" spans="1:10" s="70" customFormat="1" ht="16" x14ac:dyDescent="0.2">
      <c r="A4" s="70">
        <v>1980</v>
      </c>
      <c r="B4" s="71" t="s">
        <v>247</v>
      </c>
      <c r="C4" s="72">
        <v>1.5574999999999999E-4</v>
      </c>
      <c r="D4" s="263">
        <v>8.0000000000000002E-8</v>
      </c>
      <c r="E4" s="73" t="s">
        <v>8</v>
      </c>
      <c r="F4" s="70" t="s">
        <v>5</v>
      </c>
      <c r="G4" s="74" t="s">
        <v>26</v>
      </c>
      <c r="H4" s="74"/>
      <c r="I4" s="75" t="s">
        <v>9</v>
      </c>
    </row>
    <row r="5" spans="1:10" s="70" customFormat="1" x14ac:dyDescent="0.2">
      <c r="A5" s="70">
        <v>1970</v>
      </c>
      <c r="B5" s="71" t="s">
        <v>247</v>
      </c>
      <c r="C5" s="72">
        <v>1.5576000000000001E-4</v>
      </c>
      <c r="D5" s="263">
        <v>4.9999999999999998E-8</v>
      </c>
      <c r="E5" s="73"/>
      <c r="F5" s="70" t="s">
        <v>5</v>
      </c>
      <c r="G5" s="74" t="s">
        <v>25</v>
      </c>
      <c r="H5" s="74" t="s">
        <v>7</v>
      </c>
      <c r="I5" s="75" t="s">
        <v>142</v>
      </c>
    </row>
    <row r="6" spans="1:10" s="70" customFormat="1" ht="16" x14ac:dyDescent="0.2">
      <c r="A6" s="70">
        <v>1961</v>
      </c>
      <c r="B6" s="71" t="s">
        <v>247</v>
      </c>
      <c r="C6" s="72">
        <f>1/6328</f>
        <v>1.5802781289506955E-4</v>
      </c>
      <c r="D6" s="263">
        <v>1.9999999999999999E-6</v>
      </c>
      <c r="E6" s="73" t="s">
        <v>4</v>
      </c>
      <c r="F6" s="70" t="s">
        <v>5</v>
      </c>
      <c r="G6" s="74" t="s">
        <v>24</v>
      </c>
      <c r="H6" s="74"/>
      <c r="I6" s="75" t="s">
        <v>141</v>
      </c>
    </row>
    <row r="7" spans="1:10" s="91" customFormat="1" ht="16" x14ac:dyDescent="0.2">
      <c r="A7" s="87" t="s">
        <v>214</v>
      </c>
      <c r="B7" s="88" t="s">
        <v>248</v>
      </c>
      <c r="C7" s="89" t="s">
        <v>219</v>
      </c>
      <c r="D7" s="264" t="s">
        <v>214</v>
      </c>
      <c r="E7" s="90" t="s">
        <v>214</v>
      </c>
      <c r="F7" s="87" t="s">
        <v>215</v>
      </c>
      <c r="G7" s="91" t="s">
        <v>214</v>
      </c>
      <c r="H7" s="37"/>
      <c r="I7" s="91" t="s">
        <v>216</v>
      </c>
    </row>
    <row r="8" spans="1:10" s="75" customFormat="1" x14ac:dyDescent="0.2">
      <c r="A8" s="70"/>
      <c r="B8" s="70"/>
      <c r="C8" s="72"/>
      <c r="D8" s="263"/>
      <c r="E8" s="73"/>
      <c r="F8" s="70"/>
      <c r="H8" s="74"/>
    </row>
    <row r="9" spans="1:10" s="75" customFormat="1" x14ac:dyDescent="0.2">
      <c r="A9" s="70"/>
      <c r="B9" s="70"/>
      <c r="C9" s="72"/>
      <c r="D9" s="263"/>
      <c r="E9" s="73"/>
      <c r="F9" s="70"/>
      <c r="H9" s="74"/>
    </row>
    <row r="10" spans="1:10" s="75" customFormat="1" x14ac:dyDescent="0.2">
      <c r="A10" s="70"/>
      <c r="B10" s="70"/>
      <c r="C10" s="72"/>
      <c r="D10" s="263"/>
      <c r="E10" s="73"/>
      <c r="F10" s="70"/>
      <c r="H10" s="74"/>
    </row>
    <row r="11" spans="1:10" s="75" customFormat="1" x14ac:dyDescent="0.2">
      <c r="A11" s="70"/>
      <c r="B11" s="70"/>
      <c r="C11" s="72"/>
      <c r="D11" s="263"/>
      <c r="E11" s="73"/>
      <c r="F11" s="70"/>
      <c r="H11" s="74"/>
    </row>
    <row r="12" spans="1:10" s="68" customFormat="1" ht="16" x14ac:dyDescent="0.2">
      <c r="C12" s="65" t="s">
        <v>256</v>
      </c>
      <c r="D12" s="152" t="s">
        <v>259</v>
      </c>
      <c r="E12" s="153" t="s">
        <v>146</v>
      </c>
      <c r="G12" s="69" t="s">
        <v>258</v>
      </c>
      <c r="H12" s="69" t="s">
        <v>146</v>
      </c>
      <c r="I12" s="154"/>
    </row>
    <row r="13" spans="1:10" s="76" customFormat="1" ht="16" x14ac:dyDescent="0.2">
      <c r="A13" s="76">
        <v>2019</v>
      </c>
      <c r="B13" s="77" t="s">
        <v>245</v>
      </c>
      <c r="C13" s="78">
        <v>1.1090749162644561E-2</v>
      </c>
      <c r="D13" s="265">
        <v>2.3419877968241078E-5</v>
      </c>
      <c r="E13" s="79" t="s">
        <v>94</v>
      </c>
      <c r="F13" s="76" t="s">
        <v>5</v>
      </c>
      <c r="G13" s="80" t="s">
        <v>106</v>
      </c>
      <c r="H13" s="80" t="s">
        <v>97</v>
      </c>
      <c r="I13" s="149" t="s">
        <v>135</v>
      </c>
    </row>
    <row r="14" spans="1:10" s="76" customFormat="1" ht="16" x14ac:dyDescent="0.2">
      <c r="A14" s="76">
        <v>1999</v>
      </c>
      <c r="B14" s="77" t="s">
        <v>245</v>
      </c>
      <c r="C14" s="78">
        <v>1.1093775681341719E-2</v>
      </c>
      <c r="D14" s="265">
        <v>1.8035188544688427E-5</v>
      </c>
      <c r="E14" s="79" t="s">
        <v>94</v>
      </c>
      <c r="F14" s="76" t="s">
        <v>5</v>
      </c>
      <c r="G14" s="80" t="s">
        <v>115</v>
      </c>
      <c r="H14" s="80" t="s">
        <v>97</v>
      </c>
      <c r="I14" s="149" t="s">
        <v>98</v>
      </c>
    </row>
    <row r="15" spans="1:10" s="76" customFormat="1" ht="16" x14ac:dyDescent="0.2">
      <c r="A15" s="76">
        <v>2004</v>
      </c>
      <c r="B15" s="77" t="s">
        <v>245</v>
      </c>
      <c r="C15" s="78">
        <v>1.1101E-2</v>
      </c>
      <c r="D15" s="265">
        <v>1.5999999999999999E-5</v>
      </c>
      <c r="E15" s="79" t="s">
        <v>94</v>
      </c>
      <c r="F15" s="76" t="s">
        <v>5</v>
      </c>
      <c r="G15" s="80" t="s">
        <v>104</v>
      </c>
      <c r="H15" s="80" t="s">
        <v>99</v>
      </c>
      <c r="I15" s="149" t="s">
        <v>100</v>
      </c>
    </row>
    <row r="16" spans="1:10" s="76" customFormat="1" ht="16" x14ac:dyDescent="0.2">
      <c r="A16" s="76">
        <v>2015</v>
      </c>
      <c r="B16" s="77" t="s">
        <v>245</v>
      </c>
      <c r="C16" s="78">
        <v>1.1115E-2</v>
      </c>
      <c r="D16" s="265">
        <v>2.6999999999999999E-5</v>
      </c>
      <c r="E16" s="79" t="s">
        <v>94</v>
      </c>
      <c r="F16" s="76" t="s">
        <v>5</v>
      </c>
      <c r="G16" s="80" t="s">
        <v>117</v>
      </c>
      <c r="H16" s="80" t="s">
        <v>211</v>
      </c>
      <c r="I16" s="149" t="s">
        <v>134</v>
      </c>
    </row>
    <row r="17" spans="1:9" s="76" customFormat="1" ht="16" x14ac:dyDescent="0.2">
      <c r="A17" s="76">
        <v>2019</v>
      </c>
      <c r="B17" s="77" t="s">
        <v>245</v>
      </c>
      <c r="C17" s="78">
        <v>1.1117091527107428E-2</v>
      </c>
      <c r="D17" s="265">
        <v>3.8664137821158418E-5</v>
      </c>
      <c r="E17" s="79" t="s">
        <v>102</v>
      </c>
      <c r="F17" s="76" t="s">
        <v>69</v>
      </c>
      <c r="G17" s="80" t="s">
        <v>118</v>
      </c>
      <c r="H17" s="80" t="s">
        <v>103</v>
      </c>
      <c r="I17" s="149" t="s">
        <v>135</v>
      </c>
    </row>
    <row r="18" spans="1:9" s="76" customFormat="1" ht="16" x14ac:dyDescent="0.2">
      <c r="A18" s="76">
        <v>2008</v>
      </c>
      <c r="B18" s="77" t="s">
        <v>245</v>
      </c>
      <c r="C18" s="78">
        <v>1.1124E-2</v>
      </c>
      <c r="D18" s="265">
        <v>4.5000000000000003E-5</v>
      </c>
      <c r="E18" s="79" t="s">
        <v>4</v>
      </c>
      <c r="F18" s="76" t="s">
        <v>69</v>
      </c>
      <c r="G18" s="80" t="s">
        <v>105</v>
      </c>
      <c r="H18" s="80" t="s">
        <v>212</v>
      </c>
      <c r="I18" s="149" t="s">
        <v>136</v>
      </c>
    </row>
    <row r="19" spans="1:9" s="76" customFormat="1" ht="16" x14ac:dyDescent="0.2">
      <c r="A19" s="76">
        <v>2007</v>
      </c>
      <c r="B19" s="77" t="s">
        <v>245</v>
      </c>
      <c r="C19" s="78">
        <v>1.1137599999999999E-2</v>
      </c>
      <c r="D19" s="265">
        <v>1.5999999999999999E-6</v>
      </c>
      <c r="E19" s="79" t="s">
        <v>4</v>
      </c>
      <c r="F19" s="76" t="s">
        <v>5</v>
      </c>
      <c r="G19" s="80" t="s">
        <v>116</v>
      </c>
      <c r="H19" s="80" t="s">
        <v>95</v>
      </c>
      <c r="I19" s="149" t="s">
        <v>101</v>
      </c>
    </row>
    <row r="20" spans="1:9" s="76" customFormat="1" ht="16" x14ac:dyDescent="0.2">
      <c r="A20" s="76">
        <v>1990</v>
      </c>
      <c r="B20" s="77" t="s">
        <v>245</v>
      </c>
      <c r="C20" s="78">
        <v>1.1179700000000001E-2</v>
      </c>
      <c r="D20" s="265">
        <v>2.8E-5</v>
      </c>
      <c r="E20" s="79" t="s">
        <v>94</v>
      </c>
      <c r="F20" s="76" t="s">
        <v>5</v>
      </c>
      <c r="G20" s="80" t="s">
        <v>114</v>
      </c>
      <c r="H20" s="80" t="s">
        <v>95</v>
      </c>
      <c r="I20" s="149" t="s">
        <v>96</v>
      </c>
    </row>
    <row r="21" spans="1:9" s="76" customFormat="1" ht="16" x14ac:dyDescent="0.2">
      <c r="A21" s="76">
        <v>2001</v>
      </c>
      <c r="B21" s="77" t="s">
        <v>245</v>
      </c>
      <c r="C21" s="78">
        <v>1.11802E-2</v>
      </c>
      <c r="D21" s="265">
        <v>2.8E-5</v>
      </c>
      <c r="E21" s="79" t="s">
        <v>94</v>
      </c>
      <c r="F21" s="76" t="s">
        <v>13</v>
      </c>
      <c r="G21" s="80" t="s">
        <v>28</v>
      </c>
      <c r="H21" s="80" t="s">
        <v>210</v>
      </c>
      <c r="I21" s="149" t="s">
        <v>140</v>
      </c>
    </row>
    <row r="22" spans="1:9" s="76" customFormat="1" ht="64" x14ac:dyDescent="0.2">
      <c r="A22" s="76">
        <v>1957</v>
      </c>
      <c r="B22" s="77" t="s">
        <v>245</v>
      </c>
      <c r="C22" s="78">
        <v>1.1237199999999999E-2</v>
      </c>
      <c r="D22" s="265">
        <v>3.0000000000000001E-5</v>
      </c>
      <c r="E22" s="79" t="s">
        <v>4</v>
      </c>
      <c r="F22" s="76" t="s">
        <v>91</v>
      </c>
      <c r="G22" s="80" t="s">
        <v>129</v>
      </c>
      <c r="H22" s="80" t="s">
        <v>92</v>
      </c>
      <c r="I22" s="150" t="s">
        <v>93</v>
      </c>
    </row>
    <row r="23" spans="1:9" s="96" customFormat="1" ht="16" x14ac:dyDescent="0.2">
      <c r="A23" s="92" t="s">
        <v>214</v>
      </c>
      <c r="B23" s="93" t="s">
        <v>246</v>
      </c>
      <c r="C23" s="94" t="s">
        <v>219</v>
      </c>
      <c r="D23" s="266" t="s">
        <v>214</v>
      </c>
      <c r="E23" s="95" t="s">
        <v>214</v>
      </c>
      <c r="F23" s="92" t="s">
        <v>215</v>
      </c>
      <c r="G23" s="96" t="s">
        <v>214</v>
      </c>
      <c r="H23" s="86"/>
      <c r="I23" s="96" t="s">
        <v>216</v>
      </c>
    </row>
    <row r="24" spans="1:9" s="68" customFormat="1" ht="16" x14ac:dyDescent="0.2">
      <c r="C24" s="65" t="s">
        <v>256</v>
      </c>
      <c r="D24" s="152" t="s">
        <v>259</v>
      </c>
      <c r="E24" s="153" t="s">
        <v>146</v>
      </c>
      <c r="G24" s="69" t="s">
        <v>258</v>
      </c>
      <c r="H24" s="69" t="s">
        <v>146</v>
      </c>
      <c r="I24" s="154"/>
    </row>
    <row r="25" spans="1:9" s="70" customFormat="1" x14ac:dyDescent="0.2">
      <c r="A25" s="70">
        <v>1931</v>
      </c>
      <c r="B25" s="71" t="s">
        <v>244</v>
      </c>
      <c r="C25" s="72">
        <f>1/274.5</f>
        <v>3.6429872495446266E-3</v>
      </c>
      <c r="D25" s="263" t="s">
        <v>46</v>
      </c>
      <c r="E25" s="73"/>
      <c r="F25" s="70" t="s">
        <v>5</v>
      </c>
      <c r="G25" s="74" t="s">
        <v>126</v>
      </c>
      <c r="H25" s="74"/>
      <c r="I25" s="75" t="s">
        <v>204</v>
      </c>
    </row>
    <row r="26" spans="1:9" s="70" customFormat="1" x14ac:dyDescent="0.2">
      <c r="A26" s="70">
        <v>1950</v>
      </c>
      <c r="B26" s="71" t="s">
        <v>244</v>
      </c>
      <c r="C26" s="72">
        <f>1/273</f>
        <v>3.663003663003663E-3</v>
      </c>
      <c r="D26" s="263">
        <f>C26-(1/(273+1))</f>
        <v>1.3368626507312756E-5</v>
      </c>
      <c r="E26" s="73"/>
      <c r="F26" s="70" t="s">
        <v>5</v>
      </c>
      <c r="G26" s="74" t="s">
        <v>87</v>
      </c>
      <c r="H26" s="74" t="s">
        <v>7</v>
      </c>
      <c r="I26" s="75" t="s">
        <v>84</v>
      </c>
    </row>
    <row r="27" spans="1:9" s="70" customFormat="1" ht="16" x14ac:dyDescent="0.2">
      <c r="A27" s="70">
        <v>1996</v>
      </c>
      <c r="B27" s="71" t="s">
        <v>244</v>
      </c>
      <c r="C27" s="72">
        <f>1/272.87</f>
        <v>3.66474878147103E-3</v>
      </c>
      <c r="D27" s="263">
        <f>C27-(1/(272.87+0.11))</f>
        <v>1.476746889742149E-6</v>
      </c>
      <c r="E27" s="73" t="s">
        <v>4</v>
      </c>
      <c r="F27" s="70" t="s">
        <v>5</v>
      </c>
      <c r="G27" s="74" t="s">
        <v>128</v>
      </c>
      <c r="H27" s="74" t="s">
        <v>85</v>
      </c>
      <c r="I27" s="75" t="s">
        <v>205</v>
      </c>
    </row>
    <row r="28" spans="1:9" s="70" customFormat="1" x14ac:dyDescent="0.2">
      <c r="A28" s="70">
        <v>1984</v>
      </c>
      <c r="B28" s="71" t="s">
        <v>244</v>
      </c>
      <c r="C28" s="72">
        <f>1/272.22</f>
        <v>3.673499375505106E-3</v>
      </c>
      <c r="D28" s="263">
        <f>C28-(1/(272+0.75))</f>
        <v>7.1382389331534936E-6</v>
      </c>
      <c r="E28" s="73"/>
      <c r="F28" s="70" t="s">
        <v>48</v>
      </c>
      <c r="G28" s="74" t="s">
        <v>90</v>
      </c>
      <c r="H28" s="74" t="s">
        <v>209</v>
      </c>
      <c r="I28" s="75" t="s">
        <v>145</v>
      </c>
    </row>
    <row r="29" spans="1:9" s="70" customFormat="1" x14ac:dyDescent="0.2">
      <c r="A29" s="70">
        <v>1958</v>
      </c>
      <c r="B29" s="71" t="s">
        <v>244</v>
      </c>
      <c r="C29" s="72">
        <f>1/272</f>
        <v>3.6764705882352941E-3</v>
      </c>
      <c r="D29" s="263">
        <f>C29-(1/(272+0.3))</f>
        <v>4.0504633730099014E-6</v>
      </c>
      <c r="E29" s="73"/>
      <c r="F29" s="70" t="s">
        <v>5</v>
      </c>
      <c r="G29" s="74" t="s">
        <v>89</v>
      </c>
      <c r="H29" s="74" t="s">
        <v>7</v>
      </c>
      <c r="I29" s="75" t="s">
        <v>206</v>
      </c>
    </row>
    <row r="30" spans="1:9" s="70" customFormat="1" ht="16" x14ac:dyDescent="0.2">
      <c r="A30" s="70">
        <v>2001</v>
      </c>
      <c r="B30" s="71" t="s">
        <v>244</v>
      </c>
      <c r="C30" s="72">
        <v>3.6782E-3</v>
      </c>
      <c r="D30" s="263">
        <v>1.5E-6</v>
      </c>
      <c r="E30" s="73" t="s">
        <v>4</v>
      </c>
      <c r="F30" s="70" t="s">
        <v>13</v>
      </c>
      <c r="G30" s="74" t="s">
        <v>28</v>
      </c>
      <c r="H30" s="74" t="s">
        <v>213</v>
      </c>
      <c r="I30" s="75" t="s">
        <v>140</v>
      </c>
    </row>
    <row r="31" spans="1:9" s="70" customFormat="1" x14ac:dyDescent="0.2">
      <c r="A31" s="70">
        <v>1939</v>
      </c>
      <c r="B31" s="71" t="s">
        <v>244</v>
      </c>
      <c r="C31" s="72">
        <f>1/((100-0.368)/0.368)</f>
        <v>3.6935924201059898E-3</v>
      </c>
      <c r="D31" s="263" t="s">
        <v>46</v>
      </c>
      <c r="E31" s="73"/>
      <c r="F31" s="70" t="s">
        <v>5</v>
      </c>
      <c r="G31" s="74" t="s">
        <v>86</v>
      </c>
      <c r="H31" s="74"/>
      <c r="I31" s="75" t="s">
        <v>83</v>
      </c>
    </row>
    <row r="32" spans="1:9" s="70" customFormat="1" x14ac:dyDescent="0.2">
      <c r="A32" s="70">
        <v>1935</v>
      </c>
      <c r="B32" s="71" t="s">
        <v>244</v>
      </c>
      <c r="C32" s="72">
        <f>1/265</f>
        <v>3.7735849056603774E-3</v>
      </c>
      <c r="D32" s="263" t="s">
        <v>46</v>
      </c>
      <c r="E32" s="73"/>
      <c r="F32" s="70" t="s">
        <v>5</v>
      </c>
      <c r="G32" s="74" t="s">
        <v>127</v>
      </c>
      <c r="H32" s="74"/>
      <c r="I32" s="75" t="s">
        <v>139</v>
      </c>
    </row>
    <row r="33" spans="1:10" s="70" customFormat="1" x14ac:dyDescent="0.2">
      <c r="A33" s="70">
        <v>1951</v>
      </c>
      <c r="B33" s="71" t="s">
        <v>244</v>
      </c>
      <c r="C33" s="72">
        <f>1/((100-0.382)/0.382)</f>
        <v>3.8346483567226809E-3</v>
      </c>
      <c r="D33" s="263">
        <f>1/((100-0.383)/0.383)-C33</f>
        <v>1.0076941168241354E-5</v>
      </c>
      <c r="E33" s="73"/>
      <c r="F33" s="70" t="s">
        <v>5</v>
      </c>
      <c r="G33" s="74" t="s">
        <v>88</v>
      </c>
      <c r="H33" s="74" t="s">
        <v>7</v>
      </c>
      <c r="I33" s="75" t="s">
        <v>207</v>
      </c>
    </row>
    <row r="34" spans="1:10" s="91" customFormat="1" ht="16" x14ac:dyDescent="0.2">
      <c r="A34" s="87" t="s">
        <v>214</v>
      </c>
      <c r="B34" s="71" t="s">
        <v>244</v>
      </c>
      <c r="C34" s="89" t="s">
        <v>219</v>
      </c>
      <c r="D34" s="264" t="s">
        <v>214</v>
      </c>
      <c r="E34" s="90" t="s">
        <v>214</v>
      </c>
      <c r="F34" s="87" t="s">
        <v>215</v>
      </c>
      <c r="G34" s="91" t="s">
        <v>214</v>
      </c>
      <c r="H34" s="37"/>
      <c r="I34" s="91" t="s">
        <v>216</v>
      </c>
    </row>
    <row r="35" spans="1:10" s="68" customFormat="1" ht="16" x14ac:dyDescent="0.2">
      <c r="C35" s="65" t="s">
        <v>256</v>
      </c>
      <c r="D35" s="152" t="s">
        <v>259</v>
      </c>
      <c r="E35" s="153" t="s">
        <v>146</v>
      </c>
      <c r="G35" s="69" t="s">
        <v>258</v>
      </c>
      <c r="H35" s="69" t="s">
        <v>146</v>
      </c>
      <c r="I35" s="154"/>
      <c r="J35" s="69" t="s">
        <v>258</v>
      </c>
    </row>
    <row r="36" spans="1:10" s="80" customFormat="1" ht="16" x14ac:dyDescent="0.2">
      <c r="A36" s="76">
        <v>1961</v>
      </c>
      <c r="B36" s="77" t="s">
        <v>288</v>
      </c>
      <c r="C36" s="78">
        <v>1.9934000000000002E-3</v>
      </c>
      <c r="D36" s="265">
        <v>2.5000000000000002E-6</v>
      </c>
      <c r="E36" s="79" t="s">
        <v>4</v>
      </c>
      <c r="F36" s="76" t="s">
        <v>5</v>
      </c>
      <c r="G36" s="80" t="s">
        <v>24</v>
      </c>
      <c r="I36" s="149" t="s">
        <v>6</v>
      </c>
      <c r="J36" s="80" t="s">
        <v>0</v>
      </c>
    </row>
    <row r="37" spans="1:10" s="80" customFormat="1" ht="16" x14ac:dyDescent="0.2">
      <c r="A37" s="76">
        <v>1976</v>
      </c>
      <c r="B37" s="77" t="s">
        <v>288</v>
      </c>
      <c r="C37" s="78">
        <v>2.0052E-3</v>
      </c>
      <c r="D37" s="265">
        <v>4.4999999999999998E-7</v>
      </c>
      <c r="E37" s="79" t="s">
        <v>44</v>
      </c>
      <c r="F37" s="76" t="s">
        <v>5</v>
      </c>
      <c r="G37" s="80" t="s">
        <v>49</v>
      </c>
      <c r="I37" s="149" t="s">
        <v>45</v>
      </c>
      <c r="J37" s="80" t="s">
        <v>0</v>
      </c>
    </row>
    <row r="38" spans="1:10" s="80" customFormat="1" ht="16" x14ac:dyDescent="0.2">
      <c r="A38" s="76">
        <v>1993</v>
      </c>
      <c r="B38" s="77" t="s">
        <v>288</v>
      </c>
      <c r="C38" s="78">
        <v>2.0228199999999998E-3</v>
      </c>
      <c r="D38" s="265">
        <v>1.9999999999999999E-6</v>
      </c>
      <c r="E38" s="79" t="s">
        <v>4</v>
      </c>
      <c r="F38" s="76" t="s">
        <v>5</v>
      </c>
      <c r="G38" s="80" t="s">
        <v>293</v>
      </c>
      <c r="I38" s="80" t="s">
        <v>283</v>
      </c>
      <c r="J38" s="80" t="s">
        <v>0</v>
      </c>
    </row>
    <row r="39" spans="1:10" s="80" customFormat="1" ht="16" x14ac:dyDescent="0.2">
      <c r="A39" s="76">
        <v>1995</v>
      </c>
      <c r="B39" s="77" t="s">
        <v>289</v>
      </c>
      <c r="C39" s="78">
        <v>2.0671606800000001E-3</v>
      </c>
      <c r="D39" s="265" t="s">
        <v>46</v>
      </c>
      <c r="E39" s="79" t="s">
        <v>47</v>
      </c>
      <c r="F39" s="76" t="s">
        <v>48</v>
      </c>
      <c r="G39" s="80" t="s">
        <v>50</v>
      </c>
      <c r="H39" s="80" t="s">
        <v>290</v>
      </c>
      <c r="I39" s="149" t="s">
        <v>137</v>
      </c>
      <c r="J39" s="80" t="s">
        <v>108</v>
      </c>
    </row>
    <row r="40" spans="1:10" s="80" customFormat="1" ht="16" x14ac:dyDescent="0.2">
      <c r="A40" s="76">
        <v>2001</v>
      </c>
      <c r="B40" s="77" t="s">
        <v>289</v>
      </c>
      <c r="C40" s="78">
        <v>2.0671999999999999E-3</v>
      </c>
      <c r="D40" s="265" t="s">
        <v>46</v>
      </c>
      <c r="E40" s="79" t="s">
        <v>47</v>
      </c>
      <c r="F40" s="76" t="s">
        <v>48</v>
      </c>
      <c r="G40" s="80" t="s">
        <v>28</v>
      </c>
      <c r="H40" s="80" t="s">
        <v>330</v>
      </c>
      <c r="I40" s="149" t="s">
        <v>140</v>
      </c>
      <c r="J40" s="80" t="s">
        <v>108</v>
      </c>
    </row>
    <row r="41" spans="1:10" s="80" customFormat="1" ht="16" x14ac:dyDescent="0.2">
      <c r="A41" s="76">
        <v>1995</v>
      </c>
      <c r="B41" s="77" t="s">
        <v>289</v>
      </c>
      <c r="C41" s="78">
        <v>2.0883490769999999E-3</v>
      </c>
      <c r="D41" s="265" t="s">
        <v>46</v>
      </c>
      <c r="E41" s="79" t="s">
        <v>47</v>
      </c>
      <c r="F41" s="76" t="s">
        <v>48</v>
      </c>
      <c r="G41" s="80" t="s">
        <v>50</v>
      </c>
      <c r="H41" s="80" t="s">
        <v>329</v>
      </c>
      <c r="I41" s="149" t="s">
        <v>137</v>
      </c>
      <c r="J41" s="80" t="s">
        <v>108</v>
      </c>
    </row>
    <row r="42" spans="1:10" s="96" customFormat="1" ht="16" x14ac:dyDescent="0.2">
      <c r="A42" s="92" t="s">
        <v>214</v>
      </c>
      <c r="B42" s="93" t="s">
        <v>243</v>
      </c>
      <c r="C42" s="94" t="s">
        <v>219</v>
      </c>
      <c r="D42" s="266" t="s">
        <v>214</v>
      </c>
      <c r="E42" s="95" t="s">
        <v>214</v>
      </c>
      <c r="F42" s="92" t="s">
        <v>215</v>
      </c>
      <c r="G42" s="96" t="s">
        <v>214</v>
      </c>
      <c r="H42" s="86"/>
      <c r="I42" s="96" t="s">
        <v>216</v>
      </c>
      <c r="J42" s="96" t="s">
        <v>294</v>
      </c>
    </row>
    <row r="43" spans="1:10" s="80" customFormat="1" x14ac:dyDescent="0.2">
      <c r="A43" s="76"/>
      <c r="B43" s="76"/>
      <c r="C43" s="78"/>
      <c r="D43" s="265"/>
      <c r="E43" s="79"/>
      <c r="F43" s="76"/>
      <c r="I43" s="149"/>
    </row>
    <row r="44" spans="1:10" s="80" customFormat="1" x14ac:dyDescent="0.2">
      <c r="A44" s="76"/>
      <c r="B44" s="76"/>
      <c r="C44" s="78"/>
      <c r="D44" s="265"/>
      <c r="E44" s="79"/>
      <c r="F44" s="76"/>
      <c r="I44" s="149"/>
    </row>
    <row r="45" spans="1:10" s="80" customFormat="1" x14ac:dyDescent="0.2">
      <c r="A45" s="76"/>
      <c r="B45" s="76"/>
      <c r="C45" s="78"/>
      <c r="D45" s="265"/>
      <c r="E45" s="79"/>
      <c r="F45" s="76"/>
      <c r="I45" s="149"/>
    </row>
    <row r="46" spans="1:10" s="80" customFormat="1" x14ac:dyDescent="0.2">
      <c r="A46" s="76"/>
      <c r="B46" s="76"/>
      <c r="C46" s="78"/>
      <c r="D46" s="265"/>
      <c r="E46" s="79"/>
      <c r="F46" s="76"/>
      <c r="I46" s="149"/>
    </row>
    <row r="47" spans="1:10" s="80" customFormat="1" x14ac:dyDescent="0.2">
      <c r="A47" s="76"/>
      <c r="B47" s="76"/>
      <c r="C47" s="78"/>
      <c r="D47" s="265"/>
      <c r="E47" s="79"/>
      <c r="F47" s="76"/>
      <c r="I47" s="149"/>
    </row>
    <row r="48" spans="1:10" s="68" customFormat="1" ht="16" x14ac:dyDescent="0.2">
      <c r="C48" s="65" t="s">
        <v>256</v>
      </c>
      <c r="D48" s="152" t="s">
        <v>259</v>
      </c>
      <c r="E48" s="153" t="s">
        <v>146</v>
      </c>
      <c r="G48" s="69" t="s">
        <v>258</v>
      </c>
      <c r="H48" s="69" t="s">
        <v>146</v>
      </c>
      <c r="I48" s="154"/>
    </row>
    <row r="49" spans="1:15" s="70" customFormat="1" ht="16" x14ac:dyDescent="0.2">
      <c r="A49" s="70">
        <v>1999</v>
      </c>
      <c r="B49" s="71" t="s">
        <v>241</v>
      </c>
      <c r="C49" s="72">
        <f>1/22.6496</f>
        <v>4.4150890081944054E-2</v>
      </c>
      <c r="D49" s="263">
        <f>C49-1/(22.6496+0.006)</f>
        <v>1.1692709109077659E-5</v>
      </c>
      <c r="E49" s="73" t="s">
        <v>4</v>
      </c>
      <c r="F49" s="70" t="s">
        <v>5</v>
      </c>
      <c r="G49" s="74" t="s">
        <v>71</v>
      </c>
      <c r="H49" s="74"/>
      <c r="I49" s="75" t="s">
        <v>138</v>
      </c>
    </row>
    <row r="50" spans="1:15" s="70" customFormat="1" ht="16" x14ac:dyDescent="0.2">
      <c r="A50" s="70">
        <v>2001</v>
      </c>
      <c r="B50" s="71" t="s">
        <v>241</v>
      </c>
      <c r="C50" s="72">
        <v>4.41509E-2</v>
      </c>
      <c r="D50" s="263">
        <v>1.17E-5</v>
      </c>
      <c r="E50" s="73" t="s">
        <v>4</v>
      </c>
      <c r="F50" s="70" t="s">
        <v>13</v>
      </c>
      <c r="G50" s="74" t="s">
        <v>28</v>
      </c>
      <c r="H50" s="74" t="s">
        <v>68</v>
      </c>
      <c r="I50" s="75" t="s">
        <v>14</v>
      </c>
    </row>
    <row r="51" spans="1:15" s="70" customFormat="1" ht="16" x14ac:dyDescent="0.2">
      <c r="A51" s="70">
        <v>2001</v>
      </c>
      <c r="B51" s="71" t="s">
        <v>241</v>
      </c>
      <c r="C51" s="72">
        <f>1/22.6436</f>
        <v>4.416258898761681E-2</v>
      </c>
      <c r="D51" s="263">
        <f>C51-1/(22.6436+0.002)</f>
        <v>3.9003240353621682E-6</v>
      </c>
      <c r="E51" s="73" t="s">
        <v>4</v>
      </c>
      <c r="F51" s="70" t="s">
        <v>5</v>
      </c>
      <c r="G51" s="74" t="s">
        <v>72</v>
      </c>
      <c r="H51" s="74"/>
      <c r="I51" s="75" t="s">
        <v>144</v>
      </c>
    </row>
    <row r="52" spans="1:15" s="70" customFormat="1" ht="16" x14ac:dyDescent="0.2">
      <c r="A52" s="70">
        <v>1962</v>
      </c>
      <c r="B52" s="71" t="s">
        <v>241</v>
      </c>
      <c r="C52" s="72">
        <f>1/22.22</f>
        <v>4.5004500450045004E-2</v>
      </c>
      <c r="D52" s="263">
        <f>C52-1/(22.22+0.004)</f>
        <v>8.1001620680434816E-6</v>
      </c>
      <c r="E52" s="73" t="s">
        <v>4</v>
      </c>
      <c r="F52" s="70" t="s">
        <v>5</v>
      </c>
      <c r="G52" s="74" t="s">
        <v>125</v>
      </c>
      <c r="H52" s="74"/>
      <c r="I52" s="75" t="s">
        <v>143</v>
      </c>
    </row>
    <row r="53" spans="1:15" s="70" customFormat="1" x14ac:dyDescent="0.2">
      <c r="A53" s="70">
        <v>1989</v>
      </c>
      <c r="B53" s="71" t="s">
        <v>241</v>
      </c>
      <c r="C53" s="72">
        <f>1/22.1</f>
        <v>4.5248868778280542E-2</v>
      </c>
      <c r="D53" s="263" t="s">
        <v>46</v>
      </c>
      <c r="E53" s="73"/>
      <c r="F53" s="70" t="s">
        <v>69</v>
      </c>
      <c r="G53" s="74" t="s">
        <v>73</v>
      </c>
      <c r="H53" s="74" t="s">
        <v>70</v>
      </c>
      <c r="I53" s="75" t="s">
        <v>208</v>
      </c>
    </row>
    <row r="54" spans="1:15" s="91" customFormat="1" ht="16" x14ac:dyDescent="0.2">
      <c r="A54" s="87" t="s">
        <v>214</v>
      </c>
      <c r="B54" s="71" t="s">
        <v>241</v>
      </c>
      <c r="C54" s="89" t="s">
        <v>219</v>
      </c>
      <c r="D54" s="264" t="s">
        <v>214</v>
      </c>
      <c r="E54" s="90" t="s">
        <v>214</v>
      </c>
      <c r="F54" s="87" t="s">
        <v>215</v>
      </c>
      <c r="G54" s="91" t="s">
        <v>214</v>
      </c>
      <c r="H54" s="37"/>
      <c r="I54" s="91" t="s">
        <v>216</v>
      </c>
    </row>
    <row r="55" spans="1:15" s="75" customFormat="1" x14ac:dyDescent="0.2">
      <c r="A55" s="70"/>
      <c r="B55" s="70"/>
      <c r="C55" s="72"/>
      <c r="D55" s="263"/>
      <c r="E55" s="73"/>
      <c r="F55" s="70"/>
      <c r="H55" s="74"/>
    </row>
    <row r="56" spans="1:15" s="75" customFormat="1" x14ac:dyDescent="0.2">
      <c r="A56" s="70"/>
      <c r="B56" s="70"/>
      <c r="C56" s="72"/>
      <c r="D56" s="263"/>
      <c r="E56" s="73"/>
      <c r="F56" s="70"/>
      <c r="H56" s="74"/>
    </row>
    <row r="57" spans="1:15" s="75" customFormat="1" x14ac:dyDescent="0.2">
      <c r="A57" s="70"/>
      <c r="B57" s="70"/>
      <c r="C57" s="186"/>
      <c r="D57" s="263"/>
      <c r="E57" s="73"/>
      <c r="F57" s="70"/>
      <c r="H57" s="74"/>
    </row>
    <row r="58" spans="1:15" s="75" customFormat="1" x14ac:dyDescent="0.2">
      <c r="A58" s="70"/>
      <c r="B58" s="70"/>
      <c r="C58" s="72"/>
      <c r="D58" s="263"/>
      <c r="E58" s="73"/>
      <c r="F58" s="70"/>
      <c r="H58" s="74"/>
    </row>
    <row r="59" spans="1:15" s="68" customFormat="1" ht="17" x14ac:dyDescent="0.2">
      <c r="C59" s="271" t="s">
        <v>314</v>
      </c>
      <c r="D59" s="152" t="s">
        <v>260</v>
      </c>
      <c r="E59" s="153" t="s">
        <v>146</v>
      </c>
      <c r="G59" s="69" t="s">
        <v>262</v>
      </c>
      <c r="H59" s="69" t="s">
        <v>146</v>
      </c>
      <c r="I59" s="154"/>
      <c r="J59" s="69" t="s">
        <v>258</v>
      </c>
    </row>
    <row r="60" spans="1:15" s="104" customFormat="1" ht="16" x14ac:dyDescent="0.2">
      <c r="A60" s="100">
        <v>1995</v>
      </c>
      <c r="B60" s="111" t="s">
        <v>291</v>
      </c>
      <c r="C60" s="102">
        <v>3.7688666009999999E-4</v>
      </c>
      <c r="D60" s="272" t="s">
        <v>47</v>
      </c>
      <c r="E60" s="103" t="s">
        <v>47</v>
      </c>
      <c r="F60" s="100" t="s">
        <v>273</v>
      </c>
      <c r="G60" s="104" t="s">
        <v>274</v>
      </c>
      <c r="H60" s="105" t="s">
        <v>275</v>
      </c>
      <c r="I60" s="104" t="s">
        <v>276</v>
      </c>
      <c r="J60" s="104" t="s">
        <v>108</v>
      </c>
    </row>
    <row r="61" spans="1:15" s="104" customFormat="1" ht="16" x14ac:dyDescent="0.2">
      <c r="A61" s="100">
        <v>1957</v>
      </c>
      <c r="B61" s="111" t="s">
        <v>291</v>
      </c>
      <c r="C61" s="102">
        <v>3.7994999999999999E-4</v>
      </c>
      <c r="D61" s="272" t="s">
        <v>47</v>
      </c>
      <c r="E61" s="103" t="s">
        <v>47</v>
      </c>
      <c r="F61" s="100" t="s">
        <v>271</v>
      </c>
      <c r="G61" s="188" t="s">
        <v>272</v>
      </c>
      <c r="H61" s="105"/>
      <c r="I61" s="104" t="s">
        <v>295</v>
      </c>
      <c r="J61" s="104" t="s">
        <v>108</v>
      </c>
    </row>
    <row r="62" spans="1:15" s="104" customFormat="1" ht="16" x14ac:dyDescent="0.2">
      <c r="A62" s="100">
        <v>2001</v>
      </c>
      <c r="B62" s="111" t="s">
        <v>291</v>
      </c>
      <c r="C62" s="102">
        <v>3.86E-4</v>
      </c>
      <c r="D62" s="272" t="s">
        <v>47</v>
      </c>
      <c r="E62" s="103"/>
      <c r="F62" s="100" t="s">
        <v>273</v>
      </c>
      <c r="G62" s="104" t="s">
        <v>277</v>
      </c>
      <c r="H62" s="105" t="s">
        <v>278</v>
      </c>
      <c r="I62" s="104" t="s">
        <v>14</v>
      </c>
      <c r="J62" s="104" t="s">
        <v>108</v>
      </c>
    </row>
    <row r="63" spans="1:15" s="104" customFormat="1" x14ac:dyDescent="0.2">
      <c r="A63" s="100">
        <v>1988</v>
      </c>
      <c r="B63" s="111" t="s">
        <v>287</v>
      </c>
      <c r="C63" s="102">
        <v>3.7990000000000002E-4</v>
      </c>
      <c r="D63" s="189">
        <v>7.9999999999999996E-7</v>
      </c>
      <c r="E63" s="103"/>
      <c r="F63" s="100"/>
      <c r="G63" s="104" t="s">
        <v>230</v>
      </c>
      <c r="H63" s="105"/>
      <c r="I63" s="104" t="s">
        <v>296</v>
      </c>
      <c r="J63" s="104" t="s">
        <v>0</v>
      </c>
      <c r="O63" s="189"/>
    </row>
    <row r="64" spans="1:15" s="104" customFormat="1" x14ac:dyDescent="0.2">
      <c r="A64" s="100">
        <v>2008</v>
      </c>
      <c r="B64" s="111" t="s">
        <v>287</v>
      </c>
      <c r="C64" s="102">
        <v>3.8269999999999998E-4</v>
      </c>
      <c r="D64" s="189">
        <v>1.9E-6</v>
      </c>
      <c r="E64" s="103"/>
      <c r="F64" s="100" t="s">
        <v>13</v>
      </c>
      <c r="G64" s="104" t="s">
        <v>280</v>
      </c>
      <c r="H64" s="105" t="s">
        <v>279</v>
      </c>
      <c r="I64" s="104" t="s">
        <v>281</v>
      </c>
      <c r="J64" s="104" t="s">
        <v>0</v>
      </c>
      <c r="O64" s="189"/>
    </row>
    <row r="65" spans="1:15" s="104" customFormat="1" ht="16" x14ac:dyDescent="0.2">
      <c r="A65" s="100">
        <v>1993</v>
      </c>
      <c r="B65" s="111" t="s">
        <v>287</v>
      </c>
      <c r="C65" s="187">
        <v>3.8620000000000001E-4</v>
      </c>
      <c r="D65" s="267">
        <v>1.9999999999999999E-6</v>
      </c>
      <c r="E65" s="103" t="s">
        <v>4</v>
      </c>
      <c r="F65" s="100" t="s">
        <v>5</v>
      </c>
      <c r="G65" s="104" t="s">
        <v>282</v>
      </c>
      <c r="H65" s="105"/>
      <c r="I65" s="104" t="s">
        <v>283</v>
      </c>
      <c r="J65" s="104" t="s">
        <v>0</v>
      </c>
      <c r="O65" s="189"/>
    </row>
    <row r="66" spans="1:15" s="104" customFormat="1" ht="18.75" customHeight="1" x14ac:dyDescent="0.2">
      <c r="A66" s="100">
        <v>2003</v>
      </c>
      <c r="B66" s="111" t="s">
        <v>287</v>
      </c>
      <c r="C66" s="187">
        <v>3.8672100000000003E-4</v>
      </c>
      <c r="D66" s="267">
        <v>4.3500000000000002E-7</v>
      </c>
      <c r="E66" s="103" t="s">
        <v>297</v>
      </c>
      <c r="F66" s="100"/>
      <c r="G66" s="104" t="s">
        <v>228</v>
      </c>
      <c r="H66" s="105"/>
      <c r="I66" s="104" t="s">
        <v>229</v>
      </c>
      <c r="J66" s="104" t="s">
        <v>0</v>
      </c>
      <c r="O66" s="189"/>
    </row>
    <row r="67" spans="1:15" s="104" customFormat="1" ht="16" x14ac:dyDescent="0.2">
      <c r="A67" s="100">
        <v>1985</v>
      </c>
      <c r="B67" s="111" t="s">
        <v>287</v>
      </c>
      <c r="C67" s="102">
        <v>4.0200000000000001E-4</v>
      </c>
      <c r="D67" s="189">
        <v>7.9999999999999996E-6</v>
      </c>
      <c r="E67" s="103" t="s">
        <v>284</v>
      </c>
      <c r="F67" s="100" t="s">
        <v>5</v>
      </c>
      <c r="G67" s="104" t="s">
        <v>285</v>
      </c>
      <c r="H67" s="105"/>
      <c r="I67" s="104" t="s">
        <v>286</v>
      </c>
      <c r="J67" s="104" t="s">
        <v>0</v>
      </c>
      <c r="O67" s="189"/>
    </row>
    <row r="68" spans="1:15" s="109" customFormat="1" ht="16" x14ac:dyDescent="0.2">
      <c r="A68" s="106" t="s">
        <v>214</v>
      </c>
      <c r="B68" s="101" t="s">
        <v>242</v>
      </c>
      <c r="C68" s="107" t="s">
        <v>219</v>
      </c>
      <c r="D68" s="273" t="s">
        <v>214</v>
      </c>
      <c r="E68" s="108" t="s">
        <v>214</v>
      </c>
      <c r="F68" s="106" t="s">
        <v>215</v>
      </c>
      <c r="G68" s="112" t="s">
        <v>214</v>
      </c>
      <c r="H68" s="110"/>
      <c r="I68" s="109" t="s">
        <v>216</v>
      </c>
      <c r="J68" s="96" t="s">
        <v>294</v>
      </c>
      <c r="O68" s="268"/>
    </row>
    <row r="69" spans="1:15" s="68" customFormat="1" ht="17" x14ac:dyDescent="0.2">
      <c r="C69" s="271" t="s">
        <v>315</v>
      </c>
      <c r="D69" s="152" t="s">
        <v>263</v>
      </c>
      <c r="E69" s="153" t="s">
        <v>146</v>
      </c>
      <c r="G69" s="69" t="s">
        <v>263</v>
      </c>
      <c r="H69" s="69" t="s">
        <v>146</v>
      </c>
      <c r="I69" s="154"/>
    </row>
    <row r="70" spans="1:15" s="75" customFormat="1" x14ac:dyDescent="0.2">
      <c r="A70" s="70">
        <v>2008</v>
      </c>
      <c r="B70" s="71" t="s">
        <v>249</v>
      </c>
      <c r="C70" s="72">
        <v>7.8771999999999991E-3</v>
      </c>
      <c r="D70" s="263">
        <v>2.9000000000000002E-6</v>
      </c>
      <c r="E70" s="73"/>
      <c r="F70" s="70"/>
      <c r="G70" s="151" t="s">
        <v>267</v>
      </c>
      <c r="H70" s="74"/>
      <c r="I70" s="151" t="s">
        <v>255</v>
      </c>
    </row>
    <row r="71" spans="1:15" s="91" customFormat="1" ht="16" x14ac:dyDescent="0.2">
      <c r="A71" s="87" t="s">
        <v>214</v>
      </c>
      <c r="B71" s="88" t="s">
        <v>252</v>
      </c>
      <c r="C71" s="89" t="s">
        <v>219</v>
      </c>
      <c r="D71" s="274" t="s">
        <v>214</v>
      </c>
      <c r="E71" s="90" t="s">
        <v>214</v>
      </c>
      <c r="F71" s="87" t="s">
        <v>215</v>
      </c>
      <c r="G71" s="134" t="s">
        <v>214</v>
      </c>
      <c r="H71" s="37"/>
      <c r="I71" s="91" t="s">
        <v>216</v>
      </c>
    </row>
    <row r="72" spans="1:15" s="91" customFormat="1" ht="16" x14ac:dyDescent="0.2">
      <c r="A72" s="87" t="s">
        <v>214</v>
      </c>
      <c r="B72" s="88" t="s">
        <v>252</v>
      </c>
      <c r="C72" s="89" t="s">
        <v>219</v>
      </c>
      <c r="D72" s="274" t="s">
        <v>214</v>
      </c>
      <c r="E72" s="90" t="s">
        <v>214</v>
      </c>
      <c r="F72" s="87" t="s">
        <v>215</v>
      </c>
      <c r="G72" s="134" t="s">
        <v>214</v>
      </c>
      <c r="H72" s="37"/>
      <c r="I72" s="91" t="s">
        <v>216</v>
      </c>
    </row>
    <row r="73" spans="1:15" s="75" customFormat="1" x14ac:dyDescent="0.2">
      <c r="A73" s="70"/>
      <c r="B73" s="70"/>
      <c r="C73" s="72"/>
      <c r="D73" s="263"/>
      <c r="E73" s="73"/>
      <c r="F73" s="70"/>
      <c r="H73" s="74"/>
    </row>
    <row r="74" spans="1:15" s="75" customFormat="1" x14ac:dyDescent="0.2">
      <c r="A74" s="70"/>
      <c r="B74" s="70"/>
      <c r="C74" s="72"/>
      <c r="D74" s="263"/>
      <c r="E74" s="73"/>
      <c r="F74" s="70"/>
      <c r="H74" s="74"/>
    </row>
    <row r="75" spans="1:15" s="75" customFormat="1" x14ac:dyDescent="0.2">
      <c r="A75" s="70"/>
      <c r="B75" s="70"/>
      <c r="C75" s="72"/>
      <c r="D75" s="263"/>
      <c r="E75" s="73"/>
      <c r="F75" s="70"/>
      <c r="H75" s="74"/>
    </row>
    <row r="76" spans="1:15" s="75" customFormat="1" x14ac:dyDescent="0.2">
      <c r="A76" s="70"/>
      <c r="B76" s="70"/>
      <c r="C76" s="72"/>
      <c r="D76" s="263"/>
      <c r="E76" s="73"/>
      <c r="F76" s="70"/>
      <c r="H76" s="74"/>
    </row>
    <row r="77" spans="1:15" s="75" customFormat="1" x14ac:dyDescent="0.2">
      <c r="A77" s="70"/>
      <c r="B77" s="70"/>
      <c r="C77" s="72"/>
      <c r="D77" s="263"/>
      <c r="E77" s="73"/>
      <c r="F77" s="70"/>
      <c r="H77" s="74"/>
    </row>
    <row r="78" spans="1:15" s="68" customFormat="1" ht="16" x14ac:dyDescent="0.2">
      <c r="C78" s="271" t="s">
        <v>264</v>
      </c>
      <c r="D78" s="152" t="s">
        <v>264</v>
      </c>
      <c r="E78" s="153" t="s">
        <v>146</v>
      </c>
      <c r="G78" s="69" t="s">
        <v>264</v>
      </c>
      <c r="H78" s="69" t="s">
        <v>146</v>
      </c>
      <c r="I78" s="154"/>
    </row>
    <row r="79" spans="1:15" s="139" customFormat="1" x14ac:dyDescent="0.2">
      <c r="A79" s="135">
        <v>2003</v>
      </c>
      <c r="B79" s="136" t="s">
        <v>250</v>
      </c>
      <c r="C79" s="137">
        <v>1.5349999999999999E-4</v>
      </c>
      <c r="D79" s="269">
        <v>4.9999999999999998E-7</v>
      </c>
      <c r="E79" s="138"/>
      <c r="F79" s="135"/>
      <c r="G79" s="139" t="s">
        <v>267</v>
      </c>
      <c r="H79" s="140"/>
      <c r="I79" s="139" t="s">
        <v>255</v>
      </c>
    </row>
    <row r="80" spans="1:15" s="146" customFormat="1" ht="16" x14ac:dyDescent="0.2">
      <c r="A80" s="141" t="s">
        <v>214</v>
      </c>
      <c r="B80" s="147" t="s">
        <v>251</v>
      </c>
      <c r="C80" s="142" t="s">
        <v>219</v>
      </c>
      <c r="D80" s="275" t="s">
        <v>214</v>
      </c>
      <c r="E80" s="143" t="s">
        <v>214</v>
      </c>
      <c r="F80" s="141" t="s">
        <v>215</v>
      </c>
      <c r="G80" s="144" t="s">
        <v>214</v>
      </c>
      <c r="H80" s="145"/>
      <c r="I80" s="146" t="s">
        <v>216</v>
      </c>
    </row>
    <row r="81" spans="1:9" s="146" customFormat="1" ht="16" x14ac:dyDescent="0.2">
      <c r="A81" s="141" t="s">
        <v>214</v>
      </c>
      <c r="B81" s="147" t="s">
        <v>251</v>
      </c>
      <c r="C81" s="142" t="s">
        <v>219</v>
      </c>
      <c r="D81" s="275" t="s">
        <v>214</v>
      </c>
      <c r="E81" s="143" t="s">
        <v>214</v>
      </c>
      <c r="F81" s="141" t="s">
        <v>215</v>
      </c>
      <c r="G81" s="144" t="s">
        <v>214</v>
      </c>
      <c r="H81" s="145"/>
      <c r="I81" s="146" t="s">
        <v>216</v>
      </c>
    </row>
    <row r="82" spans="1:9" s="139" customFormat="1" x14ac:dyDescent="0.2">
      <c r="A82" s="135"/>
      <c r="B82" s="135"/>
      <c r="C82" s="137"/>
      <c r="D82" s="269"/>
      <c r="E82" s="138"/>
      <c r="F82" s="135"/>
      <c r="H82" s="140"/>
    </row>
    <row r="83" spans="1:9" s="139" customFormat="1" x14ac:dyDescent="0.2">
      <c r="A83" s="135"/>
      <c r="B83" s="135"/>
      <c r="C83" s="137"/>
      <c r="D83" s="269"/>
      <c r="E83" s="138"/>
      <c r="F83" s="135"/>
      <c r="H83" s="140"/>
    </row>
    <row r="84" spans="1:9" s="139" customFormat="1" x14ac:dyDescent="0.2">
      <c r="A84" s="135"/>
      <c r="B84" s="135"/>
      <c r="C84" s="137"/>
      <c r="D84" s="269"/>
      <c r="E84" s="138"/>
      <c r="F84" s="135"/>
      <c r="H84" s="140"/>
    </row>
    <row r="85" spans="1:9" s="139" customFormat="1" x14ac:dyDescent="0.2">
      <c r="A85" s="135"/>
      <c r="B85" s="135"/>
      <c r="C85" s="137"/>
      <c r="D85" s="269"/>
      <c r="E85" s="138"/>
      <c r="F85" s="135"/>
      <c r="H85" s="140"/>
    </row>
    <row r="86" spans="1:9" s="139" customFormat="1" x14ac:dyDescent="0.2">
      <c r="A86" s="135"/>
      <c r="B86" s="135"/>
      <c r="C86" s="137"/>
      <c r="D86" s="269"/>
      <c r="E86" s="138"/>
      <c r="F86" s="135"/>
      <c r="H86" s="140"/>
    </row>
  </sheetData>
  <sortState xmlns:xlrd2="http://schemas.microsoft.com/office/spreadsheetml/2017/richdata2" ref="A36:O41">
    <sortCondition ref="C36:C41"/>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C67"/>
  <sheetViews>
    <sheetView workbookViewId="0"/>
  </sheetViews>
  <sheetFormatPr baseColWidth="10" defaultColWidth="9.1640625" defaultRowHeight="14" x14ac:dyDescent="0.2"/>
  <cols>
    <col min="1" max="1" width="29.5" style="39" customWidth="1"/>
    <col min="2" max="2" width="34" style="39" customWidth="1"/>
    <col min="3" max="3" width="47.1640625" style="39" customWidth="1"/>
    <col min="4" max="8" width="9.1640625" style="39"/>
    <col min="9" max="9" width="17.5" style="39" customWidth="1"/>
    <col min="10" max="16384" width="9.1640625" style="39"/>
  </cols>
  <sheetData>
    <row r="1" spans="1:2" x14ac:dyDescent="0.2">
      <c r="A1" s="38" t="s">
        <v>22</v>
      </c>
      <c r="B1" s="39" t="s">
        <v>23</v>
      </c>
    </row>
    <row r="2" spans="1:2" x14ac:dyDescent="0.2">
      <c r="A2" s="38" t="s">
        <v>30</v>
      </c>
      <c r="B2" s="39" t="s">
        <v>29</v>
      </c>
    </row>
    <row r="3" spans="1:2" x14ac:dyDescent="0.2">
      <c r="A3" s="40" t="s">
        <v>158</v>
      </c>
      <c r="B3" s="40" t="s">
        <v>154</v>
      </c>
    </row>
    <row r="4" spans="1:2" x14ac:dyDescent="0.2">
      <c r="A4" s="40" t="s">
        <v>148</v>
      </c>
      <c r="B4" s="40" t="s">
        <v>155</v>
      </c>
    </row>
    <row r="5" spans="1:2" x14ac:dyDescent="0.2">
      <c r="A5" s="40" t="s">
        <v>149</v>
      </c>
      <c r="B5" s="40" t="s">
        <v>156</v>
      </c>
    </row>
    <row r="6" spans="1:2" ht="15" x14ac:dyDescent="0.2">
      <c r="A6" s="40" t="s">
        <v>150</v>
      </c>
      <c r="B6" s="40" t="s">
        <v>157</v>
      </c>
    </row>
    <row r="12" spans="1:2" x14ac:dyDescent="0.2">
      <c r="A12" s="38" t="s">
        <v>30</v>
      </c>
      <c r="B12" s="39" t="s">
        <v>29</v>
      </c>
    </row>
    <row r="13" spans="1:2" x14ac:dyDescent="0.2">
      <c r="A13" s="40" t="s">
        <v>159</v>
      </c>
      <c r="B13" s="40" t="s">
        <v>160</v>
      </c>
    </row>
    <row r="14" spans="1:2" x14ac:dyDescent="0.2">
      <c r="A14" s="40" t="s">
        <v>151</v>
      </c>
      <c r="B14" s="40" t="s">
        <v>161</v>
      </c>
    </row>
    <row r="15" spans="1:2" x14ac:dyDescent="0.2">
      <c r="A15" s="40" t="s">
        <v>152</v>
      </c>
      <c r="B15" s="40" t="s">
        <v>162</v>
      </c>
    </row>
    <row r="16" spans="1:2" ht="15" x14ac:dyDescent="0.2">
      <c r="A16" s="40" t="s">
        <v>153</v>
      </c>
      <c r="B16" s="40" t="s">
        <v>163</v>
      </c>
    </row>
    <row r="22" spans="1:2" x14ac:dyDescent="0.2">
      <c r="A22" s="38" t="s">
        <v>30</v>
      </c>
      <c r="B22" s="39" t="s">
        <v>29</v>
      </c>
    </row>
    <row r="23" spans="1:2" x14ac:dyDescent="0.2">
      <c r="A23" s="40" t="s">
        <v>166</v>
      </c>
      <c r="B23" s="40" t="s">
        <v>167</v>
      </c>
    </row>
    <row r="24" spans="1:2" x14ac:dyDescent="0.2">
      <c r="A24" s="40" t="s">
        <v>168</v>
      </c>
      <c r="B24" s="40" t="s">
        <v>169</v>
      </c>
    </row>
    <row r="25" spans="1:2" x14ac:dyDescent="0.2">
      <c r="A25" s="40" t="s">
        <v>164</v>
      </c>
      <c r="B25" s="40" t="s">
        <v>170</v>
      </c>
    </row>
    <row r="26" spans="1:2" x14ac:dyDescent="0.2">
      <c r="A26" s="40" t="s">
        <v>165</v>
      </c>
      <c r="B26" s="40" t="s">
        <v>171</v>
      </c>
    </row>
    <row r="32" spans="1:2" x14ac:dyDescent="0.2">
      <c r="A32" s="38" t="s">
        <v>30</v>
      </c>
      <c r="B32" s="39" t="s">
        <v>29</v>
      </c>
    </row>
    <row r="33" spans="1:2" x14ac:dyDescent="0.2">
      <c r="A33" s="40" t="s">
        <v>174</v>
      </c>
      <c r="B33" s="40" t="s">
        <v>175</v>
      </c>
    </row>
    <row r="34" spans="1:2" x14ac:dyDescent="0.2">
      <c r="A34" s="40" t="s">
        <v>176</v>
      </c>
      <c r="B34" s="40" t="s">
        <v>177</v>
      </c>
    </row>
    <row r="35" spans="1:2" x14ac:dyDescent="0.2">
      <c r="A35" s="40" t="s">
        <v>172</v>
      </c>
      <c r="B35" s="40" t="s">
        <v>178</v>
      </c>
    </row>
    <row r="36" spans="1:2" x14ac:dyDescent="0.2">
      <c r="A36" s="40" t="s">
        <v>173</v>
      </c>
      <c r="B36" s="40" t="s">
        <v>179</v>
      </c>
    </row>
    <row r="42" spans="1:2" x14ac:dyDescent="0.2">
      <c r="A42" s="38" t="s">
        <v>30</v>
      </c>
      <c r="B42" s="39" t="s">
        <v>29</v>
      </c>
    </row>
    <row r="43" spans="1:2" x14ac:dyDescent="0.2">
      <c r="A43" s="40" t="s">
        <v>180</v>
      </c>
      <c r="B43" s="40" t="s">
        <v>181</v>
      </c>
    </row>
    <row r="44" spans="1:2" x14ac:dyDescent="0.2">
      <c r="A44" s="40" t="s">
        <v>182</v>
      </c>
      <c r="B44" s="40" t="s">
        <v>183</v>
      </c>
    </row>
    <row r="45" spans="1:2" x14ac:dyDescent="0.2">
      <c r="A45" s="40" t="s">
        <v>184</v>
      </c>
      <c r="B45" s="40" t="s">
        <v>185</v>
      </c>
    </row>
    <row r="46" spans="1:2" x14ac:dyDescent="0.2">
      <c r="A46" s="40" t="s">
        <v>186</v>
      </c>
      <c r="B46" s="40" t="s">
        <v>187</v>
      </c>
    </row>
    <row r="50" spans="1:3" ht="17" x14ac:dyDescent="0.25">
      <c r="A50" s="39" t="s">
        <v>240</v>
      </c>
      <c r="B50" s="39" t="s">
        <v>240</v>
      </c>
      <c r="C50" s="39" t="s">
        <v>224</v>
      </c>
    </row>
    <row r="51" spans="1:3" x14ac:dyDescent="0.2">
      <c r="A51" s="39" t="s">
        <v>225</v>
      </c>
      <c r="B51" s="97">
        <v>0.52800000000000002</v>
      </c>
      <c r="C51" s="39" t="s">
        <v>222</v>
      </c>
    </row>
    <row r="52" spans="1:3" x14ac:dyDescent="0.2">
      <c r="A52" s="39" t="s">
        <v>226</v>
      </c>
      <c r="B52" s="97">
        <v>0.51600000000000001</v>
      </c>
      <c r="C52" s="39" t="s">
        <v>221</v>
      </c>
    </row>
    <row r="53" spans="1:3" x14ac:dyDescent="0.2">
      <c r="A53" s="39" t="s">
        <v>227</v>
      </c>
      <c r="B53" s="97">
        <v>0.5</v>
      </c>
      <c r="C53" s="39" t="s">
        <v>220</v>
      </c>
    </row>
    <row r="57" spans="1:3" ht="17" x14ac:dyDescent="0.25">
      <c r="A57" s="156" t="s">
        <v>253</v>
      </c>
      <c r="B57" s="156" t="s">
        <v>253</v>
      </c>
      <c r="C57" s="156" t="s">
        <v>224</v>
      </c>
    </row>
    <row r="58" spans="1:3" ht="15" x14ac:dyDescent="0.2">
      <c r="A58" s="159" t="s">
        <v>267</v>
      </c>
      <c r="B58" s="157">
        <v>0.51500000000000001</v>
      </c>
      <c r="C58" s="159" t="s">
        <v>255</v>
      </c>
    </row>
    <row r="59" spans="1:3" ht="15" x14ac:dyDescent="0.2">
      <c r="A59" s="158" t="s">
        <v>270</v>
      </c>
      <c r="B59" s="158" t="s">
        <v>269</v>
      </c>
      <c r="C59" s="161" t="s">
        <v>268</v>
      </c>
    </row>
    <row r="60" spans="1:3" ht="15" x14ac:dyDescent="0.2">
      <c r="A60" s="158" t="s">
        <v>270</v>
      </c>
      <c r="B60" s="158" t="s">
        <v>269</v>
      </c>
      <c r="C60" s="161" t="s">
        <v>268</v>
      </c>
    </row>
    <row r="61" spans="1:3" x14ac:dyDescent="0.2">
      <c r="A61" s="156"/>
      <c r="B61" s="156"/>
      <c r="C61" s="156"/>
    </row>
    <row r="62" spans="1:3" x14ac:dyDescent="0.2">
      <c r="A62" s="156"/>
      <c r="B62" s="156"/>
      <c r="C62" s="156"/>
    </row>
    <row r="63" spans="1:3" x14ac:dyDescent="0.2">
      <c r="A63" s="156"/>
      <c r="B63" s="156"/>
      <c r="C63" s="156"/>
    </row>
    <row r="64" spans="1:3" ht="17" x14ac:dyDescent="0.25">
      <c r="A64" s="156" t="s">
        <v>254</v>
      </c>
      <c r="B64" s="156" t="s">
        <v>254</v>
      </c>
      <c r="C64" s="156" t="s">
        <v>224</v>
      </c>
    </row>
    <row r="65" spans="1:3" ht="15" x14ac:dyDescent="0.2">
      <c r="A65" s="159" t="s">
        <v>267</v>
      </c>
      <c r="B65" s="160">
        <v>1.9</v>
      </c>
      <c r="C65" s="159" t="s">
        <v>255</v>
      </c>
    </row>
    <row r="66" spans="1:3" ht="15" x14ac:dyDescent="0.2">
      <c r="A66" s="158" t="s">
        <v>270</v>
      </c>
      <c r="B66" s="158" t="s">
        <v>269</v>
      </c>
      <c r="C66" s="161" t="s">
        <v>268</v>
      </c>
    </row>
    <row r="67" spans="1:3" ht="15" x14ac:dyDescent="0.2">
      <c r="A67" s="158" t="s">
        <v>270</v>
      </c>
      <c r="B67" s="158" t="s">
        <v>269</v>
      </c>
      <c r="C67" s="161" t="s">
        <v>268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INFO</vt:lpstr>
      <vt:lpstr>Instruction</vt:lpstr>
      <vt:lpstr>Hydrogen</vt:lpstr>
      <vt:lpstr>Carbon</vt:lpstr>
      <vt:lpstr>Nitrogen</vt:lpstr>
      <vt:lpstr>Oxygen+17O(correction)</vt:lpstr>
      <vt:lpstr>Sulphur+33S&amp;36S(correction)</vt:lpstr>
      <vt:lpstr>Tables</vt:lpstr>
      <vt:lpstr>Constants</vt:lpstr>
    </vt:vector>
  </TitlesOfParts>
  <Company>UWA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Luka Seamus Wright</cp:lastModifiedBy>
  <dcterms:created xsi:type="dcterms:W3CDTF">2019-05-18T07:06:59Z</dcterms:created>
  <dcterms:modified xsi:type="dcterms:W3CDTF">2024-02-06T03:44:20Z</dcterms:modified>
</cp:coreProperties>
</file>