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ukas\Desktop\"/>
    </mc:Choice>
  </mc:AlternateContent>
  <xr:revisionPtr revIDLastSave="0" documentId="13_ncr:1_{31735CC2-E77E-4D9F-8EA0-372F8F36C471}" xr6:coauthVersionLast="47" xr6:coauthVersionMax="47" xr10:uidLastSave="{00000000-0000-0000-0000-000000000000}"/>
  <bookViews>
    <workbookView xWindow="-120" yWindow="-120" windowWidth="38640" windowHeight="21240" firstSheet="8" activeTab="19" xr2:uid="{00000000-000D-0000-FFFF-FFFF00000000}"/>
  </bookViews>
  <sheets>
    <sheet name="ToC" sheetId="26" r:id="rId1"/>
    <sheet name="Import 1 Emissions by Sector" sheetId="51" state="hidden" r:id="rId2"/>
    <sheet name="Import 2 Primary Energy Sources" sheetId="52" state="hidden" r:id="rId3"/>
    <sheet name="Import 3 Scholarly works" sheetId="20" state="hidden" r:id="rId4"/>
    <sheet name="Import 4 Patent documents" sheetId="15" state="hidden" r:id="rId5"/>
    <sheet name="I Mortality Value" sheetId="31" r:id="rId6"/>
    <sheet name="II RO CA&amp;OPEX" sheetId="34" r:id="rId7"/>
    <sheet name="III POX oil ideal" sheetId="29" r:id="rId8"/>
    <sheet name="IV H2 ideal" sheetId="5" r:id="rId9"/>
    <sheet name="V Intermediate Calculations" sheetId="37" r:id="rId10"/>
    <sheet name="VI Projected H2 Demand" sheetId="39" r:id="rId11"/>
    <sheet name="VII Projected H2O Demand" sheetId="43" r:id="rId12"/>
    <sheet name="VIII Mineral Demand" sheetId="40" r:id="rId13"/>
    <sheet name="IX HypeData" sheetId="11" r:id="rId14"/>
    <sheet name="X Case Study" sheetId="49" r:id="rId15"/>
    <sheet name="X Case Study_old" sheetId="48" state="hidden" r:id="rId16"/>
    <sheet name="X Case Study_older" sheetId="38" state="hidden" r:id="rId17"/>
    <sheet name="XI Q and A" sheetId="46" r:id="rId18"/>
    <sheet name="XI.1 Appendix" sheetId="47" state="hidden" r:id="rId19"/>
    <sheet name="XII Human Capital Model" sheetId="42" r:id="rId20"/>
  </sheets>
  <externalReferences>
    <externalReference r:id="rId21"/>
    <externalReference r:id="rId22"/>
    <externalReference r:id="rId23"/>
  </externalReferences>
  <definedNames>
    <definedName name="_xlnm._FilterDatabase" localSheetId="5" hidden="1">'I Mortality Value'!$AP$2:$AP$190</definedName>
    <definedName name="_xlnm._FilterDatabase" localSheetId="8" hidden="1">'IV H2 ideal'!$B$13:$O$13</definedName>
    <definedName name="_xlnm._FilterDatabase" localSheetId="14" hidden="1">'X Case Study'!$B$52:$S$52</definedName>
    <definedName name="_xlnm._FilterDatabase" localSheetId="15" hidden="1">'X Case Study_old'!$C$32:$R$32</definedName>
    <definedName name="_xlnm._FilterDatabase" localSheetId="16" hidden="1">'X Case Study_older'!$C$32:$R$32</definedName>
    <definedName name="_xlnm._FilterDatabase" localSheetId="17" hidden="1">'XI Q and A'!$B$29:$K$29</definedName>
    <definedName name="_xlnm._FilterDatabase" localSheetId="18" hidden="1">'XI.1 Appendix'!$B$7:$H$7</definedName>
    <definedName name="_xlcn.WorksheetConnection_TestB2B41" hidden="1">ToC!$B$2:$B$4</definedName>
    <definedName name="ExterneDaten_1" localSheetId="3" hidden="1">'Import 3 Scholarly works'!$A$4:$A$58</definedName>
    <definedName name="ExterneDaten_1" localSheetId="4" hidden="1">'Import 4 Patent documents'!$A$4:$A$53</definedName>
  </definedNames>
  <calcPr calcId="18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ereich" name="Bereich" connection="WorksheetConnection_Test!$B$2:$B$4"/>
        </x15:modelTables>
      </x15:dataModel>
    </ext>
  </extLst>
</workbook>
</file>

<file path=xl/calcChain.xml><?xml version="1.0" encoding="utf-8"?>
<calcChain xmlns="http://schemas.openxmlformats.org/spreadsheetml/2006/main">
  <c r="E15" i="42" l="1"/>
  <c r="E14" i="42"/>
  <c r="I73" i="11"/>
  <c r="H7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3" i="11"/>
  <c r="I72" i="11"/>
  <c r="H72" i="11"/>
  <c r="I71" i="11"/>
  <c r="H71" i="11"/>
  <c r="I70" i="11"/>
  <c r="H70" i="11"/>
  <c r="I69" i="11"/>
  <c r="H69" i="11"/>
  <c r="I68" i="11"/>
  <c r="H68" i="11"/>
  <c r="I67" i="11"/>
  <c r="H67" i="11"/>
  <c r="C72" i="11"/>
  <c r="D72" i="11"/>
  <c r="J73" i="11" l="1"/>
  <c r="G19" i="52"/>
  <c r="G27" i="52" s="1"/>
  <c r="D19" i="52"/>
  <c r="D27" i="52" s="1"/>
  <c r="G18" i="52"/>
  <c r="G26" i="52" s="1"/>
  <c r="I12" i="52"/>
  <c r="H9" i="52"/>
  <c r="G9" i="52"/>
  <c r="F9" i="52"/>
  <c r="E9" i="52"/>
  <c r="D9" i="52"/>
  <c r="C9" i="52"/>
  <c r="I8" i="52"/>
  <c r="H19" i="52" s="1"/>
  <c r="H27" i="52" s="1"/>
  <c r="I7" i="52"/>
  <c r="F18" i="52" s="1"/>
  <c r="F26" i="52" s="1"/>
  <c r="H18" i="52" l="1"/>
  <c r="H26" i="52" s="1"/>
  <c r="C19" i="52"/>
  <c r="E19" i="52"/>
  <c r="E27" i="52" s="1"/>
  <c r="H12" i="52"/>
  <c r="F19" i="52"/>
  <c r="F27" i="52" s="1"/>
  <c r="C18" i="52"/>
  <c r="D18" i="52"/>
  <c r="D26" i="52" s="1"/>
  <c r="E18" i="52"/>
  <c r="E26" i="52" s="1"/>
  <c r="D13" i="51"/>
  <c r="G54" i="49"/>
  <c r="G55" i="49"/>
  <c r="G56" i="49"/>
  <c r="G57" i="49"/>
  <c r="G58" i="49"/>
  <c r="G53" i="49"/>
  <c r="AJ42" i="49"/>
  <c r="AI42" i="49"/>
  <c r="AH42" i="49"/>
  <c r="AG42" i="49"/>
  <c r="AF42" i="49"/>
  <c r="AA42" i="49"/>
  <c r="Z42" i="49"/>
  <c r="X42" i="49"/>
  <c r="W42" i="49"/>
  <c r="AJ32" i="49"/>
  <c r="AI32" i="49"/>
  <c r="AH32" i="49"/>
  <c r="AG32" i="49"/>
  <c r="AF32" i="49"/>
  <c r="N14" i="49"/>
  <c r="N16" i="49"/>
  <c r="N18" i="49"/>
  <c r="N20" i="49"/>
  <c r="N22" i="49"/>
  <c r="N4" i="37"/>
  <c r="S8" i="37" s="1"/>
  <c r="AJ34" i="37"/>
  <c r="AJ36" i="37" s="1"/>
  <c r="AJ19" i="37"/>
  <c r="AJ25" i="37" s="1"/>
  <c r="AJ27" i="37" s="1"/>
  <c r="AJ29" i="37" s="1"/>
  <c r="H9" i="47"/>
  <c r="H10" i="47"/>
  <c r="H11" i="47"/>
  <c r="H12" i="47"/>
  <c r="H13" i="47"/>
  <c r="H14" i="47"/>
  <c r="H15" i="47"/>
  <c r="H16" i="47"/>
  <c r="H17" i="47"/>
  <c r="H18" i="47"/>
  <c r="H19" i="47"/>
  <c r="H20" i="47"/>
  <c r="H21" i="47"/>
  <c r="H22" i="47"/>
  <c r="H23" i="47"/>
  <c r="H24" i="47"/>
  <c r="H25" i="47"/>
  <c r="H26" i="47"/>
  <c r="H27" i="47"/>
  <c r="H28" i="47"/>
  <c r="H29" i="47"/>
  <c r="H30" i="47"/>
  <c r="H31" i="47"/>
  <c r="H32" i="47"/>
  <c r="H33" i="47"/>
  <c r="H34" i="47"/>
  <c r="H35" i="47"/>
  <c r="H36" i="47"/>
  <c r="H37" i="47"/>
  <c r="H38" i="47"/>
  <c r="H39" i="47"/>
  <c r="H40" i="47"/>
  <c r="H41" i="47"/>
  <c r="H42" i="47"/>
  <c r="H43" i="47"/>
  <c r="H44" i="47"/>
  <c r="H45" i="47"/>
  <c r="H46" i="47"/>
  <c r="H47" i="47"/>
  <c r="H48" i="47"/>
  <c r="H49" i="47"/>
  <c r="H50" i="47"/>
  <c r="H51" i="47"/>
  <c r="H52" i="47"/>
  <c r="H53" i="47"/>
  <c r="H54" i="47"/>
  <c r="H55" i="47"/>
  <c r="H56" i="47"/>
  <c r="H57" i="47"/>
  <c r="H58" i="47"/>
  <c r="H59" i="47"/>
  <c r="H8" i="47"/>
  <c r="G22" i="49"/>
  <c r="R22" i="49" s="1"/>
  <c r="G20" i="49"/>
  <c r="R20" i="49" s="1"/>
  <c r="G18" i="49"/>
  <c r="Q18" i="49" s="1"/>
  <c r="G16" i="49"/>
  <c r="R16" i="49" s="1"/>
  <c r="G14" i="49"/>
  <c r="R14" i="49" s="1"/>
  <c r="G12" i="49"/>
  <c r="Q12" i="49" s="1"/>
  <c r="AA39" i="49"/>
  <c r="AJ49" i="49" s="1"/>
  <c r="AA38" i="49"/>
  <c r="AA48" i="49" s="1"/>
  <c r="AA37" i="49"/>
  <c r="AJ47" i="49" s="1"/>
  <c r="AA36" i="49"/>
  <c r="AJ36" i="49" s="1"/>
  <c r="AA35" i="49"/>
  <c r="AJ35" i="49" s="1"/>
  <c r="AA34" i="49"/>
  <c r="AJ44" i="49" s="1"/>
  <c r="Z39" i="49"/>
  <c r="Z49" i="49" s="1"/>
  <c r="Z38" i="49"/>
  <c r="Z48" i="49" s="1"/>
  <c r="Z37" i="49"/>
  <c r="AI47" i="49" s="1"/>
  <c r="Z36" i="49"/>
  <c r="Z46" i="49" s="1"/>
  <c r="Z35" i="49"/>
  <c r="AI45" i="49" s="1"/>
  <c r="Z34" i="49"/>
  <c r="AI44" i="49" s="1"/>
  <c r="Y39" i="49"/>
  <c r="Y49" i="49" s="1"/>
  <c r="Y38" i="49"/>
  <c r="AH48" i="49" s="1"/>
  <c r="Y37" i="49"/>
  <c r="AH47" i="49" s="1"/>
  <c r="Y36" i="49"/>
  <c r="Y46" i="49" s="1"/>
  <c r="Y35" i="49"/>
  <c r="AH45" i="49" s="1"/>
  <c r="Y34" i="49"/>
  <c r="AH34" i="49" s="1"/>
  <c r="X39" i="49"/>
  <c r="X49" i="49" s="1"/>
  <c r="X38" i="49"/>
  <c r="AG48" i="49" s="1"/>
  <c r="X37" i="49"/>
  <c r="AG47" i="49" s="1"/>
  <c r="X36" i="49"/>
  <c r="X46" i="49" s="1"/>
  <c r="X35" i="49"/>
  <c r="AG45" i="49" s="1"/>
  <c r="X34" i="49"/>
  <c r="AG44" i="49" s="1"/>
  <c r="U14" i="40"/>
  <c r="U13" i="40"/>
  <c r="U12" i="40"/>
  <c r="U11" i="40"/>
  <c r="U10" i="40"/>
  <c r="U9" i="40"/>
  <c r="U8" i="40"/>
  <c r="X54" i="48"/>
  <c r="Y54" i="48"/>
  <c r="X55" i="48"/>
  <c r="X59" i="48" s="1"/>
  <c r="Y55" i="48"/>
  <c r="Y59" i="48" s="1"/>
  <c r="X56" i="48"/>
  <c r="Y56" i="48"/>
  <c r="X57" i="48"/>
  <c r="Y57" i="48"/>
  <c r="X58" i="48"/>
  <c r="Y58" i="48"/>
  <c r="W58" i="48"/>
  <c r="W57" i="48"/>
  <c r="W56" i="48"/>
  <c r="W55" i="48"/>
  <c r="W54" i="48"/>
  <c r="R54" i="48"/>
  <c r="S54" i="48"/>
  <c r="R55" i="48"/>
  <c r="S55" i="48"/>
  <c r="R56" i="48"/>
  <c r="S56" i="48"/>
  <c r="R57" i="48"/>
  <c r="S57" i="48"/>
  <c r="R58" i="48"/>
  <c r="S58" i="48"/>
  <c r="Q58" i="48"/>
  <c r="Q57" i="48"/>
  <c r="Q59" i="48" s="1"/>
  <c r="Q56" i="48"/>
  <c r="Q55" i="48"/>
  <c r="Q54" i="48"/>
  <c r="O54" i="48"/>
  <c r="P54" i="48"/>
  <c r="O55" i="48"/>
  <c r="O59" i="48" s="1"/>
  <c r="P55" i="48"/>
  <c r="P59" i="48" s="1"/>
  <c r="O56" i="48"/>
  <c r="P56" i="48"/>
  <c r="O57" i="48"/>
  <c r="P57" i="48"/>
  <c r="O58" i="48"/>
  <c r="P58" i="48"/>
  <c r="N58" i="48"/>
  <c r="N57" i="48"/>
  <c r="N56" i="48"/>
  <c r="N55" i="48"/>
  <c r="N54" i="48"/>
  <c r="L54" i="48"/>
  <c r="L59" i="48" s="1"/>
  <c r="M54" i="48"/>
  <c r="L55" i="48"/>
  <c r="M55" i="48"/>
  <c r="M59" i="48" s="1"/>
  <c r="L56" i="48"/>
  <c r="M56" i="48"/>
  <c r="L57" i="48"/>
  <c r="M57" i="48"/>
  <c r="L58" i="48"/>
  <c r="M58" i="48"/>
  <c r="K58" i="48"/>
  <c r="K57" i="48"/>
  <c r="K56" i="48"/>
  <c r="K55" i="48"/>
  <c r="K54" i="48"/>
  <c r="I54" i="48"/>
  <c r="J54" i="48"/>
  <c r="I55" i="48"/>
  <c r="I59" i="48" s="1"/>
  <c r="J55" i="48"/>
  <c r="J59" i="48" s="1"/>
  <c r="I56" i="48"/>
  <c r="J56" i="48"/>
  <c r="I57" i="48"/>
  <c r="J57" i="48"/>
  <c r="I58" i="48"/>
  <c r="J58" i="48"/>
  <c r="H58" i="48"/>
  <c r="H57" i="48"/>
  <c r="H56" i="48"/>
  <c r="H55" i="48"/>
  <c r="H54" i="48"/>
  <c r="G54" i="48"/>
  <c r="G59" i="48" s="1"/>
  <c r="G55" i="48"/>
  <c r="G56" i="48"/>
  <c r="G57" i="48"/>
  <c r="G58" i="48"/>
  <c r="F54" i="48"/>
  <c r="F55" i="48"/>
  <c r="F56" i="48"/>
  <c r="F57" i="48"/>
  <c r="F58" i="48"/>
  <c r="F59" i="48"/>
  <c r="K59" i="48"/>
  <c r="N59" i="48"/>
  <c r="R59" i="48"/>
  <c r="S59" i="48"/>
  <c r="T59" i="48"/>
  <c r="U59" i="48"/>
  <c r="V59" i="48"/>
  <c r="W59" i="48"/>
  <c r="E59" i="48"/>
  <c r="E58" i="48"/>
  <c r="E57" i="48"/>
  <c r="E56" i="48"/>
  <c r="E55" i="48"/>
  <c r="E54" i="48"/>
  <c r="J55" i="38"/>
  <c r="J56" i="38"/>
  <c r="J57" i="38"/>
  <c r="J58" i="38"/>
  <c r="J59" i="38"/>
  <c r="J61" i="38"/>
  <c r="J62" i="38"/>
  <c r="J63" i="38"/>
  <c r="J64" i="38"/>
  <c r="J65" i="38"/>
  <c r="J66" i="38"/>
  <c r="J67" i="38"/>
  <c r="J69" i="38"/>
  <c r="J70" i="38"/>
  <c r="J71" i="38"/>
  <c r="J72" i="38"/>
  <c r="J73" i="38"/>
  <c r="J74" i="38"/>
  <c r="J75" i="38"/>
  <c r="J54" i="38"/>
  <c r="L44" i="48"/>
  <c r="K44" i="48"/>
  <c r="S49" i="48"/>
  <c r="R49" i="48"/>
  <c r="Q49" i="48"/>
  <c r="P49" i="48"/>
  <c r="O49" i="48"/>
  <c r="N49" i="48"/>
  <c r="M49" i="48"/>
  <c r="L49" i="48"/>
  <c r="K49" i="48"/>
  <c r="J49" i="48"/>
  <c r="I49" i="48"/>
  <c r="H49" i="48"/>
  <c r="S48" i="48"/>
  <c r="R48" i="48"/>
  <c r="Q48" i="48"/>
  <c r="P48" i="48"/>
  <c r="O48" i="48"/>
  <c r="N48" i="48"/>
  <c r="M48" i="48"/>
  <c r="L48" i="48"/>
  <c r="K48" i="48"/>
  <c r="J48" i="48"/>
  <c r="I48" i="48"/>
  <c r="H48" i="48"/>
  <c r="S47" i="48"/>
  <c r="R47" i="48"/>
  <c r="Q47" i="48"/>
  <c r="P47" i="48"/>
  <c r="O47" i="48"/>
  <c r="N47" i="48"/>
  <c r="M47" i="48"/>
  <c r="L47" i="48"/>
  <c r="K47" i="48"/>
  <c r="J47" i="48"/>
  <c r="I47" i="48"/>
  <c r="H47" i="48"/>
  <c r="S46" i="48"/>
  <c r="R46" i="48"/>
  <c r="Q46" i="48"/>
  <c r="P46" i="48"/>
  <c r="O46" i="48"/>
  <c r="N46" i="48"/>
  <c r="M46" i="48"/>
  <c r="L46" i="48"/>
  <c r="K46" i="48"/>
  <c r="J46" i="48"/>
  <c r="I46" i="48"/>
  <c r="H46" i="48"/>
  <c r="G46" i="48"/>
  <c r="S45" i="48"/>
  <c r="R45" i="48"/>
  <c r="Q45" i="48"/>
  <c r="P45" i="48"/>
  <c r="O45" i="48"/>
  <c r="N45" i="48"/>
  <c r="M45" i="48"/>
  <c r="L45" i="48"/>
  <c r="K45" i="48"/>
  <c r="J45" i="48"/>
  <c r="I45" i="48"/>
  <c r="H45" i="48"/>
  <c r="S44" i="48"/>
  <c r="R44" i="48"/>
  <c r="Q44" i="48"/>
  <c r="P44" i="48"/>
  <c r="O44" i="48"/>
  <c r="N44" i="48"/>
  <c r="M44" i="48"/>
  <c r="J44" i="48"/>
  <c r="I44" i="48"/>
  <c r="H44" i="48"/>
  <c r="G38" i="48"/>
  <c r="G49" i="48" s="1"/>
  <c r="G37" i="48"/>
  <c r="Q37" i="48" s="1"/>
  <c r="G36" i="48"/>
  <c r="Q36" i="48" s="1"/>
  <c r="G35" i="48"/>
  <c r="O35" i="48" s="1"/>
  <c r="G34" i="48"/>
  <c r="G45" i="48" s="1"/>
  <c r="G33" i="48"/>
  <c r="G44" i="48" s="1"/>
  <c r="G22" i="48"/>
  <c r="P22" i="48" s="1"/>
  <c r="G20" i="48"/>
  <c r="Q20" i="48" s="1"/>
  <c r="G18" i="48"/>
  <c r="P18" i="48" s="1"/>
  <c r="G16" i="48"/>
  <c r="P16" i="48" s="1"/>
  <c r="G14" i="48"/>
  <c r="P14" i="48" s="1"/>
  <c r="G12" i="48"/>
  <c r="Q12" i="48" s="1"/>
  <c r="Q45" i="38"/>
  <c r="R45" i="38"/>
  <c r="S45" i="38"/>
  <c r="Q46" i="38"/>
  <c r="R46" i="38"/>
  <c r="S46" i="38"/>
  <c r="Q47" i="38"/>
  <c r="R47" i="38"/>
  <c r="S47" i="38"/>
  <c r="Q48" i="38"/>
  <c r="R48" i="38"/>
  <c r="S48" i="38"/>
  <c r="Q49" i="38"/>
  <c r="R49" i="38"/>
  <c r="S49" i="38"/>
  <c r="S44" i="38"/>
  <c r="R44" i="38"/>
  <c r="Q44" i="38"/>
  <c r="N45" i="38"/>
  <c r="O45" i="38"/>
  <c r="P45" i="38"/>
  <c r="N46" i="38"/>
  <c r="O46" i="38"/>
  <c r="P46" i="38"/>
  <c r="N47" i="38"/>
  <c r="O47" i="38"/>
  <c r="P47" i="38"/>
  <c r="N48" i="38"/>
  <c r="O48" i="38"/>
  <c r="P48" i="38"/>
  <c r="N49" i="38"/>
  <c r="O49" i="38"/>
  <c r="P49" i="38"/>
  <c r="N44" i="38"/>
  <c r="O44" i="38"/>
  <c r="P44" i="38"/>
  <c r="K45" i="38"/>
  <c r="L45" i="38"/>
  <c r="M45" i="38"/>
  <c r="K46" i="38"/>
  <c r="L46" i="38"/>
  <c r="M46" i="38"/>
  <c r="K47" i="38"/>
  <c r="L47" i="38"/>
  <c r="M47" i="38"/>
  <c r="K48" i="38"/>
  <c r="L48" i="38"/>
  <c r="M48" i="38"/>
  <c r="K49" i="38"/>
  <c r="L49" i="38"/>
  <c r="M49" i="38"/>
  <c r="M44" i="38"/>
  <c r="L44" i="38"/>
  <c r="I49" i="38"/>
  <c r="J49" i="38"/>
  <c r="H49" i="38"/>
  <c r="H44" i="38"/>
  <c r="K44" i="38"/>
  <c r="H48" i="38"/>
  <c r="H45" i="38"/>
  <c r="I45" i="38"/>
  <c r="J45" i="38"/>
  <c r="H46" i="38"/>
  <c r="I46" i="38"/>
  <c r="J46" i="38"/>
  <c r="H47" i="38"/>
  <c r="I47" i="38"/>
  <c r="J47" i="38"/>
  <c r="I48" i="38"/>
  <c r="J48" i="38"/>
  <c r="J44" i="38"/>
  <c r="I44" i="38"/>
  <c r="G49" i="38"/>
  <c r="G45" i="38"/>
  <c r="G46" i="38"/>
  <c r="G47" i="38"/>
  <c r="G48" i="38"/>
  <c r="G44" i="38"/>
  <c r="F45" i="38"/>
  <c r="F46" i="38"/>
  <c r="F47" i="38"/>
  <c r="F48" i="38"/>
  <c r="F49" i="38"/>
  <c r="F44" i="38"/>
  <c r="E45" i="38"/>
  <c r="E46" i="38"/>
  <c r="E47" i="38"/>
  <c r="E48" i="38"/>
  <c r="E49" i="38"/>
  <c r="E44" i="38"/>
  <c r="M9" i="46"/>
  <c r="K7" i="46"/>
  <c r="E25" i="43"/>
  <c r="F25" i="43" s="1"/>
  <c r="G25" i="43" s="1"/>
  <c r="H25" i="43" s="1"/>
  <c r="I25" i="43" s="1"/>
  <c r="J25" i="43" s="1"/>
  <c r="H3" i="47"/>
  <c r="F3" i="47"/>
  <c r="E3" i="47"/>
  <c r="D3"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G34" i="47"/>
  <c r="G35" i="47"/>
  <c r="G36" i="47"/>
  <c r="G37" i="47"/>
  <c r="G38" i="47"/>
  <c r="G39" i="47"/>
  <c r="G40" i="47"/>
  <c r="G41" i="47"/>
  <c r="G42" i="47"/>
  <c r="G43" i="47"/>
  <c r="G44" i="47"/>
  <c r="G45" i="47"/>
  <c r="G46" i="47"/>
  <c r="G47" i="47"/>
  <c r="G48" i="47"/>
  <c r="G49" i="47"/>
  <c r="G50" i="47"/>
  <c r="G51" i="47"/>
  <c r="G52" i="47"/>
  <c r="G53" i="47"/>
  <c r="G54" i="47"/>
  <c r="G55" i="47"/>
  <c r="G56" i="47"/>
  <c r="G57" i="47"/>
  <c r="G3" i="47" s="1"/>
  <c r="G58" i="47"/>
  <c r="G59" i="47"/>
  <c r="P8" i="47"/>
  <c r="O8" i="47"/>
  <c r="P9" i="47"/>
  <c r="O9" i="47"/>
  <c r="P10" i="47"/>
  <c r="O10" i="47"/>
  <c r="P11" i="47"/>
  <c r="O11" i="47"/>
  <c r="P12" i="47"/>
  <c r="O12" i="47"/>
  <c r="P13" i="47"/>
  <c r="O13" i="47"/>
  <c r="P14" i="47"/>
  <c r="O14" i="47"/>
  <c r="P15" i="47"/>
  <c r="O15" i="47"/>
  <c r="P16" i="47"/>
  <c r="O16" i="47"/>
  <c r="P17" i="47"/>
  <c r="O17" i="47"/>
  <c r="P18" i="47"/>
  <c r="O18" i="47"/>
  <c r="P19" i="47"/>
  <c r="O19" i="47"/>
  <c r="P20" i="47"/>
  <c r="O20" i="47"/>
  <c r="P21" i="47"/>
  <c r="O21" i="47"/>
  <c r="P22" i="47"/>
  <c r="O22" i="47"/>
  <c r="P23" i="47"/>
  <c r="O23" i="47"/>
  <c r="P24" i="47"/>
  <c r="O24" i="47"/>
  <c r="P25" i="47"/>
  <c r="O25" i="47"/>
  <c r="P26" i="47"/>
  <c r="O26" i="47"/>
  <c r="P27" i="47"/>
  <c r="O27" i="47"/>
  <c r="P28" i="47"/>
  <c r="O28" i="47"/>
  <c r="P29" i="47"/>
  <c r="O29" i="47"/>
  <c r="P30" i="47"/>
  <c r="O30" i="47"/>
  <c r="P31" i="47"/>
  <c r="O31" i="47"/>
  <c r="P32" i="47"/>
  <c r="O32" i="47"/>
  <c r="P33" i="47"/>
  <c r="O33" i="47"/>
  <c r="P34" i="47"/>
  <c r="O34" i="47"/>
  <c r="P35" i="47"/>
  <c r="O35" i="47"/>
  <c r="P36" i="47"/>
  <c r="O36" i="47"/>
  <c r="P37" i="47"/>
  <c r="O37" i="47"/>
  <c r="P38" i="47"/>
  <c r="O38" i="47"/>
  <c r="P39" i="47"/>
  <c r="O39" i="47"/>
  <c r="P40" i="47"/>
  <c r="O40" i="47"/>
  <c r="P41" i="47"/>
  <c r="O41" i="47"/>
  <c r="P42" i="47"/>
  <c r="O42" i="47"/>
  <c r="P43" i="47"/>
  <c r="O43" i="47"/>
  <c r="P44" i="47"/>
  <c r="O44" i="47"/>
  <c r="P45" i="47"/>
  <c r="O45" i="47"/>
  <c r="P46" i="47"/>
  <c r="O46" i="47"/>
  <c r="P47" i="47"/>
  <c r="O47" i="47"/>
  <c r="P48" i="47"/>
  <c r="O48" i="47"/>
  <c r="P49" i="47"/>
  <c r="O49" i="47"/>
  <c r="P50" i="47"/>
  <c r="O50" i="47"/>
  <c r="P51" i="47"/>
  <c r="O51" i="47"/>
  <c r="P52" i="47"/>
  <c r="O52" i="47"/>
  <c r="P53" i="47"/>
  <c r="O53" i="47"/>
  <c r="P54" i="47"/>
  <c r="O54" i="47"/>
  <c r="P55" i="47"/>
  <c r="O55" i="47"/>
  <c r="P56" i="47"/>
  <c r="O56" i="47"/>
  <c r="P57" i="47"/>
  <c r="O57" i="47"/>
  <c r="P58" i="47"/>
  <c r="O58" i="47"/>
  <c r="G24" i="46"/>
  <c r="F24" i="46"/>
  <c r="E24" i="46"/>
  <c r="E26" i="46"/>
  <c r="D4" i="47" s="1"/>
  <c r="F26" i="46"/>
  <c r="E4" i="47" s="1"/>
  <c r="G26" i="46"/>
  <c r="F4" i="47" s="1"/>
  <c r="E27" i="46"/>
  <c r="D5" i="47" s="1"/>
  <c r="F27" i="46"/>
  <c r="E5" i="47" s="1"/>
  <c r="G27" i="46"/>
  <c r="F5" i="47" s="1"/>
  <c r="H131" i="46"/>
  <c r="H130" i="46"/>
  <c r="H129" i="46"/>
  <c r="H128" i="46"/>
  <c r="H127" i="46"/>
  <c r="H126" i="46"/>
  <c r="H125" i="46"/>
  <c r="H124" i="46"/>
  <c r="H123" i="46"/>
  <c r="H122" i="46"/>
  <c r="H121" i="46"/>
  <c r="H120" i="46"/>
  <c r="H119" i="46"/>
  <c r="H118" i="46"/>
  <c r="H117" i="46"/>
  <c r="H116" i="46"/>
  <c r="H115" i="46"/>
  <c r="H114" i="46"/>
  <c r="H113" i="46"/>
  <c r="H112" i="46"/>
  <c r="H111" i="46"/>
  <c r="H110" i="46"/>
  <c r="H109" i="46"/>
  <c r="H108" i="46"/>
  <c r="H107" i="46"/>
  <c r="H106" i="46"/>
  <c r="H105" i="46"/>
  <c r="H104" i="46"/>
  <c r="H103" i="46"/>
  <c r="H102" i="46"/>
  <c r="H101" i="46"/>
  <c r="H100" i="46"/>
  <c r="H99" i="46"/>
  <c r="H98" i="46"/>
  <c r="H97" i="46"/>
  <c r="H96" i="46"/>
  <c r="H95" i="46"/>
  <c r="H94" i="46"/>
  <c r="H93" i="46"/>
  <c r="H92" i="46"/>
  <c r="H91" i="46"/>
  <c r="H90" i="46"/>
  <c r="H89" i="46"/>
  <c r="H88" i="46"/>
  <c r="H87" i="46"/>
  <c r="H86" i="46"/>
  <c r="H85" i="46"/>
  <c r="H84" i="46"/>
  <c r="H83" i="46"/>
  <c r="H24" i="46" s="1"/>
  <c r="H82" i="46"/>
  <c r="H81" i="46"/>
  <c r="H80" i="46"/>
  <c r="H79" i="46"/>
  <c r="H78" i="46"/>
  <c r="H77" i="46"/>
  <c r="H76" i="46"/>
  <c r="H75" i="46"/>
  <c r="H74" i="46"/>
  <c r="H73" i="46"/>
  <c r="H72" i="46"/>
  <c r="H71" i="46"/>
  <c r="H70" i="46"/>
  <c r="H69" i="46"/>
  <c r="H68" i="46"/>
  <c r="H67" i="46"/>
  <c r="H66" i="46"/>
  <c r="H65" i="46"/>
  <c r="H64" i="46"/>
  <c r="H63" i="46"/>
  <c r="H62" i="46"/>
  <c r="H61" i="46"/>
  <c r="H60" i="46"/>
  <c r="H59" i="46"/>
  <c r="H58" i="46"/>
  <c r="H57" i="46"/>
  <c r="H56" i="46"/>
  <c r="H55" i="46"/>
  <c r="H54" i="46"/>
  <c r="H53" i="46"/>
  <c r="H52" i="46"/>
  <c r="H51" i="46"/>
  <c r="H50" i="46"/>
  <c r="H49" i="46"/>
  <c r="H48" i="46"/>
  <c r="H47" i="46"/>
  <c r="H46" i="46"/>
  <c r="H45" i="46"/>
  <c r="H44" i="46"/>
  <c r="H43" i="46"/>
  <c r="H42" i="46"/>
  <c r="H41" i="46"/>
  <c r="H40" i="46"/>
  <c r="H39" i="46"/>
  <c r="H38" i="46"/>
  <c r="H37" i="46"/>
  <c r="H36" i="46"/>
  <c r="H35" i="46"/>
  <c r="H34" i="46"/>
  <c r="H33" i="46"/>
  <c r="H32" i="46"/>
  <c r="H31" i="46"/>
  <c r="H30" i="46"/>
  <c r="H132" i="46"/>
  <c r="I57" i="46"/>
  <c r="I30" i="46"/>
  <c r="I31" i="46"/>
  <c r="I32" i="46"/>
  <c r="I33" i="46"/>
  <c r="I34" i="46"/>
  <c r="I35" i="46"/>
  <c r="I36" i="46"/>
  <c r="I37" i="46"/>
  <c r="I38" i="46"/>
  <c r="I39" i="46"/>
  <c r="I40" i="46"/>
  <c r="I41" i="46"/>
  <c r="I42" i="46"/>
  <c r="I43" i="46"/>
  <c r="I44" i="46"/>
  <c r="I45" i="46"/>
  <c r="I46" i="46"/>
  <c r="I47" i="46"/>
  <c r="I48" i="46"/>
  <c r="I49" i="46"/>
  <c r="I50" i="46"/>
  <c r="I51" i="46"/>
  <c r="I52" i="46"/>
  <c r="I53" i="46"/>
  <c r="I54" i="46"/>
  <c r="I55" i="46"/>
  <c r="I56" i="46"/>
  <c r="I58" i="46"/>
  <c r="I59" i="46"/>
  <c r="I60" i="46"/>
  <c r="I61" i="46"/>
  <c r="I62" i="46"/>
  <c r="I63" i="46"/>
  <c r="I64" i="46"/>
  <c r="I65" i="46"/>
  <c r="I66" i="46"/>
  <c r="I67" i="46"/>
  <c r="I68" i="46"/>
  <c r="I69" i="46"/>
  <c r="I70" i="46"/>
  <c r="I71" i="46"/>
  <c r="I72" i="46"/>
  <c r="I73" i="46"/>
  <c r="I74" i="46"/>
  <c r="I75" i="46"/>
  <c r="I76" i="46"/>
  <c r="I77" i="46"/>
  <c r="I78" i="46"/>
  <c r="I79" i="46"/>
  <c r="I80" i="46"/>
  <c r="I81" i="46"/>
  <c r="I82" i="46"/>
  <c r="I83" i="46"/>
  <c r="I24" i="46" s="1"/>
  <c r="I84" i="46"/>
  <c r="I85" i="46"/>
  <c r="I86" i="46"/>
  <c r="I87" i="46"/>
  <c r="I88" i="46"/>
  <c r="I89" i="46"/>
  <c r="I90" i="46"/>
  <c r="I91" i="46"/>
  <c r="I92" i="46"/>
  <c r="I93" i="46"/>
  <c r="I94" i="46"/>
  <c r="I95" i="46"/>
  <c r="I96" i="46"/>
  <c r="I97" i="46"/>
  <c r="I98" i="46"/>
  <c r="I99" i="46"/>
  <c r="I100" i="46"/>
  <c r="I101" i="46"/>
  <c r="I102" i="46"/>
  <c r="I103" i="46"/>
  <c r="I104" i="46"/>
  <c r="I105" i="46"/>
  <c r="I106" i="46"/>
  <c r="I107" i="46"/>
  <c r="I108" i="46"/>
  <c r="I109" i="46"/>
  <c r="I110" i="46"/>
  <c r="I111" i="46"/>
  <c r="I112" i="46"/>
  <c r="I113" i="46"/>
  <c r="I114" i="46"/>
  <c r="I115" i="46"/>
  <c r="I116" i="46"/>
  <c r="I117" i="46"/>
  <c r="I118" i="46"/>
  <c r="I119" i="46"/>
  <c r="I120" i="46"/>
  <c r="I121" i="46"/>
  <c r="I122" i="46"/>
  <c r="I123" i="46"/>
  <c r="I124" i="46"/>
  <c r="I125" i="46"/>
  <c r="I126" i="46"/>
  <c r="I127" i="46"/>
  <c r="I128" i="46"/>
  <c r="I129" i="46"/>
  <c r="I130" i="46"/>
  <c r="I131" i="46"/>
  <c r="I132" i="46"/>
  <c r="E29" i="43"/>
  <c r="J32" i="43"/>
  <c r="I32" i="43"/>
  <c r="H32" i="43"/>
  <c r="G32" i="43"/>
  <c r="F32" i="43"/>
  <c r="E32" i="43"/>
  <c r="F10" i="43"/>
  <c r="F11" i="43" s="1"/>
  <c r="B35" i="43" s="1"/>
  <c r="G10" i="43"/>
  <c r="G11" i="43" s="1"/>
  <c r="H10" i="43"/>
  <c r="H11" i="43" s="1"/>
  <c r="B37" i="43" s="1"/>
  <c r="I10" i="43"/>
  <c r="I11" i="43" s="1"/>
  <c r="B38" i="43" s="1"/>
  <c r="E10" i="43"/>
  <c r="E11" i="43" s="1"/>
  <c r="B34" i="43" l="1"/>
  <c r="C26" i="52"/>
  <c r="I26" i="52" s="1"/>
  <c r="I18" i="52"/>
  <c r="I19" i="52"/>
  <c r="C27" i="52"/>
  <c r="I27" i="52" s="1"/>
  <c r="H28" i="43"/>
  <c r="N12" i="49"/>
  <c r="S7" i="37"/>
  <c r="S9" i="37"/>
  <c r="AJ39" i="37"/>
  <c r="AJ37" i="37"/>
  <c r="Q56" i="49"/>
  <c r="R55" i="49"/>
  <c r="Q58" i="49"/>
  <c r="P54" i="49"/>
  <c r="Q57" i="49"/>
  <c r="P55" i="49"/>
  <c r="W36" i="49"/>
  <c r="AF36" i="49" s="1"/>
  <c r="AI39" i="49"/>
  <c r="AI38" i="49"/>
  <c r="AG39" i="49"/>
  <c r="AG38" i="49"/>
  <c r="AG37" i="49"/>
  <c r="AG36" i="49"/>
  <c r="AG35" i="49"/>
  <c r="AI49" i="49"/>
  <c r="AI35" i="49"/>
  <c r="AI34" i="49"/>
  <c r="AI37" i="49"/>
  <c r="AG34" i="49"/>
  <c r="AI36" i="49"/>
  <c r="AH49" i="49"/>
  <c r="X44" i="49"/>
  <c r="AH39" i="49"/>
  <c r="AH38" i="49"/>
  <c r="Y48" i="49"/>
  <c r="X48" i="49"/>
  <c r="AH37" i="49"/>
  <c r="Y44" i="49"/>
  <c r="Z45" i="49"/>
  <c r="AG49" i="49"/>
  <c r="AJ46" i="49"/>
  <c r="AH36" i="49"/>
  <c r="Z44" i="49"/>
  <c r="AA47" i="49"/>
  <c r="Y45" i="49"/>
  <c r="AI46" i="49"/>
  <c r="AA45" i="49"/>
  <c r="AH35" i="49"/>
  <c r="AA44" i="49"/>
  <c r="Z47" i="49"/>
  <c r="X45" i="49"/>
  <c r="AJ48" i="49"/>
  <c r="AH46" i="49"/>
  <c r="AA49" i="49"/>
  <c r="Y47" i="49"/>
  <c r="AI48" i="49"/>
  <c r="AG46" i="49"/>
  <c r="AJ34" i="49"/>
  <c r="X47" i="49"/>
  <c r="AJ39" i="49"/>
  <c r="AJ45" i="49"/>
  <c r="AJ38" i="49"/>
  <c r="AA46" i="49"/>
  <c r="AH44" i="49"/>
  <c r="AJ37" i="49"/>
  <c r="W35" i="49"/>
  <c r="AB35" i="49" s="1"/>
  <c r="W34" i="49"/>
  <c r="AB34" i="49" s="1"/>
  <c r="W37" i="49"/>
  <c r="AB37" i="49" s="1"/>
  <c r="W38" i="49"/>
  <c r="AB38" i="49" s="1"/>
  <c r="W39" i="49"/>
  <c r="AB39" i="49" s="1"/>
  <c r="P18" i="49"/>
  <c r="R18" i="49"/>
  <c r="R57" i="49"/>
  <c r="P53" i="49"/>
  <c r="Q53" i="49"/>
  <c r="R53" i="49"/>
  <c r="Q55" i="49"/>
  <c r="P22" i="49"/>
  <c r="Q22" i="49"/>
  <c r="P16" i="49"/>
  <c r="Q16" i="49"/>
  <c r="R12" i="49"/>
  <c r="P12" i="49"/>
  <c r="P14" i="49"/>
  <c r="P20" i="49"/>
  <c r="Q14" i="49"/>
  <c r="Q20" i="49"/>
  <c r="P57" i="49"/>
  <c r="W60" i="48"/>
  <c r="Q60" i="48"/>
  <c r="N60" i="48"/>
  <c r="K60" i="48"/>
  <c r="H59" i="48"/>
  <c r="H60" i="48" s="1"/>
  <c r="E60" i="48"/>
  <c r="Q35" i="48"/>
  <c r="Q18" i="48"/>
  <c r="Y46" i="48"/>
  <c r="Q14" i="48"/>
  <c r="Y45" i="48"/>
  <c r="Y44" i="48"/>
  <c r="Y49" i="48"/>
  <c r="O33" i="48"/>
  <c r="O12" i="48"/>
  <c r="P33" i="48"/>
  <c r="P12" i="48"/>
  <c r="Q33" i="48"/>
  <c r="F46" i="48"/>
  <c r="X46" i="48" s="1"/>
  <c r="Q16" i="48"/>
  <c r="Q34" i="48"/>
  <c r="O18" i="48"/>
  <c r="R18" i="48" s="1"/>
  <c r="O22" i="48"/>
  <c r="O14" i="48"/>
  <c r="R14" i="48" s="1"/>
  <c r="Q22" i="48"/>
  <c r="O16" i="48"/>
  <c r="P38" i="48"/>
  <c r="P35" i="48"/>
  <c r="E46" i="48"/>
  <c r="W46" i="48" s="1"/>
  <c r="E47" i="48"/>
  <c r="W47" i="48" s="1"/>
  <c r="O38" i="48"/>
  <c r="P20" i="48"/>
  <c r="O36" i="48"/>
  <c r="Q38" i="48"/>
  <c r="F47" i="48"/>
  <c r="X47" i="48" s="1"/>
  <c r="O20" i="48"/>
  <c r="P36" i="48"/>
  <c r="G47" i="48"/>
  <c r="Y47" i="48" s="1"/>
  <c r="O34" i="48"/>
  <c r="E44" i="48"/>
  <c r="W44" i="48" s="1"/>
  <c r="E48" i="48"/>
  <c r="W48" i="48" s="1"/>
  <c r="P34" i="48"/>
  <c r="F44" i="48"/>
  <c r="X44" i="48" s="1"/>
  <c r="F48" i="48"/>
  <c r="X48" i="48" s="1"/>
  <c r="G48" i="48"/>
  <c r="Y48" i="48" s="1"/>
  <c r="O37" i="48"/>
  <c r="E45" i="48"/>
  <c r="W45" i="48" s="1"/>
  <c r="E49" i="48"/>
  <c r="W49" i="48" s="1"/>
  <c r="P37" i="48"/>
  <c r="F45" i="48"/>
  <c r="X45" i="48" s="1"/>
  <c r="F49" i="48"/>
  <c r="X49" i="48" s="1"/>
  <c r="E34" i="43"/>
  <c r="I27" i="46"/>
  <c r="H5" i="47" s="1"/>
  <c r="H27" i="46"/>
  <c r="G5" i="47" s="1"/>
  <c r="H26" i="46"/>
  <c r="G4" i="47" s="1"/>
  <c r="I26" i="46"/>
  <c r="H4" i="47" s="1"/>
  <c r="F35" i="43"/>
  <c r="I38" i="43"/>
  <c r="E35" i="43"/>
  <c r="I34" i="43"/>
  <c r="J35" i="43"/>
  <c r="H38" i="43"/>
  <c r="G35" i="43"/>
  <c r="E37" i="43"/>
  <c r="F37" i="43"/>
  <c r="E38" i="43"/>
  <c r="G37" i="43"/>
  <c r="F34" i="43"/>
  <c r="H37" i="43"/>
  <c r="F38" i="43"/>
  <c r="G34" i="43"/>
  <c r="I37" i="43"/>
  <c r="H34" i="43"/>
  <c r="J37" i="43"/>
  <c r="J34" i="43"/>
  <c r="G38" i="43"/>
  <c r="H35" i="43"/>
  <c r="J38" i="43"/>
  <c r="I35" i="43"/>
  <c r="B36" i="43"/>
  <c r="E36" i="43" s="1"/>
  <c r="Q4" i="31"/>
  <c r="R4" i="31" s="1"/>
  <c r="Q5" i="31"/>
  <c r="R5" i="31" s="1"/>
  <c r="Q6" i="31"/>
  <c r="R6" i="31" s="1"/>
  <c r="Q7" i="31"/>
  <c r="R7" i="31" s="1"/>
  <c r="Q8" i="31"/>
  <c r="R8" i="31" s="1"/>
  <c r="Q9" i="31"/>
  <c r="R9" i="31" s="1"/>
  <c r="Q10" i="31"/>
  <c r="R10" i="31" s="1"/>
  <c r="Q11" i="31"/>
  <c r="R11" i="31" s="1"/>
  <c r="Q12" i="31"/>
  <c r="R12" i="31" s="1"/>
  <c r="Q13" i="31"/>
  <c r="R13" i="31" s="1"/>
  <c r="Q14" i="31"/>
  <c r="R14" i="31" s="1"/>
  <c r="Q15" i="31"/>
  <c r="R15" i="31" s="1"/>
  <c r="Q16" i="31"/>
  <c r="R16" i="31" s="1"/>
  <c r="Q17" i="31"/>
  <c r="R17" i="31" s="1"/>
  <c r="Q18" i="31"/>
  <c r="R18" i="31" s="1"/>
  <c r="Q19" i="31"/>
  <c r="R19" i="31" s="1"/>
  <c r="Q20" i="31"/>
  <c r="R20" i="31" s="1"/>
  <c r="Q21" i="31"/>
  <c r="R21" i="31" s="1"/>
  <c r="Q22" i="31"/>
  <c r="R22" i="31" s="1"/>
  <c r="Q23" i="31"/>
  <c r="R23" i="31" s="1"/>
  <c r="Q24" i="31"/>
  <c r="R24" i="31" s="1"/>
  <c r="Q25" i="31"/>
  <c r="R25" i="31" s="1"/>
  <c r="Q26" i="31"/>
  <c r="R26" i="31" s="1"/>
  <c r="Q27" i="31"/>
  <c r="R27" i="31" s="1"/>
  <c r="Q28" i="31"/>
  <c r="R28" i="31" s="1"/>
  <c r="Q29" i="31"/>
  <c r="R29" i="31" s="1"/>
  <c r="Q30" i="31"/>
  <c r="R30" i="31" s="1"/>
  <c r="Q31" i="31"/>
  <c r="R31" i="31" s="1"/>
  <c r="Q32" i="31"/>
  <c r="R32" i="31" s="1"/>
  <c r="Q33" i="31"/>
  <c r="R33" i="31" s="1"/>
  <c r="Q34" i="31"/>
  <c r="R34" i="31" s="1"/>
  <c r="Q35" i="31"/>
  <c r="R35" i="31" s="1"/>
  <c r="Q36" i="31"/>
  <c r="R36" i="31" s="1"/>
  <c r="Q37" i="31"/>
  <c r="R37" i="31" s="1"/>
  <c r="Q38" i="31"/>
  <c r="R38" i="31" s="1"/>
  <c r="Q39" i="31"/>
  <c r="R39" i="31" s="1"/>
  <c r="Q40" i="31"/>
  <c r="R40" i="31" s="1"/>
  <c r="Q41" i="31"/>
  <c r="R41" i="31" s="1"/>
  <c r="Q42" i="31"/>
  <c r="R42" i="31" s="1"/>
  <c r="Q43" i="31"/>
  <c r="R43" i="31" s="1"/>
  <c r="Q44" i="31"/>
  <c r="R44" i="31" s="1"/>
  <c r="Q45" i="31"/>
  <c r="R45" i="31" s="1"/>
  <c r="Q46" i="31"/>
  <c r="R46" i="31" s="1"/>
  <c r="Q47" i="31"/>
  <c r="R47" i="31" s="1"/>
  <c r="Q48" i="31"/>
  <c r="R48" i="31" s="1"/>
  <c r="Q49" i="31"/>
  <c r="R49" i="31" s="1"/>
  <c r="Q50" i="31"/>
  <c r="R50" i="31" s="1"/>
  <c r="Q51" i="31"/>
  <c r="R51" i="31" s="1"/>
  <c r="Q52" i="31"/>
  <c r="R52" i="31" s="1"/>
  <c r="Q53" i="31"/>
  <c r="R53" i="31" s="1"/>
  <c r="Q54" i="31"/>
  <c r="R54" i="31" s="1"/>
  <c r="Q55" i="31"/>
  <c r="R55" i="31" s="1"/>
  <c r="Q56" i="31"/>
  <c r="R56" i="31" s="1"/>
  <c r="Q57" i="31"/>
  <c r="R57" i="31" s="1"/>
  <c r="Q58" i="31"/>
  <c r="R58" i="31" s="1"/>
  <c r="Q59" i="31"/>
  <c r="R59" i="31" s="1"/>
  <c r="Q60" i="31"/>
  <c r="R60" i="31" s="1"/>
  <c r="Q61" i="31"/>
  <c r="R61" i="31" s="1"/>
  <c r="Q62" i="31"/>
  <c r="R62" i="31" s="1"/>
  <c r="Q63" i="31"/>
  <c r="R63" i="31" s="1"/>
  <c r="Q64" i="31"/>
  <c r="R64" i="31" s="1"/>
  <c r="Q65" i="31"/>
  <c r="R65" i="31" s="1"/>
  <c r="Q3" i="31"/>
  <c r="R3" i="31" s="1"/>
  <c r="K4" i="31"/>
  <c r="L4" i="31" s="1"/>
  <c r="K5" i="31"/>
  <c r="L5" i="31" s="1"/>
  <c r="K6" i="31"/>
  <c r="L6" i="31" s="1"/>
  <c r="K7" i="31"/>
  <c r="L7" i="31" s="1"/>
  <c r="K8" i="31"/>
  <c r="L8" i="31" s="1"/>
  <c r="K9" i="31"/>
  <c r="L9" i="31" s="1"/>
  <c r="K10" i="31"/>
  <c r="L10" i="31" s="1"/>
  <c r="K11" i="31"/>
  <c r="L11" i="31" s="1"/>
  <c r="K12" i="31"/>
  <c r="L12" i="31" s="1"/>
  <c r="K13" i="31"/>
  <c r="L13" i="31" s="1"/>
  <c r="K14" i="31"/>
  <c r="L14" i="31" s="1"/>
  <c r="K15" i="31"/>
  <c r="L15" i="31" s="1"/>
  <c r="K16" i="31"/>
  <c r="L16" i="31" s="1"/>
  <c r="K17" i="31"/>
  <c r="L17" i="31" s="1"/>
  <c r="K18" i="31"/>
  <c r="L18" i="31" s="1"/>
  <c r="K19" i="31"/>
  <c r="L19" i="31" s="1"/>
  <c r="K20" i="31"/>
  <c r="L20" i="31" s="1"/>
  <c r="K21" i="31"/>
  <c r="L21" i="31" s="1"/>
  <c r="K22" i="31"/>
  <c r="L22" i="31" s="1"/>
  <c r="K23" i="31"/>
  <c r="L23" i="31" s="1"/>
  <c r="K24" i="31"/>
  <c r="L24" i="31" s="1"/>
  <c r="K25" i="31"/>
  <c r="L25" i="31" s="1"/>
  <c r="K26" i="31"/>
  <c r="L26" i="31" s="1"/>
  <c r="K27" i="31"/>
  <c r="L27" i="31" s="1"/>
  <c r="K28" i="31"/>
  <c r="L28" i="31" s="1"/>
  <c r="K29" i="31"/>
  <c r="L29" i="31" s="1"/>
  <c r="K30" i="31"/>
  <c r="L30" i="31" s="1"/>
  <c r="K31" i="31"/>
  <c r="L31" i="31" s="1"/>
  <c r="K32" i="31"/>
  <c r="L32" i="31" s="1"/>
  <c r="K33" i="31"/>
  <c r="L33" i="31" s="1"/>
  <c r="K34" i="31"/>
  <c r="L34" i="31" s="1"/>
  <c r="K35" i="31"/>
  <c r="L35" i="31" s="1"/>
  <c r="K36" i="31"/>
  <c r="L36" i="31" s="1"/>
  <c r="K37" i="31"/>
  <c r="L37" i="31" s="1"/>
  <c r="K38" i="31"/>
  <c r="L38" i="31" s="1"/>
  <c r="K39" i="31"/>
  <c r="L39" i="31" s="1"/>
  <c r="K40" i="31"/>
  <c r="L40" i="31" s="1"/>
  <c r="K41" i="31"/>
  <c r="L41" i="31" s="1"/>
  <c r="K42" i="31"/>
  <c r="L42" i="31" s="1"/>
  <c r="K43" i="31"/>
  <c r="L43" i="31" s="1"/>
  <c r="K44" i="31"/>
  <c r="L44" i="31" s="1"/>
  <c r="K45" i="31"/>
  <c r="L45" i="31" s="1"/>
  <c r="K46" i="31"/>
  <c r="L46" i="31" s="1"/>
  <c r="K47" i="31"/>
  <c r="L47" i="31" s="1"/>
  <c r="K48" i="31"/>
  <c r="L48" i="31" s="1"/>
  <c r="K49" i="31"/>
  <c r="L49" i="31" s="1"/>
  <c r="K50" i="31"/>
  <c r="L50" i="31" s="1"/>
  <c r="K51" i="31"/>
  <c r="L51" i="31" s="1"/>
  <c r="K52" i="31"/>
  <c r="L52" i="31" s="1"/>
  <c r="K53" i="31"/>
  <c r="L53" i="31" s="1"/>
  <c r="K54" i="31"/>
  <c r="L54" i="31" s="1"/>
  <c r="K55" i="31"/>
  <c r="L55" i="31" s="1"/>
  <c r="K56" i="31"/>
  <c r="L56" i="31" s="1"/>
  <c r="K57" i="31"/>
  <c r="L57" i="31" s="1"/>
  <c r="K58" i="31"/>
  <c r="L58" i="31" s="1"/>
  <c r="K59" i="31"/>
  <c r="L59" i="31" s="1"/>
  <c r="K60" i="31"/>
  <c r="L60" i="31" s="1"/>
  <c r="K61" i="31"/>
  <c r="L61" i="31" s="1"/>
  <c r="K62" i="31"/>
  <c r="L62" i="31" s="1"/>
  <c r="K63" i="31"/>
  <c r="L63" i="31" s="1"/>
  <c r="K64" i="31"/>
  <c r="L64" i="31" s="1"/>
  <c r="K3" i="31"/>
  <c r="L3" i="31" s="1"/>
  <c r="E4" i="31"/>
  <c r="E5" i="31"/>
  <c r="E6" i="31"/>
  <c r="E7" i="31"/>
  <c r="E8" i="31"/>
  <c r="F8" i="31" s="1"/>
  <c r="E9" i="31"/>
  <c r="F9" i="31" s="1"/>
  <c r="E10" i="31"/>
  <c r="F10" i="31" s="1"/>
  <c r="E11" i="31"/>
  <c r="F11" i="31" s="1"/>
  <c r="E12" i="31"/>
  <c r="F12" i="31" s="1"/>
  <c r="E13" i="31"/>
  <c r="F13" i="31" s="1"/>
  <c r="E14" i="31"/>
  <c r="F14" i="31" s="1"/>
  <c r="E15" i="31"/>
  <c r="F15" i="31" s="1"/>
  <c r="E16" i="31"/>
  <c r="F16" i="31" s="1"/>
  <c r="E17" i="31"/>
  <c r="F17" i="31" s="1"/>
  <c r="E18" i="31"/>
  <c r="F18" i="31" s="1"/>
  <c r="E19" i="31"/>
  <c r="F19" i="31" s="1"/>
  <c r="E20" i="31"/>
  <c r="F20" i="31" s="1"/>
  <c r="E21" i="31"/>
  <c r="F21" i="31" s="1"/>
  <c r="E22" i="31"/>
  <c r="F22" i="31" s="1"/>
  <c r="E23" i="31"/>
  <c r="F23" i="31" s="1"/>
  <c r="E24" i="31"/>
  <c r="F24" i="31" s="1"/>
  <c r="E25" i="31"/>
  <c r="F25" i="31" s="1"/>
  <c r="E26" i="31"/>
  <c r="F26" i="31" s="1"/>
  <c r="E27" i="31"/>
  <c r="F27" i="31" s="1"/>
  <c r="E28" i="31"/>
  <c r="F28" i="31" s="1"/>
  <c r="E29" i="31"/>
  <c r="F29" i="31" s="1"/>
  <c r="E30" i="31"/>
  <c r="F30" i="31" s="1"/>
  <c r="E31" i="31"/>
  <c r="F31" i="31" s="1"/>
  <c r="E32" i="31"/>
  <c r="F32" i="31" s="1"/>
  <c r="E33" i="31"/>
  <c r="F33" i="31" s="1"/>
  <c r="E34" i="31"/>
  <c r="F34" i="31" s="1"/>
  <c r="E35" i="31"/>
  <c r="F35" i="31" s="1"/>
  <c r="E36" i="31"/>
  <c r="F36" i="31" s="1"/>
  <c r="E37" i="31"/>
  <c r="F37" i="31" s="1"/>
  <c r="E38" i="31"/>
  <c r="F38" i="31" s="1"/>
  <c r="E39" i="31"/>
  <c r="F39" i="31" s="1"/>
  <c r="E40" i="31"/>
  <c r="F40" i="31" s="1"/>
  <c r="E41" i="31"/>
  <c r="F41" i="31" s="1"/>
  <c r="E42" i="31"/>
  <c r="F42" i="31" s="1"/>
  <c r="E43" i="31"/>
  <c r="F43" i="31" s="1"/>
  <c r="E44" i="31"/>
  <c r="F44" i="31" s="1"/>
  <c r="E45" i="31"/>
  <c r="F45" i="31" s="1"/>
  <c r="E46" i="31"/>
  <c r="F46" i="31" s="1"/>
  <c r="E47" i="31"/>
  <c r="F47" i="31" s="1"/>
  <c r="E48" i="31"/>
  <c r="F48" i="31" s="1"/>
  <c r="E49" i="31"/>
  <c r="F49" i="31" s="1"/>
  <c r="E50" i="31"/>
  <c r="F50" i="31" s="1"/>
  <c r="E51" i="31"/>
  <c r="F51" i="31" s="1"/>
  <c r="E52" i="31"/>
  <c r="F52" i="31" s="1"/>
  <c r="E53" i="31"/>
  <c r="F53" i="31" s="1"/>
  <c r="E55" i="31"/>
  <c r="F55" i="31" s="1"/>
  <c r="E56" i="31"/>
  <c r="F56" i="31" s="1"/>
  <c r="E57" i="31"/>
  <c r="F57" i="31" s="1"/>
  <c r="E58" i="31"/>
  <c r="F58" i="31" s="1"/>
  <c r="E59" i="31"/>
  <c r="F59" i="31" s="1"/>
  <c r="E60" i="31"/>
  <c r="F60" i="31" s="1"/>
  <c r="E61" i="31"/>
  <c r="F61" i="31" s="1"/>
  <c r="E62" i="31"/>
  <c r="F62" i="31" s="1"/>
  <c r="E63" i="31"/>
  <c r="F63" i="31" s="1"/>
  <c r="E64" i="31"/>
  <c r="F64" i="31" s="1"/>
  <c r="E3" i="31"/>
  <c r="AM170" i="31"/>
  <c r="E54" i="31" s="1"/>
  <c r="F54" i="31" s="1"/>
  <c r="AL170" i="31"/>
  <c r="G20" i="38"/>
  <c r="Q20" i="38" s="1"/>
  <c r="G22" i="38"/>
  <c r="Q22" i="38" s="1"/>
  <c r="G18" i="38"/>
  <c r="Q18" i="38" s="1"/>
  <c r="G16" i="38"/>
  <c r="P16" i="38" s="1"/>
  <c r="G14" i="38"/>
  <c r="P14" i="38" s="1"/>
  <c r="G12" i="38"/>
  <c r="Q12" i="38" s="1"/>
  <c r="G35" i="38"/>
  <c r="Q35" i="38" s="1"/>
  <c r="G37" i="38"/>
  <c r="Q37" i="38" s="1"/>
  <c r="G38" i="38"/>
  <c r="Q38" i="38" s="1"/>
  <c r="G34" i="38"/>
  <c r="O34" i="38" s="1"/>
  <c r="G36" i="38"/>
  <c r="O36" i="38" s="1"/>
  <c r="G33" i="38"/>
  <c r="O33" i="38" s="1"/>
  <c r="O27" i="40"/>
  <c r="P27" i="40" s="1"/>
  <c r="Q27" i="40" s="1"/>
  <c r="R27" i="40" s="1"/>
  <c r="S27" i="40" s="1"/>
  <c r="T27" i="40" s="1"/>
  <c r="M27" i="40"/>
  <c r="N27" i="40" s="1"/>
  <c r="L27" i="40"/>
  <c r="K27" i="40"/>
  <c r="J27" i="40"/>
  <c r="I27" i="40"/>
  <c r="C27" i="40"/>
  <c r="D27" i="40" s="1"/>
  <c r="E27" i="40" s="1"/>
  <c r="F27" i="40" s="1"/>
  <c r="G27" i="40" s="1"/>
  <c r="H27" i="40" s="1"/>
  <c r="O26" i="40"/>
  <c r="P26" i="40" s="1"/>
  <c r="Q26" i="40" s="1"/>
  <c r="R26" i="40" s="1"/>
  <c r="S26" i="40" s="1"/>
  <c r="T26" i="40" s="1"/>
  <c r="I26" i="40"/>
  <c r="J26" i="40" s="1"/>
  <c r="K26" i="40" s="1"/>
  <c r="L26" i="40" s="1"/>
  <c r="M26" i="40" s="1"/>
  <c r="N26" i="40" s="1"/>
  <c r="C26" i="40"/>
  <c r="D26" i="40" s="1"/>
  <c r="E26" i="40" s="1"/>
  <c r="F26" i="40" s="1"/>
  <c r="G26" i="40" s="1"/>
  <c r="H26" i="40" s="1"/>
  <c r="P25" i="40"/>
  <c r="Q25" i="40" s="1"/>
  <c r="R25" i="40" s="1"/>
  <c r="S25" i="40" s="1"/>
  <c r="T25" i="40" s="1"/>
  <c r="O25" i="40"/>
  <c r="I25" i="40"/>
  <c r="J25" i="40" s="1"/>
  <c r="K25" i="40" s="1"/>
  <c r="L25" i="40" s="1"/>
  <c r="M25" i="40" s="1"/>
  <c r="N25" i="40" s="1"/>
  <c r="D25" i="40"/>
  <c r="E25" i="40" s="1"/>
  <c r="F25" i="40" s="1"/>
  <c r="G25" i="40" s="1"/>
  <c r="H25" i="40" s="1"/>
  <c r="C25" i="40"/>
  <c r="O24" i="40"/>
  <c r="P24" i="40" s="1"/>
  <c r="Q24" i="40" s="1"/>
  <c r="R24" i="40" s="1"/>
  <c r="S24" i="40" s="1"/>
  <c r="T24" i="40" s="1"/>
  <c r="K24" i="40"/>
  <c r="L24" i="40" s="1"/>
  <c r="M24" i="40" s="1"/>
  <c r="N24" i="40" s="1"/>
  <c r="J24" i="40"/>
  <c r="I24" i="40"/>
  <c r="C24" i="40"/>
  <c r="D24" i="40" s="1"/>
  <c r="E24" i="40" s="1"/>
  <c r="F24" i="40" s="1"/>
  <c r="G24" i="40" s="1"/>
  <c r="H24" i="40" s="1"/>
  <c r="R23" i="40"/>
  <c r="S23" i="40" s="1"/>
  <c r="T23" i="40" s="1"/>
  <c r="Q23" i="40"/>
  <c r="P23" i="40"/>
  <c r="O23" i="40"/>
  <c r="I23" i="40"/>
  <c r="J23" i="40" s="1"/>
  <c r="K23" i="40" s="1"/>
  <c r="L23" i="40" s="1"/>
  <c r="M23" i="40" s="1"/>
  <c r="N23" i="40" s="1"/>
  <c r="F23" i="40"/>
  <c r="G23" i="40" s="1"/>
  <c r="H23" i="40" s="1"/>
  <c r="E23" i="40"/>
  <c r="D23" i="40"/>
  <c r="C23" i="40"/>
  <c r="O22" i="40"/>
  <c r="P22" i="40" s="1"/>
  <c r="Q22" i="40" s="1"/>
  <c r="R22" i="40" s="1"/>
  <c r="S22" i="40" s="1"/>
  <c r="T22" i="40" s="1"/>
  <c r="M22" i="40"/>
  <c r="N22" i="40" s="1"/>
  <c r="L22" i="40"/>
  <c r="K22" i="40"/>
  <c r="J22" i="40"/>
  <c r="I22" i="40"/>
  <c r="C22" i="40"/>
  <c r="D22" i="40" s="1"/>
  <c r="E22" i="40" s="1"/>
  <c r="F22" i="40" s="1"/>
  <c r="G22" i="40" s="1"/>
  <c r="H22" i="40" s="1"/>
  <c r="O21" i="40"/>
  <c r="P21" i="40" s="1"/>
  <c r="Q21" i="40" s="1"/>
  <c r="R21" i="40" s="1"/>
  <c r="S21" i="40" s="1"/>
  <c r="T21" i="40" s="1"/>
  <c r="I21" i="40"/>
  <c r="J21" i="40" s="1"/>
  <c r="K21" i="40" s="1"/>
  <c r="L21" i="40" s="1"/>
  <c r="M21" i="40" s="1"/>
  <c r="N21" i="40" s="1"/>
  <c r="C21" i="40"/>
  <c r="D21" i="40" s="1"/>
  <c r="E21" i="40" s="1"/>
  <c r="F21" i="40" s="1"/>
  <c r="G21" i="40" s="1"/>
  <c r="H21" i="40" s="1"/>
  <c r="O20" i="40"/>
  <c r="P20" i="40" s="1"/>
  <c r="Q20" i="40" s="1"/>
  <c r="R20" i="40" s="1"/>
  <c r="S20" i="40" s="1"/>
  <c r="T20" i="40" s="1"/>
  <c r="I20" i="40"/>
  <c r="J20" i="40" s="1"/>
  <c r="K20" i="40" s="1"/>
  <c r="L20" i="40" s="1"/>
  <c r="M20" i="40" s="1"/>
  <c r="N20" i="40" s="1"/>
  <c r="C20" i="40"/>
  <c r="D20" i="40" s="1"/>
  <c r="E20" i="40" s="1"/>
  <c r="F20" i="40" s="1"/>
  <c r="G20" i="40" s="1"/>
  <c r="H20" i="40" s="1"/>
  <c r="R20" i="39"/>
  <c r="L6" i="39"/>
  <c r="L7" i="39"/>
  <c r="L8" i="39"/>
  <c r="L9" i="39"/>
  <c r="L10" i="39"/>
  <c r="L11" i="39"/>
  <c r="T23" i="39" s="1"/>
  <c r="T24" i="39" s="1"/>
  <c r="T25" i="39" s="1"/>
  <c r="M14" i="5"/>
  <c r="C44" i="34"/>
  <c r="C43" i="34"/>
  <c r="C42" i="34"/>
  <c r="C41" i="34"/>
  <c r="J22" i="34"/>
  <c r="M7" i="34"/>
  <c r="N7" i="34"/>
  <c r="O7" i="34"/>
  <c r="M8" i="34"/>
  <c r="N8" i="34"/>
  <c r="O8" i="34"/>
  <c r="M9" i="34"/>
  <c r="N9" i="34"/>
  <c r="O9" i="34"/>
  <c r="M10" i="34"/>
  <c r="N10" i="34"/>
  <c r="O10" i="34"/>
  <c r="M11" i="34"/>
  <c r="N11" i="34"/>
  <c r="O11" i="34"/>
  <c r="M12" i="34"/>
  <c r="N12" i="34"/>
  <c r="O12" i="34"/>
  <c r="M13" i="34"/>
  <c r="N13" i="34"/>
  <c r="O13" i="34"/>
  <c r="M14" i="34"/>
  <c r="N14" i="34"/>
  <c r="O14" i="34"/>
  <c r="M15" i="34"/>
  <c r="N15" i="34"/>
  <c r="O15" i="34"/>
  <c r="M16" i="34"/>
  <c r="N16" i="34"/>
  <c r="O16" i="34"/>
  <c r="M17" i="34"/>
  <c r="N17" i="34"/>
  <c r="O17" i="34"/>
  <c r="L8" i="34"/>
  <c r="L9" i="34"/>
  <c r="L10" i="34"/>
  <c r="L11" i="34"/>
  <c r="L12" i="34"/>
  <c r="L13" i="34"/>
  <c r="L14" i="34"/>
  <c r="L15" i="34"/>
  <c r="L16" i="34"/>
  <c r="L17" i="34"/>
  <c r="L7" i="34"/>
  <c r="D21" i="34"/>
  <c r="H21" i="34" s="1"/>
  <c r="E21" i="34"/>
  <c r="I21" i="34" s="1"/>
  <c r="F21" i="34"/>
  <c r="J21" i="34" s="1"/>
  <c r="D22" i="34"/>
  <c r="H22" i="34" s="1"/>
  <c r="E22" i="34"/>
  <c r="I22" i="34" s="1"/>
  <c r="F22" i="34"/>
  <c r="D23" i="34"/>
  <c r="H23" i="34" s="1"/>
  <c r="E23" i="34"/>
  <c r="I23" i="34" s="1"/>
  <c r="F23" i="34"/>
  <c r="J23" i="34" s="1"/>
  <c r="D24" i="34"/>
  <c r="H24" i="34" s="1"/>
  <c r="E24" i="34"/>
  <c r="I24" i="34" s="1"/>
  <c r="F24" i="34"/>
  <c r="J24" i="34" s="1"/>
  <c r="D25" i="34"/>
  <c r="H25" i="34" s="1"/>
  <c r="E25" i="34"/>
  <c r="I25" i="34" s="1"/>
  <c r="F25" i="34"/>
  <c r="J25" i="34" s="1"/>
  <c r="D26" i="34"/>
  <c r="H26" i="34" s="1"/>
  <c r="E26" i="34"/>
  <c r="I26" i="34" s="1"/>
  <c r="F26" i="34"/>
  <c r="J26" i="34" s="1"/>
  <c r="D27" i="34"/>
  <c r="H27" i="34" s="1"/>
  <c r="E27" i="34"/>
  <c r="I27" i="34" s="1"/>
  <c r="F27" i="34"/>
  <c r="J27" i="34" s="1"/>
  <c r="D28" i="34"/>
  <c r="H28" i="34" s="1"/>
  <c r="E28" i="34"/>
  <c r="I28" i="34" s="1"/>
  <c r="F28" i="34"/>
  <c r="J28" i="34" s="1"/>
  <c r="D29" i="34"/>
  <c r="H29" i="34" s="1"/>
  <c r="E29" i="34"/>
  <c r="I29" i="34" s="1"/>
  <c r="F29" i="34"/>
  <c r="J29" i="34" s="1"/>
  <c r="D30" i="34"/>
  <c r="H30" i="34" s="1"/>
  <c r="E30" i="34"/>
  <c r="I30" i="34" s="1"/>
  <c r="F30" i="34"/>
  <c r="J30" i="34" s="1"/>
  <c r="D31" i="34"/>
  <c r="H31" i="34" s="1"/>
  <c r="E31" i="34"/>
  <c r="I31" i="34" s="1"/>
  <c r="F31" i="34"/>
  <c r="J31" i="34" s="1"/>
  <c r="C22" i="34"/>
  <c r="G22" i="34" s="1"/>
  <c r="C23" i="34"/>
  <c r="G23" i="34" s="1"/>
  <c r="C24" i="34"/>
  <c r="G24" i="34" s="1"/>
  <c r="C25" i="34"/>
  <c r="G25" i="34" s="1"/>
  <c r="C26" i="34"/>
  <c r="G26" i="34" s="1"/>
  <c r="C27" i="34"/>
  <c r="G27" i="34" s="1"/>
  <c r="C28" i="34"/>
  <c r="G28" i="34" s="1"/>
  <c r="C29" i="34"/>
  <c r="G29" i="34" s="1"/>
  <c r="C30" i="34"/>
  <c r="G30" i="34" s="1"/>
  <c r="C31" i="34"/>
  <c r="G31" i="34" s="1"/>
  <c r="C21" i="34"/>
  <c r="G21" i="34" s="1"/>
  <c r="I17" i="29"/>
  <c r="I18" i="29"/>
  <c r="I19" i="29"/>
  <c r="I20" i="29"/>
  <c r="I21" i="29"/>
  <c r="I22" i="29"/>
  <c r="I23" i="29"/>
  <c r="I24" i="29"/>
  <c r="I25" i="29"/>
  <c r="I26" i="29"/>
  <c r="I27" i="29"/>
  <c r="I28" i="29"/>
  <c r="I29" i="29"/>
  <c r="I30" i="29"/>
  <c r="I31" i="29"/>
  <c r="I32" i="29"/>
  <c r="I33" i="29"/>
  <c r="I34" i="29"/>
  <c r="I35" i="29"/>
  <c r="I16" i="29"/>
  <c r="W203" i="31"/>
  <c r="AD203" i="31" s="1"/>
  <c r="W202" i="31"/>
  <c r="AD202" i="31" s="1"/>
  <c r="W201" i="31"/>
  <c r="X201" i="31" s="1"/>
  <c r="Y201" i="31" s="1"/>
  <c r="W200" i="31"/>
  <c r="AD200" i="31" s="1"/>
  <c r="W199" i="31"/>
  <c r="X199" i="31" s="1"/>
  <c r="Y199" i="31" s="1"/>
  <c r="W198" i="31"/>
  <c r="X198" i="31" s="1"/>
  <c r="Y198" i="31" s="1"/>
  <c r="W197" i="31"/>
  <c r="AD197" i="31" s="1"/>
  <c r="W196" i="31"/>
  <c r="AD196" i="31" s="1"/>
  <c r="W195" i="31"/>
  <c r="X195" i="31" s="1"/>
  <c r="Y195" i="31" s="1"/>
  <c r="W194" i="31"/>
  <c r="AD194" i="31" s="1"/>
  <c r="W193" i="31"/>
  <c r="AD193" i="31" s="1"/>
  <c r="W192" i="31"/>
  <c r="X192" i="31" s="1"/>
  <c r="Y192" i="31" s="1"/>
  <c r="W191" i="31"/>
  <c r="AD191" i="31" s="1"/>
  <c r="W190" i="31"/>
  <c r="AD190" i="31" s="1"/>
  <c r="W189" i="31"/>
  <c r="X189" i="31" s="1"/>
  <c r="Y189" i="31" s="1"/>
  <c r="W188" i="31"/>
  <c r="AD188" i="31" s="1"/>
  <c r="W187" i="31"/>
  <c r="X187" i="31" s="1"/>
  <c r="Y187" i="31" s="1"/>
  <c r="W186" i="31"/>
  <c r="X186" i="31" s="1"/>
  <c r="Y186" i="31" s="1"/>
  <c r="W185" i="31"/>
  <c r="AD185" i="31" s="1"/>
  <c r="W184" i="31"/>
  <c r="AD184" i="31" s="1"/>
  <c r="W183" i="31"/>
  <c r="X183" i="31" s="1"/>
  <c r="Y183" i="31" s="1"/>
  <c r="W182" i="31"/>
  <c r="AD182" i="31" s="1"/>
  <c r="W181" i="31"/>
  <c r="X181" i="31" s="1"/>
  <c r="Y181" i="31" s="1"/>
  <c r="W180" i="31"/>
  <c r="X180" i="31" s="1"/>
  <c r="Y180" i="31" s="1"/>
  <c r="W179" i="31"/>
  <c r="AD179" i="31" s="1"/>
  <c r="W178" i="31"/>
  <c r="X178" i="31" s="1"/>
  <c r="Y178" i="31" s="1"/>
  <c r="W177" i="31"/>
  <c r="X177" i="31" s="1"/>
  <c r="Y177" i="31" s="1"/>
  <c r="W176" i="31"/>
  <c r="AD176" i="31" s="1"/>
  <c r="W175" i="31"/>
  <c r="AD175" i="31" s="1"/>
  <c r="W174" i="31"/>
  <c r="X174" i="31" s="1"/>
  <c r="Y174" i="31" s="1"/>
  <c r="W173" i="31"/>
  <c r="AD173" i="31" s="1"/>
  <c r="W172" i="31"/>
  <c r="AD172" i="31" s="1"/>
  <c r="W171" i="31"/>
  <c r="X171" i="31" s="1"/>
  <c r="Y171" i="31" s="1"/>
  <c r="W169" i="31"/>
  <c r="AD169" i="31" s="1"/>
  <c r="W168" i="31"/>
  <c r="X168" i="31" s="1"/>
  <c r="Y168" i="31" s="1"/>
  <c r="AD167" i="31"/>
  <c r="Y167" i="31"/>
  <c r="W166" i="31"/>
  <c r="X166" i="31" s="1"/>
  <c r="Y166" i="31" s="1"/>
  <c r="W165" i="31"/>
  <c r="W164" i="31"/>
  <c r="AD164" i="31" s="1"/>
  <c r="W163" i="31"/>
  <c r="X163" i="31" s="1"/>
  <c r="Y163" i="31" s="1"/>
  <c r="W162" i="31"/>
  <c r="W161" i="31"/>
  <c r="X161" i="31" s="1"/>
  <c r="Y161" i="31" s="1"/>
  <c r="W160" i="31"/>
  <c r="X160" i="31" s="1"/>
  <c r="Y160" i="31" s="1"/>
  <c r="W159" i="31"/>
  <c r="W158" i="31"/>
  <c r="X158" i="31" s="1"/>
  <c r="Y158" i="31" s="1"/>
  <c r="W157" i="31"/>
  <c r="X157" i="31" s="1"/>
  <c r="Y157" i="31" s="1"/>
  <c r="W156" i="31"/>
  <c r="W155" i="31"/>
  <c r="AD155" i="31" s="1"/>
  <c r="W154" i="31"/>
  <c r="X154" i="31" s="1"/>
  <c r="Y154" i="31" s="1"/>
  <c r="W153" i="31"/>
  <c r="W152" i="31"/>
  <c r="AD152" i="31" s="1"/>
  <c r="W151" i="31"/>
  <c r="X151" i="31" s="1"/>
  <c r="Y151" i="31" s="1"/>
  <c r="W150" i="31"/>
  <c r="W149" i="31"/>
  <c r="AD149" i="31" s="1"/>
  <c r="W148" i="31"/>
  <c r="X148" i="31" s="1"/>
  <c r="Y148" i="31" s="1"/>
  <c r="W147" i="31"/>
  <c r="W146" i="31"/>
  <c r="AD146" i="31" s="1"/>
  <c r="W145" i="31"/>
  <c r="X145" i="31" s="1"/>
  <c r="Y145" i="31" s="1"/>
  <c r="W144" i="31"/>
  <c r="W143" i="31"/>
  <c r="AD143" i="31" s="1"/>
  <c r="W142" i="31"/>
  <c r="X142" i="31" s="1"/>
  <c r="Y142" i="31" s="1"/>
  <c r="W141" i="31"/>
  <c r="W140" i="31"/>
  <c r="AD140" i="31" s="1"/>
  <c r="W139" i="31"/>
  <c r="X139" i="31" s="1"/>
  <c r="Y139" i="31" s="1"/>
  <c r="W138" i="31"/>
  <c r="W137" i="31"/>
  <c r="X137" i="31" s="1"/>
  <c r="Y137" i="31" s="1"/>
  <c r="W136" i="31"/>
  <c r="X136" i="31" s="1"/>
  <c r="Y136" i="31" s="1"/>
  <c r="W135" i="31"/>
  <c r="W134" i="31"/>
  <c r="AD134" i="31" s="1"/>
  <c r="W133" i="31"/>
  <c r="X133" i="31" s="1"/>
  <c r="Y133" i="31" s="1"/>
  <c r="W132" i="31"/>
  <c r="W131" i="31"/>
  <c r="AD131" i="31" s="1"/>
  <c r="W130" i="31"/>
  <c r="X130" i="31" s="1"/>
  <c r="Y130" i="31" s="1"/>
  <c r="W129" i="31"/>
  <c r="W128" i="31"/>
  <c r="AD128" i="31" s="1"/>
  <c r="W127" i="31"/>
  <c r="X127" i="31" s="1"/>
  <c r="Y127" i="31" s="1"/>
  <c r="W126" i="31"/>
  <c r="W125" i="31"/>
  <c r="X125" i="31" s="1"/>
  <c r="Y125" i="31" s="1"/>
  <c r="W124" i="31"/>
  <c r="X124" i="31" s="1"/>
  <c r="Y124" i="31" s="1"/>
  <c r="W123" i="31"/>
  <c r="W122" i="31"/>
  <c r="AD122" i="31" s="1"/>
  <c r="W121" i="31"/>
  <c r="X121" i="31" s="1"/>
  <c r="Y121" i="31" s="1"/>
  <c r="W120" i="31"/>
  <c r="W119" i="31"/>
  <c r="AD119" i="31" s="1"/>
  <c r="W118" i="31"/>
  <c r="X118" i="31" s="1"/>
  <c r="Y118" i="31" s="1"/>
  <c r="W117" i="31"/>
  <c r="W116" i="31"/>
  <c r="AD116" i="31" s="1"/>
  <c r="W115" i="31"/>
  <c r="X115" i="31" s="1"/>
  <c r="Y115" i="31" s="1"/>
  <c r="W114" i="31"/>
  <c r="AD113" i="31"/>
  <c r="Y113" i="31"/>
  <c r="W112" i="31"/>
  <c r="X112" i="31" s="1"/>
  <c r="Y112" i="31" s="1"/>
  <c r="W111" i="31"/>
  <c r="AD111" i="31" s="1"/>
  <c r="W110" i="31"/>
  <c r="AD110" i="31" s="1"/>
  <c r="W109" i="31"/>
  <c r="X109" i="31" s="1"/>
  <c r="Y109" i="31" s="1"/>
  <c r="W108" i="31"/>
  <c r="AD108" i="31" s="1"/>
  <c r="W107" i="31"/>
  <c r="AD107" i="31" s="1"/>
  <c r="W106" i="31"/>
  <c r="X106" i="31" s="1"/>
  <c r="Y106" i="31" s="1"/>
  <c r="W105" i="31"/>
  <c r="AD105" i="31" s="1"/>
  <c r="W104" i="31"/>
  <c r="AD104" i="31" s="1"/>
  <c r="W103" i="31"/>
  <c r="X103" i="31" s="1"/>
  <c r="Y103" i="31" s="1"/>
  <c r="W102" i="31"/>
  <c r="AD102" i="31" s="1"/>
  <c r="W101" i="31"/>
  <c r="AD101" i="31" s="1"/>
  <c r="W100" i="31"/>
  <c r="X100" i="31" s="1"/>
  <c r="Y100" i="31" s="1"/>
  <c r="W99" i="31"/>
  <c r="AD99" i="31" s="1"/>
  <c r="AD98" i="31"/>
  <c r="Y98" i="31"/>
  <c r="W97" i="31"/>
  <c r="AD97" i="31" s="1"/>
  <c r="W96" i="31"/>
  <c r="X96" i="31" s="1"/>
  <c r="Y96" i="31" s="1"/>
  <c r="W95" i="31"/>
  <c r="X95" i="31" s="1"/>
  <c r="Y95" i="31" s="1"/>
  <c r="W94" i="31"/>
  <c r="X94" i="31" s="1"/>
  <c r="Y94" i="31" s="1"/>
  <c r="W93" i="31"/>
  <c r="X93" i="31" s="1"/>
  <c r="Y93" i="31" s="1"/>
  <c r="W92" i="31"/>
  <c r="X92" i="31" s="1"/>
  <c r="Y92" i="31" s="1"/>
  <c r="W91" i="31"/>
  <c r="AD91" i="31" s="1"/>
  <c r="W90" i="31"/>
  <c r="X90" i="31" s="1"/>
  <c r="Y90" i="31" s="1"/>
  <c r="W89" i="31"/>
  <c r="AD89" i="31" s="1"/>
  <c r="W88" i="31"/>
  <c r="AD88" i="31" s="1"/>
  <c r="W87" i="31"/>
  <c r="X87" i="31" s="1"/>
  <c r="Y87" i="31" s="1"/>
  <c r="W86" i="31"/>
  <c r="AD86" i="31" s="1"/>
  <c r="W85" i="31"/>
  <c r="AD85" i="31" s="1"/>
  <c r="W84" i="31"/>
  <c r="X84" i="31" s="1"/>
  <c r="Y84" i="31" s="1"/>
  <c r="W83" i="31"/>
  <c r="AD83" i="31" s="1"/>
  <c r="AD82" i="31"/>
  <c r="Y82" i="31"/>
  <c r="W81" i="31"/>
  <c r="X81" i="31" s="1"/>
  <c r="Y81" i="31" s="1"/>
  <c r="W80" i="31"/>
  <c r="AD80" i="31" s="1"/>
  <c r="W79" i="31"/>
  <c r="AD79" i="31" s="1"/>
  <c r="W78" i="31"/>
  <c r="X78" i="31" s="1"/>
  <c r="Y78" i="31" s="1"/>
  <c r="W77" i="31"/>
  <c r="AD77" i="31" s="1"/>
  <c r="W76" i="31"/>
  <c r="AD76" i="31" s="1"/>
  <c r="W75" i="31"/>
  <c r="X75" i="31" s="1"/>
  <c r="Y75" i="31" s="1"/>
  <c r="W74" i="31"/>
  <c r="AD74" i="31" s="1"/>
  <c r="W73" i="31"/>
  <c r="X73" i="31" s="1"/>
  <c r="Y73" i="31" s="1"/>
  <c r="W72" i="31"/>
  <c r="X72" i="31" s="1"/>
  <c r="Y72" i="31" s="1"/>
  <c r="W71" i="31"/>
  <c r="AD71" i="31" s="1"/>
  <c r="W70" i="31"/>
  <c r="AD70" i="31" s="1"/>
  <c r="W69" i="31"/>
  <c r="X69" i="31" s="1"/>
  <c r="Y69" i="31" s="1"/>
  <c r="W68" i="31"/>
  <c r="AD68" i="31" s="1"/>
  <c r="W67" i="31"/>
  <c r="AD67" i="31" s="1"/>
  <c r="W66" i="31"/>
  <c r="X66" i="31" s="1"/>
  <c r="Y66" i="31" s="1"/>
  <c r="W65" i="31"/>
  <c r="AD65" i="31" s="1"/>
  <c r="W64" i="31"/>
  <c r="AD64" i="31" s="1"/>
  <c r="W63" i="31"/>
  <c r="X63" i="31" s="1"/>
  <c r="Y63" i="31" s="1"/>
  <c r="W62" i="31"/>
  <c r="AD62" i="31" s="1"/>
  <c r="W61" i="31"/>
  <c r="X61" i="31" s="1"/>
  <c r="Y61" i="31" s="1"/>
  <c r="W60" i="31"/>
  <c r="X60" i="31" s="1"/>
  <c r="Y60" i="31" s="1"/>
  <c r="W59" i="31"/>
  <c r="AD59" i="31" s="1"/>
  <c r="W58" i="31"/>
  <c r="X58" i="31" s="1"/>
  <c r="Y58" i="31" s="1"/>
  <c r="W57" i="31"/>
  <c r="X57" i="31" s="1"/>
  <c r="Y57" i="31" s="1"/>
  <c r="W56" i="31"/>
  <c r="AD56" i="31" s="1"/>
  <c r="W55" i="31"/>
  <c r="AD55" i="31" s="1"/>
  <c r="W54" i="31"/>
  <c r="X54" i="31" s="1"/>
  <c r="Y54" i="31" s="1"/>
  <c r="W53" i="31"/>
  <c r="AD53" i="31" s="1"/>
  <c r="W52" i="31"/>
  <c r="AD52" i="31" s="1"/>
  <c r="W51" i="31"/>
  <c r="X51" i="31" s="1"/>
  <c r="Y51" i="31" s="1"/>
  <c r="W50" i="31"/>
  <c r="AD50" i="31" s="1"/>
  <c r="W49" i="31"/>
  <c r="X49" i="31" s="1"/>
  <c r="Y49" i="31" s="1"/>
  <c r="W48" i="31"/>
  <c r="X48" i="31" s="1"/>
  <c r="Y48" i="31" s="1"/>
  <c r="AD47" i="31"/>
  <c r="Y47" i="31"/>
  <c r="W46" i="31"/>
  <c r="X46" i="31" s="1"/>
  <c r="Y46" i="31" s="1"/>
  <c r="W45" i="31"/>
  <c r="AD45" i="31" s="1"/>
  <c r="W44" i="31"/>
  <c r="X44" i="31" s="1"/>
  <c r="Y44" i="31" s="1"/>
  <c r="W43" i="31"/>
  <c r="AD43" i="31" s="1"/>
  <c r="W42" i="31"/>
  <c r="AD42" i="31" s="1"/>
  <c r="W41" i="31"/>
  <c r="X41" i="31" s="1"/>
  <c r="Y41" i="31" s="1"/>
  <c r="W40" i="31"/>
  <c r="AD40" i="31" s="1"/>
  <c r="W39" i="31"/>
  <c r="AD39" i="31" s="1"/>
  <c r="W38" i="31"/>
  <c r="X38" i="31" s="1"/>
  <c r="Y38" i="31" s="1"/>
  <c r="W37" i="31"/>
  <c r="AD37" i="31" s="1"/>
  <c r="W36" i="31"/>
  <c r="AD36" i="31" s="1"/>
  <c r="W35" i="31"/>
  <c r="X35" i="31" s="1"/>
  <c r="Y35" i="31" s="1"/>
  <c r="W34" i="31"/>
  <c r="X34" i="31" s="1"/>
  <c r="Y34" i="31" s="1"/>
  <c r="W33" i="31"/>
  <c r="X33" i="31" s="1"/>
  <c r="Y33" i="31" s="1"/>
  <c r="W32" i="31"/>
  <c r="X32" i="31" s="1"/>
  <c r="Y32" i="31" s="1"/>
  <c r="W31" i="31"/>
  <c r="X31" i="31" s="1"/>
  <c r="Y31" i="31" s="1"/>
  <c r="W30" i="31"/>
  <c r="X30" i="31" s="1"/>
  <c r="Y30" i="31" s="1"/>
  <c r="W29" i="31"/>
  <c r="X29" i="31" s="1"/>
  <c r="Y29" i="31" s="1"/>
  <c r="W28" i="31"/>
  <c r="X28" i="31" s="1"/>
  <c r="Y28" i="31" s="1"/>
  <c r="W27" i="31"/>
  <c r="AD27" i="31" s="1"/>
  <c r="W26" i="31"/>
  <c r="X26" i="31" s="1"/>
  <c r="Y26" i="31" s="1"/>
  <c r="W25" i="31"/>
  <c r="AD25" i="31" s="1"/>
  <c r="W24" i="31"/>
  <c r="X24" i="31" s="1"/>
  <c r="Y24" i="31" s="1"/>
  <c r="W23" i="31"/>
  <c r="X23" i="31" s="1"/>
  <c r="Y23" i="31" s="1"/>
  <c r="W22" i="31"/>
  <c r="AD22" i="31" s="1"/>
  <c r="W21" i="31"/>
  <c r="AD21" i="31" s="1"/>
  <c r="W20" i="31"/>
  <c r="X20" i="31" s="1"/>
  <c r="Y20" i="31" s="1"/>
  <c r="W19" i="31"/>
  <c r="AD19" i="31" s="1"/>
  <c r="W18" i="31"/>
  <c r="AD18" i="31" s="1"/>
  <c r="W17" i="31"/>
  <c r="X17" i="31" s="1"/>
  <c r="Y17" i="31" s="1"/>
  <c r="W16" i="31"/>
  <c r="AD16" i="31" s="1"/>
  <c r="W15" i="31"/>
  <c r="AD15" i="31" s="1"/>
  <c r="AD14" i="31"/>
  <c r="Y14" i="31"/>
  <c r="W13" i="31"/>
  <c r="AD13" i="31" s="1"/>
  <c r="W12" i="31"/>
  <c r="AD12" i="31" s="1"/>
  <c r="W11" i="31"/>
  <c r="X11" i="31" s="1"/>
  <c r="Y11" i="31" s="1"/>
  <c r="W10" i="31"/>
  <c r="AD10" i="31" s="1"/>
  <c r="W5" i="31"/>
  <c r="X5" i="31" s="1"/>
  <c r="Y5" i="31" s="1"/>
  <c r="P56" i="49" l="1"/>
  <c r="R56" i="49"/>
  <c r="P58" i="49"/>
  <c r="R58" i="49"/>
  <c r="Q54" i="49"/>
  <c r="R54" i="49"/>
  <c r="AF46" i="49"/>
  <c r="AK46" i="49" s="1"/>
  <c r="W46" i="49"/>
  <c r="AB46" i="49" s="1"/>
  <c r="AB36" i="49"/>
  <c r="AK36" i="49"/>
  <c r="W49" i="49"/>
  <c r="AB49" i="49" s="1"/>
  <c r="AF39" i="49"/>
  <c r="AK39" i="49" s="1"/>
  <c r="AF49" i="49"/>
  <c r="AK49" i="49" s="1"/>
  <c r="AF48" i="49"/>
  <c r="AK48" i="49" s="1"/>
  <c r="AF38" i="49"/>
  <c r="AK38" i="49" s="1"/>
  <c r="W48" i="49"/>
  <c r="AB48" i="49" s="1"/>
  <c r="AF37" i="49"/>
  <c r="AK37" i="49" s="1"/>
  <c r="W47" i="49"/>
  <c r="AB47" i="49" s="1"/>
  <c r="AF47" i="49"/>
  <c r="AK47" i="49" s="1"/>
  <c r="W44" i="49"/>
  <c r="AB44" i="49" s="1"/>
  <c r="AF44" i="49"/>
  <c r="AK44" i="49" s="1"/>
  <c r="AF34" i="49"/>
  <c r="AK34" i="49" s="1"/>
  <c r="AF45" i="49"/>
  <c r="AK45" i="49" s="1"/>
  <c r="AF35" i="49"/>
  <c r="AK35" i="49" s="1"/>
  <c r="W45" i="49"/>
  <c r="AB45" i="49" s="1"/>
  <c r="S18" i="49"/>
  <c r="S57" i="49"/>
  <c r="S55" i="49"/>
  <c r="S53" i="49"/>
  <c r="S14" i="49"/>
  <c r="S20" i="49"/>
  <c r="S22" i="49"/>
  <c r="S16" i="49"/>
  <c r="S12" i="49"/>
  <c r="R35" i="48"/>
  <c r="R12" i="48"/>
  <c r="R33" i="48"/>
  <c r="R22" i="48"/>
  <c r="R37" i="48"/>
  <c r="R36" i="48"/>
  <c r="R16" i="48"/>
  <c r="R20" i="48"/>
  <c r="R38" i="48"/>
  <c r="R34" i="48"/>
  <c r="O12" i="38"/>
  <c r="G36" i="43"/>
  <c r="F36" i="43"/>
  <c r="H36" i="43"/>
  <c r="J36" i="43"/>
  <c r="I36" i="43"/>
  <c r="E19" i="43"/>
  <c r="F19" i="43" s="1"/>
  <c r="G19" i="43" s="1"/>
  <c r="H19" i="43" s="1"/>
  <c r="I19" i="43" s="1"/>
  <c r="J19" i="43" s="1"/>
  <c r="E23" i="43"/>
  <c r="F23" i="43" s="1"/>
  <c r="G23" i="43" s="1"/>
  <c r="H23" i="43" s="1"/>
  <c r="I23" i="43" s="1"/>
  <c r="J23" i="43" s="1"/>
  <c r="E18" i="43"/>
  <c r="F18" i="43" s="1"/>
  <c r="G18" i="43" s="1"/>
  <c r="H18" i="43" s="1"/>
  <c r="I18" i="43" s="1"/>
  <c r="J18" i="43" s="1"/>
  <c r="E22" i="43"/>
  <c r="F22" i="43" s="1"/>
  <c r="G22" i="43" s="1"/>
  <c r="H22" i="43" s="1"/>
  <c r="I22" i="43" s="1"/>
  <c r="J22" i="43" s="1"/>
  <c r="E21" i="43"/>
  <c r="F21" i="43" s="1"/>
  <c r="G21" i="43" s="1"/>
  <c r="H21" i="43" s="1"/>
  <c r="I21" i="43" s="1"/>
  <c r="J21" i="43" s="1"/>
  <c r="E20" i="43"/>
  <c r="F20" i="43" s="1"/>
  <c r="G20" i="43" s="1"/>
  <c r="H20" i="43" s="1"/>
  <c r="I20" i="43" s="1"/>
  <c r="J20" i="43" s="1"/>
  <c r="E18" i="42"/>
  <c r="E19" i="42" s="1"/>
  <c r="Q23" i="39"/>
  <c r="Q24" i="39" s="1"/>
  <c r="Q25" i="39" s="1"/>
  <c r="Q26" i="39" s="1"/>
  <c r="Q27" i="39" s="1"/>
  <c r="P30" i="39" s="1"/>
  <c r="Q33" i="39"/>
  <c r="Q34" i="39" s="1"/>
  <c r="Q35" i="39" s="1"/>
  <c r="K67" i="31"/>
  <c r="K66" i="31"/>
  <c r="O14" i="38"/>
  <c r="Q14" i="38"/>
  <c r="O16" i="38"/>
  <c r="P12" i="38"/>
  <c r="P18" i="38"/>
  <c r="P38" i="38"/>
  <c r="P35" i="38"/>
  <c r="P33" i="38"/>
  <c r="P36" i="38"/>
  <c r="P34" i="38"/>
  <c r="P37" i="38"/>
  <c r="Q33" i="38"/>
  <c r="Q36" i="38"/>
  <c r="Q34" i="38"/>
  <c r="Q16" i="38"/>
  <c r="P22" i="38"/>
  <c r="O35" i="38"/>
  <c r="P20" i="38"/>
  <c r="O38" i="38"/>
  <c r="O37" i="38"/>
  <c r="O22" i="38"/>
  <c r="O20" i="38"/>
  <c r="O18" i="38"/>
  <c r="T29" i="39"/>
  <c r="T26" i="39"/>
  <c r="T27" i="39" s="1"/>
  <c r="X88" i="31"/>
  <c r="AD49" i="31"/>
  <c r="X105" i="31"/>
  <c r="X152" i="31"/>
  <c r="X188" i="31"/>
  <c r="AD199" i="31"/>
  <c r="X80" i="31"/>
  <c r="AD100" i="31"/>
  <c r="AD181" i="31"/>
  <c r="AD28" i="31"/>
  <c r="AD72" i="31"/>
  <c r="AD112" i="31"/>
  <c r="X122" i="31"/>
  <c r="X176" i="31"/>
  <c r="X185" i="31"/>
  <c r="X146" i="31"/>
  <c r="AD54" i="31"/>
  <c r="AD66" i="31"/>
  <c r="AD106" i="31"/>
  <c r="AD158" i="31"/>
  <c r="AD24" i="31"/>
  <c r="X56" i="31"/>
  <c r="X67" i="31"/>
  <c r="X110" i="31"/>
  <c r="X27" i="31"/>
  <c r="AD94" i="31"/>
  <c r="X77" i="31"/>
  <c r="AD137" i="31"/>
  <c r="X175" i="31"/>
  <c r="X190" i="31"/>
  <c r="X197" i="31"/>
  <c r="X21" i="31"/>
  <c r="AD46" i="31"/>
  <c r="AD61" i="31"/>
  <c r="AD51" i="31"/>
  <c r="AD103" i="31"/>
  <c r="AD33" i="31"/>
  <c r="X12" i="31"/>
  <c r="AD34" i="31"/>
  <c r="X71" i="31"/>
  <c r="X169" i="31"/>
  <c r="X184" i="31"/>
  <c r="X18" i="31"/>
  <c r="X59" i="31"/>
  <c r="AD75" i="31"/>
  <c r="X134" i="31"/>
  <c r="X172" i="31"/>
  <c r="X179" i="31"/>
  <c r="X193" i="31"/>
  <c r="AD109" i="31"/>
  <c r="X116" i="31"/>
  <c r="X194" i="31"/>
  <c r="X203" i="31"/>
  <c r="X42" i="31"/>
  <c r="X89" i="31"/>
  <c r="X101" i="31"/>
  <c r="X131" i="31"/>
  <c r="AD177" i="31"/>
  <c r="AD186" i="31"/>
  <c r="AD195" i="31"/>
  <c r="X52" i="31"/>
  <c r="AD30" i="31"/>
  <c r="AD73" i="31"/>
  <c r="X182" i="31"/>
  <c r="X37" i="31"/>
  <c r="X43" i="31"/>
  <c r="AD48" i="31"/>
  <c r="X53" i="31"/>
  <c r="AD58" i="31"/>
  <c r="X79" i="31"/>
  <c r="X97" i="31"/>
  <c r="X102" i="31"/>
  <c r="X107" i="31"/>
  <c r="X111" i="31"/>
  <c r="AD125" i="31"/>
  <c r="X140" i="31"/>
  <c r="AD161" i="31"/>
  <c r="X83" i="31"/>
  <c r="X19" i="31"/>
  <c r="X196" i="31"/>
  <c r="X15" i="31"/>
  <c r="X64" i="31"/>
  <c r="AD69" i="31"/>
  <c r="X74" i="31"/>
  <c r="X85" i="31"/>
  <c r="X91" i="31"/>
  <c r="X119" i="31"/>
  <c r="X155" i="31"/>
  <c r="AD168" i="31"/>
  <c r="AD174" i="31"/>
  <c r="AD178" i="31"/>
  <c r="AD183" i="31"/>
  <c r="AD187" i="31"/>
  <c r="AD192" i="31"/>
  <c r="AD201" i="31"/>
  <c r="X36" i="31"/>
  <c r="X68" i="31"/>
  <c r="X173" i="31"/>
  <c r="X62" i="31"/>
  <c r="X25" i="31"/>
  <c r="X200" i="31"/>
  <c r="X70" i="31"/>
  <c r="X149" i="31"/>
  <c r="X202" i="31"/>
  <c r="AD63" i="31"/>
  <c r="X191" i="31"/>
  <c r="X16" i="31"/>
  <c r="AD11" i="31"/>
  <c r="X39" i="31"/>
  <c r="X45" i="31"/>
  <c r="X55" i="31"/>
  <c r="AD60" i="31"/>
  <c r="X65" i="31"/>
  <c r="AD92" i="31"/>
  <c r="X104" i="31"/>
  <c r="X108" i="31"/>
  <c r="X128" i="31"/>
  <c r="X164" i="31"/>
  <c r="X50" i="31"/>
  <c r="X76" i="31"/>
  <c r="AD81" i="31"/>
  <c r="X99" i="31"/>
  <c r="X143" i="31"/>
  <c r="AD171" i="31"/>
  <c r="AD180" i="31"/>
  <c r="AD189" i="31"/>
  <c r="AD198" i="31"/>
  <c r="AD78" i="31"/>
  <c r="AD57" i="31"/>
  <c r="X22" i="31"/>
  <c r="AD138" i="31"/>
  <c r="X138" i="31"/>
  <c r="X13" i="31"/>
  <c r="X86" i="31"/>
  <c r="X117" i="31"/>
  <c r="AD117" i="31"/>
  <c r="X153" i="31"/>
  <c r="AD153" i="31"/>
  <c r="AD123" i="31"/>
  <c r="X123" i="31"/>
  <c r="X40" i="31"/>
  <c r="AD31" i="31"/>
  <c r="X132" i="31"/>
  <c r="AD132" i="31"/>
  <c r="AD147" i="31"/>
  <c r="X147" i="31"/>
  <c r="AD126" i="31"/>
  <c r="X126" i="31"/>
  <c r="AD162" i="31"/>
  <c r="X162" i="31"/>
  <c r="X10" i="31"/>
  <c r="AD141" i="31"/>
  <c r="X141" i="31"/>
  <c r="AD95" i="31"/>
  <c r="AD159" i="31"/>
  <c r="X159" i="31"/>
  <c r="X120" i="31"/>
  <c r="AD120" i="31"/>
  <c r="X156" i="31"/>
  <c r="AD156" i="31"/>
  <c r="X135" i="31"/>
  <c r="AD135" i="31"/>
  <c r="AD114" i="31"/>
  <c r="X114" i="31"/>
  <c r="AD150" i="31"/>
  <c r="X150" i="31"/>
  <c r="X165" i="31"/>
  <c r="AD165" i="31"/>
  <c r="AD129" i="31"/>
  <c r="X129" i="31"/>
  <c r="X144" i="31"/>
  <c r="AD144" i="31"/>
  <c r="AD17" i="31"/>
  <c r="AD20" i="31"/>
  <c r="AD23" i="31"/>
  <c r="AD26" i="31"/>
  <c r="AD29" i="31"/>
  <c r="AD32" i="31"/>
  <c r="AD35" i="31"/>
  <c r="AD38" i="31"/>
  <c r="AD41" i="31"/>
  <c r="AD44" i="31"/>
  <c r="AD84" i="31"/>
  <c r="AD87" i="31"/>
  <c r="AD90" i="31"/>
  <c r="AD93" i="31"/>
  <c r="AD96" i="31"/>
  <c r="AD115" i="31"/>
  <c r="AD118" i="31"/>
  <c r="AD121" i="31"/>
  <c r="AD124" i="31"/>
  <c r="AD127" i="31"/>
  <c r="AD130" i="31"/>
  <c r="AD133" i="31"/>
  <c r="AD136" i="31"/>
  <c r="AD139" i="31"/>
  <c r="AD142" i="31"/>
  <c r="AD145" i="31"/>
  <c r="AD148" i="31"/>
  <c r="AD151" i="31"/>
  <c r="AD154" i="31"/>
  <c r="AD157" i="31"/>
  <c r="AD160" i="31"/>
  <c r="AD163" i="31"/>
  <c r="AD166" i="31"/>
  <c r="AM44" i="49" l="1"/>
  <c r="AM49" i="49"/>
  <c r="AM46" i="49"/>
  <c r="AM45" i="49"/>
  <c r="AM48" i="49"/>
  <c r="AM47" i="49"/>
  <c r="S58" i="49"/>
  <c r="S56" i="49"/>
  <c r="S54" i="49"/>
  <c r="K68" i="31"/>
  <c r="R18" i="38"/>
  <c r="E13" i="42"/>
  <c r="E21" i="42" s="1"/>
  <c r="R20" i="38"/>
  <c r="R12" i="38"/>
  <c r="R14" i="38"/>
  <c r="R33" i="38"/>
  <c r="R16" i="38"/>
  <c r="R22" i="38"/>
  <c r="R37" i="38"/>
  <c r="R36" i="38"/>
  <c r="R38" i="38"/>
  <c r="R34" i="38"/>
  <c r="R35" i="38"/>
  <c r="Y126" i="31"/>
  <c r="Y25" i="31"/>
  <c r="Y155" i="31"/>
  <c r="Y140" i="31"/>
  <c r="Y182" i="31"/>
  <c r="Y194" i="31"/>
  <c r="Y71" i="31"/>
  <c r="Y146" i="31"/>
  <c r="Y152" i="31"/>
  <c r="Y104" i="31"/>
  <c r="Y197" i="31"/>
  <c r="Y184" i="31"/>
  <c r="Y156" i="31"/>
  <c r="Y117" i="31"/>
  <c r="Y143" i="31"/>
  <c r="Y62" i="31"/>
  <c r="Y119" i="31"/>
  <c r="Y116" i="31"/>
  <c r="Y77" i="31"/>
  <c r="Y185" i="31"/>
  <c r="Y105" i="31"/>
  <c r="Y19" i="31"/>
  <c r="Y80" i="31"/>
  <c r="Y70" i="31"/>
  <c r="Y190" i="31"/>
  <c r="Y153" i="31"/>
  <c r="Y200" i="31"/>
  <c r="Y169" i="31"/>
  <c r="Y175" i="31"/>
  <c r="Y144" i="31"/>
  <c r="Y55" i="31"/>
  <c r="Y129" i="31"/>
  <c r="Y147" i="31"/>
  <c r="Y86" i="31"/>
  <c r="Y99" i="31"/>
  <c r="Y45" i="31"/>
  <c r="Y173" i="31"/>
  <c r="Y91" i="31"/>
  <c r="Y111" i="31"/>
  <c r="Y12" i="31"/>
  <c r="Y176" i="31"/>
  <c r="Y120" i="31"/>
  <c r="Y13" i="31"/>
  <c r="Y39" i="31"/>
  <c r="Y68" i="31"/>
  <c r="Y85" i="31"/>
  <c r="Y107" i="31"/>
  <c r="Y52" i="31"/>
  <c r="Y193" i="31"/>
  <c r="Y27" i="31"/>
  <c r="Y122" i="31"/>
  <c r="Y88" i="31"/>
  <c r="Y162" i="31"/>
  <c r="Y43" i="31"/>
  <c r="Y65" i="31"/>
  <c r="Y188" i="31"/>
  <c r="Y159" i="31"/>
  <c r="Y36" i="31"/>
  <c r="Y110" i="31"/>
  <c r="Y18" i="31"/>
  <c r="Y83" i="31"/>
  <c r="Y138" i="31"/>
  <c r="Y76" i="31"/>
  <c r="Y74" i="31"/>
  <c r="Y102" i="31"/>
  <c r="Y179" i="31"/>
  <c r="Y165" i="31"/>
  <c r="Y132" i="31"/>
  <c r="Y50" i="31"/>
  <c r="Y16" i="31"/>
  <c r="Y97" i="31"/>
  <c r="Y172" i="31"/>
  <c r="Y67" i="31"/>
  <c r="Y135" i="31"/>
  <c r="Y203" i="31"/>
  <c r="Y150" i="31"/>
  <c r="Y164" i="31"/>
  <c r="Y191" i="31"/>
  <c r="Y64" i="31"/>
  <c r="Y134" i="31"/>
  <c r="Y56" i="31"/>
  <c r="Y22" i="31"/>
  <c r="Y79" i="31"/>
  <c r="Y141" i="31"/>
  <c r="Y40" i="31"/>
  <c r="Y128" i="31"/>
  <c r="Y15" i="31"/>
  <c r="Y131" i="31"/>
  <c r="Y10" i="31"/>
  <c r="Y149" i="31"/>
  <c r="Y89" i="31"/>
  <c r="Y42" i="31"/>
  <c r="Y37" i="31"/>
  <c r="Y114" i="31"/>
  <c r="Y123" i="31"/>
  <c r="Y108" i="31"/>
  <c r="Y202" i="31"/>
  <c r="Y196" i="31"/>
  <c r="Y53" i="31"/>
  <c r="Y101" i="31"/>
  <c r="Y59" i="31"/>
  <c r="Y21" i="31"/>
  <c r="L21" i="5" l="1"/>
  <c r="M21" i="5"/>
  <c r="L20" i="5"/>
  <c r="M20" i="5"/>
  <c r="L19" i="5"/>
  <c r="M19" i="5"/>
  <c r="P35" i="29"/>
  <c r="Q35" i="29"/>
  <c r="Q32" i="29"/>
  <c r="H16" i="29"/>
  <c r="E72" i="11"/>
  <c r="L17" i="5"/>
  <c r="I17" i="5"/>
  <c r="H17" i="5"/>
  <c r="L16" i="5"/>
  <c r="I16" i="5"/>
  <c r="M16" i="5" s="1"/>
  <c r="G4" i="29"/>
  <c r="G6" i="29"/>
  <c r="G8" i="29"/>
  <c r="G9" i="29"/>
  <c r="G10" i="29"/>
  <c r="G11" i="29"/>
  <c r="F5" i="29"/>
  <c r="E5" i="29"/>
  <c r="F3" i="29"/>
  <c r="E3" i="29"/>
  <c r="D44" i="29"/>
  <c r="D43" i="29"/>
  <c r="D42" i="29"/>
  <c r="R35" i="29"/>
  <c r="R34" i="29"/>
  <c r="Q34" i="29"/>
  <c r="P34" i="29"/>
  <c r="R33" i="29"/>
  <c r="Q33" i="29"/>
  <c r="P33" i="29"/>
  <c r="R32" i="29"/>
  <c r="P32" i="29"/>
  <c r="R31" i="29"/>
  <c r="Q31" i="29"/>
  <c r="P31" i="29"/>
  <c r="R30" i="29"/>
  <c r="Q30" i="29"/>
  <c r="P30" i="29"/>
  <c r="R29" i="29"/>
  <c r="Q29" i="29"/>
  <c r="P29" i="29"/>
  <c r="R28" i="29"/>
  <c r="Q28" i="29"/>
  <c r="P28" i="29"/>
  <c r="R27" i="29"/>
  <c r="Q27" i="29"/>
  <c r="P27" i="29"/>
  <c r="R26" i="29"/>
  <c r="Q26" i="29"/>
  <c r="P26" i="29"/>
  <c r="R25" i="29"/>
  <c r="Q25" i="29"/>
  <c r="P25" i="29"/>
  <c r="R24" i="29"/>
  <c r="Q24" i="29"/>
  <c r="P24" i="29"/>
  <c r="R23" i="29"/>
  <c r="Q23" i="29"/>
  <c r="P23" i="29"/>
  <c r="R22" i="29"/>
  <c r="Q22" i="29"/>
  <c r="P22" i="29"/>
  <c r="R21" i="29"/>
  <c r="Q21" i="29"/>
  <c r="P21" i="29"/>
  <c r="R20" i="29"/>
  <c r="Q20" i="29"/>
  <c r="P20" i="29"/>
  <c r="R19" i="29"/>
  <c r="Q19" i="29"/>
  <c r="P19" i="29"/>
  <c r="R18" i="29"/>
  <c r="Q18" i="29"/>
  <c r="P18" i="29"/>
  <c r="R17" i="29"/>
  <c r="Q17" i="29"/>
  <c r="P17" i="29"/>
  <c r="R16" i="29"/>
  <c r="Q16" i="29"/>
  <c r="P16" i="29"/>
  <c r="L17" i="29"/>
  <c r="L18" i="29"/>
  <c r="L19" i="29"/>
  <c r="L20" i="29"/>
  <c r="L21" i="29"/>
  <c r="L22" i="29"/>
  <c r="L23" i="29"/>
  <c r="L24" i="29"/>
  <c r="L25" i="29"/>
  <c r="L26" i="29"/>
  <c r="L27" i="29"/>
  <c r="L28" i="29"/>
  <c r="L29" i="29"/>
  <c r="L30" i="29"/>
  <c r="L31" i="29"/>
  <c r="L32" i="29"/>
  <c r="L33" i="29"/>
  <c r="L34" i="29"/>
  <c r="L35" i="29"/>
  <c r="L16" i="29"/>
  <c r="K17" i="29"/>
  <c r="K18" i="29"/>
  <c r="K19" i="29"/>
  <c r="K20" i="29"/>
  <c r="K21" i="29"/>
  <c r="K22" i="29"/>
  <c r="K23" i="29"/>
  <c r="K24" i="29"/>
  <c r="K25" i="29"/>
  <c r="K26" i="29"/>
  <c r="K27" i="29"/>
  <c r="K28" i="29"/>
  <c r="K29" i="29"/>
  <c r="K30" i="29"/>
  <c r="K31" i="29"/>
  <c r="K32" i="29"/>
  <c r="K33" i="29"/>
  <c r="K34" i="29"/>
  <c r="K35" i="29"/>
  <c r="K16" i="29"/>
  <c r="J17" i="29"/>
  <c r="J18" i="29"/>
  <c r="J19" i="29"/>
  <c r="J20" i="29"/>
  <c r="J21" i="29"/>
  <c r="J22" i="29"/>
  <c r="J23" i="29"/>
  <c r="J24" i="29"/>
  <c r="J25" i="29"/>
  <c r="J26" i="29"/>
  <c r="J27" i="29"/>
  <c r="J28" i="29"/>
  <c r="J29" i="29"/>
  <c r="J30" i="29"/>
  <c r="J31" i="29"/>
  <c r="J32" i="29"/>
  <c r="J33" i="29"/>
  <c r="J34" i="29"/>
  <c r="J35" i="29"/>
  <c r="J16" i="29"/>
  <c r="AA37" i="29"/>
  <c r="AA36" i="29"/>
  <c r="AA35" i="29"/>
  <c r="AA32" i="29"/>
  <c r="AD31" i="29"/>
  <c r="AA31" i="29"/>
  <c r="AA30" i="29"/>
  <c r="Z27" i="29"/>
  <c r="Z26" i="29"/>
  <c r="H17" i="29"/>
  <c r="H18" i="29"/>
  <c r="H19" i="29"/>
  <c r="H20" i="29"/>
  <c r="H21" i="29"/>
  <c r="H22" i="29"/>
  <c r="H23" i="29"/>
  <c r="H24" i="29"/>
  <c r="H25" i="29"/>
  <c r="H26" i="29"/>
  <c r="H27" i="29"/>
  <c r="H28" i="29"/>
  <c r="H29" i="29"/>
  <c r="H30" i="29"/>
  <c r="H31" i="29"/>
  <c r="H32" i="29"/>
  <c r="H33" i="29"/>
  <c r="H34" i="29"/>
  <c r="H35" i="29"/>
  <c r="L22" i="5"/>
  <c r="M22" i="5"/>
  <c r="O17" i="29" l="1"/>
  <c r="N17" i="29"/>
  <c r="T17" i="29"/>
  <c r="AO36" i="29"/>
  <c r="S19" i="29"/>
  <c r="G5" i="29"/>
  <c r="S27" i="29"/>
  <c r="S16" i="29"/>
  <c r="M23" i="29"/>
  <c r="M35" i="29"/>
  <c r="M25" i="29"/>
  <c r="M16" i="29"/>
  <c r="M24" i="29"/>
  <c r="M33" i="29"/>
  <c r="M21" i="29"/>
  <c r="O16" i="29"/>
  <c r="S29" i="29"/>
  <c r="N26" i="29"/>
  <c r="M34" i="29"/>
  <c r="M22" i="29"/>
  <c r="T18" i="29"/>
  <c r="S30" i="29"/>
  <c r="O20" i="29"/>
  <c r="O32" i="29"/>
  <c r="U18" i="29"/>
  <c r="O29" i="29"/>
  <c r="U23" i="29"/>
  <c r="U30" i="29"/>
  <c r="O28" i="29"/>
  <c r="T16" i="29"/>
  <c r="U19" i="29"/>
  <c r="U27" i="29"/>
  <c r="U31" i="29"/>
  <c r="U35" i="29"/>
  <c r="T32" i="29"/>
  <c r="G3" i="29"/>
  <c r="M32" i="29"/>
  <c r="M20" i="29"/>
  <c r="T21" i="29"/>
  <c r="T25" i="29"/>
  <c r="T33" i="29"/>
  <c r="M31" i="29"/>
  <c r="M19" i="29"/>
  <c r="U29" i="29"/>
  <c r="O26" i="29"/>
  <c r="U32" i="29"/>
  <c r="U17" i="29"/>
  <c r="U25" i="29"/>
  <c r="U33" i="29"/>
  <c r="AO37" i="29"/>
  <c r="T26" i="29"/>
  <c r="T34" i="29"/>
  <c r="U24" i="29"/>
  <c r="U22" i="29"/>
  <c r="N27" i="29"/>
  <c r="O31" i="29"/>
  <c r="O19" i="29"/>
  <c r="U26" i="29"/>
  <c r="U34" i="29"/>
  <c r="U20" i="29"/>
  <c r="O30" i="29"/>
  <c r="O18" i="29"/>
  <c r="T19" i="29"/>
  <c r="T27" i="29"/>
  <c r="T31" i="29"/>
  <c r="T30" i="29"/>
  <c r="S20" i="29"/>
  <c r="S28" i="29"/>
  <c r="S35" i="29"/>
  <c r="N33" i="29"/>
  <c r="N21" i="29"/>
  <c r="T24" i="29"/>
  <c r="O25" i="29"/>
  <c r="M30" i="29"/>
  <c r="M18" i="29"/>
  <c r="S21" i="29"/>
  <c r="N31" i="29"/>
  <c r="N25" i="29"/>
  <c r="N19" i="29"/>
  <c r="N32" i="29"/>
  <c r="M29" i="29"/>
  <c r="M17" i="29"/>
  <c r="S17" i="29"/>
  <c r="O24" i="29"/>
  <c r="T20" i="29"/>
  <c r="M28" i="29"/>
  <c r="S18" i="29"/>
  <c r="S22" i="29"/>
  <c r="S26" i="29"/>
  <c r="N16" i="29"/>
  <c r="N30" i="29"/>
  <c r="N24" i="29"/>
  <c r="N18" i="29"/>
  <c r="M27" i="29"/>
  <c r="S33" i="29"/>
  <c r="O35" i="29"/>
  <c r="O23" i="29"/>
  <c r="M26" i="29"/>
  <c r="N35" i="29"/>
  <c r="N29" i="29"/>
  <c r="N23" i="29"/>
  <c r="U21" i="29"/>
  <c r="S23" i="29"/>
  <c r="O34" i="29"/>
  <c r="O22" i="29"/>
  <c r="T22" i="29"/>
  <c r="T28" i="29"/>
  <c r="N20" i="29"/>
  <c r="N34" i="29"/>
  <c r="N28" i="29"/>
  <c r="N22" i="29"/>
  <c r="U16" i="29"/>
  <c r="U28" i="29"/>
  <c r="O33" i="29"/>
  <c r="O27" i="29"/>
  <c r="O21" i="29"/>
  <c r="T23" i="29"/>
  <c r="T29" i="29"/>
  <c r="T35" i="29"/>
  <c r="S24" i="29"/>
  <c r="S34" i="29"/>
  <c r="S25" i="29"/>
  <c r="S31" i="29"/>
  <c r="S32" i="29"/>
  <c r="D3" i="11"/>
  <c r="D7" i="5"/>
  <c r="D35" i="5" s="1"/>
  <c r="D8" i="5"/>
  <c r="D9" i="5"/>
  <c r="C3" i="11"/>
  <c r="C4" i="11"/>
  <c r="D4" i="11"/>
  <c r="C5" i="11"/>
  <c r="D5" i="11"/>
  <c r="C6" i="11"/>
  <c r="D6" i="11"/>
  <c r="C7" i="11"/>
  <c r="D7" i="11"/>
  <c r="C8" i="11"/>
  <c r="D8" i="11"/>
  <c r="C9" i="11"/>
  <c r="D9" i="11"/>
  <c r="C10" i="11"/>
  <c r="D10" i="11"/>
  <c r="C11" i="11"/>
  <c r="D11" i="11"/>
  <c r="C12" i="11"/>
  <c r="D12" i="11"/>
  <c r="C13" i="11"/>
  <c r="D13" i="11"/>
  <c r="C14" i="11"/>
  <c r="D14" i="11"/>
  <c r="C15" i="11"/>
  <c r="D15" i="11"/>
  <c r="C16" i="11"/>
  <c r="D16" i="11"/>
  <c r="C17" i="11"/>
  <c r="D17" i="11"/>
  <c r="C18" i="11"/>
  <c r="D18" i="11"/>
  <c r="C19" i="11"/>
  <c r="D19" i="11"/>
  <c r="C20" i="11"/>
  <c r="D20" i="11"/>
  <c r="C21" i="11"/>
  <c r="D21" i="11"/>
  <c r="C22" i="11"/>
  <c r="D22" i="11"/>
  <c r="C23" i="11"/>
  <c r="D23" i="11"/>
  <c r="C24" i="11"/>
  <c r="D24" i="11"/>
  <c r="C25" i="11"/>
  <c r="D25" i="11"/>
  <c r="C26" i="11"/>
  <c r="D26" i="11"/>
  <c r="C27" i="11"/>
  <c r="D27" i="11"/>
  <c r="C28" i="11"/>
  <c r="D28" i="11"/>
  <c r="C29" i="11"/>
  <c r="D29" i="11"/>
  <c r="C30" i="11"/>
  <c r="D30" i="11"/>
  <c r="C31" i="11"/>
  <c r="D31" i="11"/>
  <c r="C32" i="11"/>
  <c r="D32" i="11"/>
  <c r="C33" i="11"/>
  <c r="D33" i="11"/>
  <c r="C34" i="11"/>
  <c r="D34" i="11"/>
  <c r="C35" i="11"/>
  <c r="D35" i="11"/>
  <c r="C36" i="11"/>
  <c r="D36" i="11"/>
  <c r="C37" i="11"/>
  <c r="D37" i="11"/>
  <c r="C38" i="11"/>
  <c r="D38" i="11"/>
  <c r="C39" i="11"/>
  <c r="D39" i="11"/>
  <c r="C40" i="11"/>
  <c r="D40" i="11"/>
  <c r="C41" i="11"/>
  <c r="D41" i="11"/>
  <c r="C42" i="11"/>
  <c r="D42" i="11"/>
  <c r="C43" i="11"/>
  <c r="D43" i="11"/>
  <c r="C44" i="11"/>
  <c r="D44" i="11"/>
  <c r="C45" i="11"/>
  <c r="D45" i="11"/>
  <c r="C46" i="11"/>
  <c r="D46" i="11"/>
  <c r="C47" i="11"/>
  <c r="D47" i="11"/>
  <c r="C48" i="11"/>
  <c r="D48" i="11"/>
  <c r="C49" i="11"/>
  <c r="D49" i="11"/>
  <c r="C50" i="11"/>
  <c r="D50" i="11"/>
  <c r="C51" i="11"/>
  <c r="D51" i="11"/>
  <c r="C52" i="11"/>
  <c r="D52" i="11"/>
  <c r="C53" i="11"/>
  <c r="D53" i="11"/>
  <c r="C54" i="11"/>
  <c r="D54" i="11"/>
  <c r="C55" i="11"/>
  <c r="D55" i="11"/>
  <c r="C56" i="11"/>
  <c r="D56" i="11"/>
  <c r="C57" i="11"/>
  <c r="D57" i="11"/>
  <c r="C58" i="11"/>
  <c r="D58" i="11"/>
  <c r="C59" i="11"/>
  <c r="D59" i="11"/>
  <c r="C60" i="11"/>
  <c r="D60" i="11"/>
  <c r="C61" i="11"/>
  <c r="D61" i="11"/>
  <c r="C62" i="11"/>
  <c r="D62" i="11"/>
  <c r="C63" i="11"/>
  <c r="D63" i="11"/>
  <c r="C64" i="11"/>
  <c r="D64" i="11"/>
  <c r="C65" i="11"/>
  <c r="D65" i="11"/>
  <c r="C66" i="11"/>
  <c r="D66" i="11"/>
  <c r="C67" i="11"/>
  <c r="D67" i="11"/>
  <c r="C68" i="11"/>
  <c r="D68" i="11"/>
  <c r="C69" i="11"/>
  <c r="D69" i="11"/>
  <c r="C70" i="11"/>
  <c r="D70" i="11"/>
  <c r="C71" i="11"/>
  <c r="D71" i="11"/>
  <c r="E71" i="11" l="1"/>
  <c r="E65" i="11"/>
  <c r="E59" i="11"/>
  <c r="E53" i="11"/>
  <c r="E47" i="11"/>
  <c r="E41" i="11"/>
  <c r="E35" i="11"/>
  <c r="E29" i="11"/>
  <c r="E23" i="11"/>
  <c r="E17" i="11"/>
  <c r="E11" i="11"/>
  <c r="E5" i="11"/>
  <c r="E70" i="11"/>
  <c r="E64" i="11"/>
  <c r="E58" i="11"/>
  <c r="E52" i="11"/>
  <c r="E46" i="11"/>
  <c r="E40" i="11"/>
  <c r="E34" i="11"/>
  <c r="E28" i="11"/>
  <c r="E22" i="11"/>
  <c r="E16" i="11"/>
  <c r="E10" i="11"/>
  <c r="E4" i="11"/>
  <c r="E69" i="11"/>
  <c r="E63" i="11"/>
  <c r="E57" i="11"/>
  <c r="E51" i="11"/>
  <c r="E45" i="11"/>
  <c r="E68" i="11"/>
  <c r="E62" i="11"/>
  <c r="E56" i="11"/>
  <c r="E50" i="11"/>
  <c r="E44" i="11"/>
  <c r="E38" i="11"/>
  <c r="E32" i="11"/>
  <c r="E26" i="11"/>
  <c r="E20" i="11"/>
  <c r="E14" i="11"/>
  <c r="E67" i="11"/>
  <c r="E61" i="11"/>
  <c r="E55" i="11"/>
  <c r="E49" i="11"/>
  <c r="E43" i="11"/>
  <c r="E37" i="11"/>
  <c r="E31" i="11"/>
  <c r="E66" i="11"/>
  <c r="E60" i="11"/>
  <c r="E54" i="11"/>
  <c r="E48" i="11"/>
  <c r="E42" i="11"/>
  <c r="E36" i="11"/>
  <c r="E30" i="11"/>
  <c r="E18" i="11"/>
  <c r="E6" i="11"/>
  <c r="E3" i="11"/>
  <c r="E39" i="11"/>
  <c r="E33" i="11"/>
  <c r="E27" i="11"/>
  <c r="E21" i="11"/>
  <c r="E15" i="11"/>
  <c r="E9" i="11"/>
  <c r="E8" i="11"/>
  <c r="E25" i="11"/>
  <c r="E19" i="11"/>
  <c r="E13" i="11"/>
  <c r="E7" i="11"/>
  <c r="E24" i="11"/>
  <c r="E12" i="11"/>
  <c r="O19" i="5"/>
  <c r="N21" i="5"/>
  <c r="N20" i="5"/>
  <c r="N19" i="5"/>
  <c r="O21" i="5"/>
  <c r="O20" i="5"/>
  <c r="N16" i="5"/>
  <c r="O16" i="5"/>
  <c r="O22" i="5"/>
  <c r="D5" i="29"/>
  <c r="D9" i="29"/>
  <c r="D10" i="29"/>
  <c r="D11" i="29"/>
  <c r="D4" i="29"/>
  <c r="D3" i="29"/>
  <c r="D6" i="29"/>
  <c r="D8" i="29"/>
  <c r="N22" i="5"/>
  <c r="N14" i="5"/>
  <c r="D34" i="5"/>
  <c r="C73" i="11"/>
  <c r="D73" i="11"/>
  <c r="E73" i="11" l="1"/>
  <c r="AE42" i="29"/>
  <c r="AE43" i="29"/>
  <c r="AE40" i="29"/>
  <c r="AE41" i="29"/>
  <c r="N23" i="5"/>
  <c r="N24" i="5"/>
  <c r="N18" i="5"/>
  <c r="N26" i="5"/>
  <c r="N25" i="5"/>
  <c r="N27" i="5"/>
  <c r="N15" i="5"/>
  <c r="R17" i="5" s="1"/>
  <c r="N17" i="5"/>
  <c r="N28" i="5"/>
  <c r="N29" i="5"/>
  <c r="N30" i="5"/>
  <c r="R19" i="5" s="1"/>
  <c r="L15" i="5"/>
  <c r="L18" i="5"/>
  <c r="L23" i="5"/>
  <c r="L24" i="5"/>
  <c r="L25" i="5"/>
  <c r="L26" i="5"/>
  <c r="L27" i="5"/>
  <c r="L28" i="5"/>
  <c r="L29" i="5"/>
  <c r="L30" i="5"/>
  <c r="L14" i="5"/>
  <c r="M23" i="5"/>
  <c r="M15" i="5"/>
  <c r="M17" i="5"/>
  <c r="M18" i="5"/>
  <c r="M30" i="5"/>
  <c r="M24" i="5"/>
  <c r="M25" i="5"/>
  <c r="M26" i="5"/>
  <c r="M27" i="5"/>
  <c r="M28" i="5"/>
  <c r="M29" i="5"/>
  <c r="R18" i="5" l="1"/>
  <c r="O14" i="5"/>
  <c r="O30" i="5"/>
  <c r="S19" i="5" s="1"/>
  <c r="O29" i="5"/>
  <c r="O28" i="5"/>
  <c r="O15" i="5"/>
  <c r="O27" i="5"/>
  <c r="O26" i="5"/>
  <c r="O25" i="5"/>
  <c r="O23" i="5"/>
  <c r="O18" i="5"/>
  <c r="O24" i="5"/>
  <c r="O17" i="5"/>
  <c r="S17" i="5" l="1"/>
  <c r="S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D3C010-7995-41B3-91A8-9C494D0E45FD}" keepAlive="1" name="Abfrage - patent documents" description="Verbindung mit der Abfrage 'patent documents' in der Arbeitsmappe." type="5" refreshedVersion="8" background="1" saveData="1">
    <dbPr connection="Provider=Microsoft.Mashup.OleDb.1;Data Source=$Workbook$;Location=&quot;patent documents&quot;;Extended Properties=&quot;&quot;" command="SELECT * FROM [patent documents]"/>
  </connection>
  <connection id="2" xr16:uid="{A6303D44-B16C-4442-B997-8B5B7A523F3B}" keepAlive="1" name="Abfrage - Patent Filings Green Hydrogen" description="Verbindung mit der Abfrage 'Patent Filings Green Hydrogen' in der Arbeitsmappe." type="5" refreshedVersion="8" background="1" saveData="1">
    <dbPr connection="Provider=Microsoft.Mashup.OleDb.1;Data Source=$Workbook$;Location=&quot;Patent Filings Green Hydrogen&quot;;Extended Properties=&quot;&quot;" command="SELECT * FROM [Patent Filings Green Hydrogen]"/>
  </connection>
  <connection id="3" xr16:uid="{4785E87E-E3EA-490F-B18C-0B1E6C91109A}" keepAlive="1" name="Abfrage - scholarly works" description="Verbindung mit der Abfrage 'scholarly works' in der Arbeitsmappe." type="5" refreshedVersion="8" background="1" saveData="1">
    <dbPr connection="Provider=Microsoft.Mashup.OleDb.1;Data Source=$Workbook$;Location=&quot;scholarly works&quot;;Extended Properties=&quot;&quot;" command="SELECT * FROM [scholarly works]"/>
  </connection>
  <connection id="4" xr16:uid="{E14CA292-55C8-4176-B130-91AC0582D100}" keepAlive="1" name="Abfrage - scholarly works (2)" description="Verbindung mit der Abfrage 'scholarly works (2)' in der Arbeitsmappe." type="5" refreshedVersion="8" background="1" saveData="1">
    <dbPr connection="Provider=Microsoft.Mashup.OleDb.1;Data Source=$Workbook$;Location=&quot;scholarly works (2)&quot;;Extended Properties=&quot;&quot;" command="SELECT * FROM [scholarly works (2)]"/>
  </connection>
  <connection id="5" xr16:uid="{8ED8DDFD-8C5A-4E8C-9A23-6D1848565445}" keepAlive="1" name="Abfrage - scholarly works (3)" description="Verbindung mit der Abfrage 'scholarly works (3)' in der Arbeitsmappe." type="5" refreshedVersion="8" background="1" saveData="1">
    <dbPr connection="Provider=Microsoft.Mashup.OleDb.1;Data Source=$Workbook$;Location=&quot;scholarly works (3)&quot;;Extended Properties=&quot;&quot;" command="SELECT * FROM [scholarly works (3)]"/>
  </connection>
  <connection id="6" xr16:uid="{692CBF62-5031-4B77-A368-9E58D74A74F2}" keepAlive="1" name="Abfrage - Scholarly Works Green Hydrogen" description="Verbindung mit der Abfrage 'Scholarly Works Green Hydrogen' in der Arbeitsmappe." type="5" refreshedVersion="8" background="1" saveData="1">
    <dbPr connection="Provider=Microsoft.Mashup.OleDb.1;Data Source=$Workbook$;Location=&quot;Scholarly Works Green Hydrogen&quot;;Extended Properties=&quot;&quot;" command="SELECT * FROM [Scholarly Works Green Hydrogen]"/>
  </connection>
  <connection id="7" xr16:uid="{9914D109-BB8C-4D89-9AD9-F0561B29C32B}" keepAlive="1" name="ThisWorkbookDataModel" description="Datenmodel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130382FC-C28B-4C86-BAA0-CAE6EE8E20A1}" name="WorksheetConnection_Test!$B$2:$B$4" type="102" refreshedVersion="8" minRefreshableVersion="5">
    <extLst>
      <ext xmlns:x15="http://schemas.microsoft.com/office/spreadsheetml/2010/11/main" uri="{DE250136-89BD-433C-8126-D09CA5730AF9}">
        <x15:connection id="Bereich">
          <x15:rangePr sourceName="_xlcn.WorksheetConnection_TestB2B41"/>
        </x15:connection>
      </ext>
    </extLst>
  </connection>
</connections>
</file>

<file path=xl/sharedStrings.xml><?xml version="1.0" encoding="utf-8"?>
<sst xmlns="http://schemas.openxmlformats.org/spreadsheetml/2006/main" count="3332" uniqueCount="1266">
  <si>
    <t>Buildings</t>
  </si>
  <si>
    <t>2019</t>
  </si>
  <si>
    <t>2020</t>
  </si>
  <si>
    <t>Region</t>
  </si>
  <si>
    <t>n.a.</t>
  </si>
  <si>
    <t>ID</t>
  </si>
  <si>
    <t>Year</t>
  </si>
  <si>
    <t>Sum</t>
  </si>
  <si>
    <t>&gt;2000</t>
  </si>
  <si>
    <t>Dark fermentation</t>
  </si>
  <si>
    <t>Photo-fermentation</t>
  </si>
  <si>
    <t>Method</t>
  </si>
  <si>
    <t>Stoichiometry</t>
  </si>
  <si>
    <t>Direct biophotolysis</t>
  </si>
  <si>
    <t>Indirect biophotolysis</t>
  </si>
  <si>
    <t>MEC (Acetate)</t>
  </si>
  <si>
    <t>Water Electrolysis</t>
  </si>
  <si>
    <t>Publication Year</t>
  </si>
  <si>
    <t>Document Count2</t>
  </si>
  <si>
    <t>Scholarly works</t>
  </si>
  <si>
    <t>Patent documents</t>
  </si>
  <si>
    <t>sum:</t>
  </si>
  <si>
    <t>net CO2 release</t>
  </si>
  <si>
    <t>atomic mass of hydrogen</t>
  </si>
  <si>
    <t>atomic mass of oxygen</t>
  </si>
  <si>
    <t>atomic mass of carbon</t>
  </si>
  <si>
    <t>http://www.elementsdatabase.com/</t>
  </si>
  <si>
    <t>Classification</t>
  </si>
  <si>
    <t>Biohydrogen</t>
  </si>
  <si>
    <t>Green hydrogen</t>
  </si>
  <si>
    <t>Name</t>
  </si>
  <si>
    <t>I</t>
  </si>
  <si>
    <t>II</t>
  </si>
  <si>
    <t>III</t>
  </si>
  <si>
    <t>α = 2 * I</t>
  </si>
  <si>
    <t>β = 2 * I + II</t>
  </si>
  <si>
    <t>γ = III + 2 * II</t>
  </si>
  <si>
    <t>atomic mass reference:</t>
  </si>
  <si>
    <t>not assigned</t>
  </si>
  <si>
    <t>Color</t>
  </si>
  <si>
    <t>gray</t>
  </si>
  <si>
    <t>green</t>
  </si>
  <si>
    <t>biohy.</t>
  </si>
  <si>
    <t>carbon</t>
  </si>
  <si>
    <t>footprint</t>
  </si>
  <si>
    <t>water</t>
  </si>
  <si>
    <r>
      <t>[kgH</t>
    </r>
    <r>
      <rPr>
        <b/>
        <vertAlign val="subscript"/>
        <sz val="11"/>
        <color rgb="FF000000"/>
        <rFont val="Charter"/>
      </rPr>
      <t>2</t>
    </r>
    <r>
      <rPr>
        <b/>
        <sz val="11"/>
        <color rgb="FF000000"/>
        <rFont val="Charter"/>
      </rPr>
      <t>0/kgH</t>
    </r>
    <r>
      <rPr>
        <b/>
        <vertAlign val="subscript"/>
        <sz val="11"/>
        <color rgb="FF000000"/>
        <rFont val="Charter"/>
      </rPr>
      <t>2</t>
    </r>
    <r>
      <rPr>
        <b/>
        <sz val="11"/>
        <color rgb="FF000000"/>
        <rFont val="Charter"/>
      </rPr>
      <t>]</t>
    </r>
  </si>
  <si>
    <r>
      <t>[kgCO</t>
    </r>
    <r>
      <rPr>
        <b/>
        <vertAlign val="subscript"/>
        <sz val="11"/>
        <color rgb="FF000000"/>
        <rFont val="Charter"/>
      </rPr>
      <t>2</t>
    </r>
    <r>
      <rPr>
        <b/>
        <sz val="11"/>
        <color rgb="FF000000"/>
        <rFont val="Charter"/>
      </rPr>
      <t>/kgH</t>
    </r>
    <r>
      <rPr>
        <b/>
        <vertAlign val="subscript"/>
        <sz val="11"/>
        <color rgb="FF000000"/>
        <rFont val="Charter"/>
      </rPr>
      <t>2</t>
    </r>
    <r>
      <rPr>
        <b/>
        <sz val="11"/>
        <color rgb="FF000000"/>
        <rFont val="Charter"/>
      </rPr>
      <t>]</t>
    </r>
  </si>
  <si>
    <t>1kg H2</t>
  </si>
  <si>
    <t>is made from</t>
  </si>
  <si>
    <r>
      <t>∑H</t>
    </r>
    <r>
      <rPr>
        <b/>
        <vertAlign val="subscript"/>
        <sz val="11"/>
        <color theme="1"/>
        <rFont val="Charter"/>
      </rPr>
      <t>2</t>
    </r>
    <r>
      <rPr>
        <b/>
        <sz val="11"/>
        <color theme="1"/>
        <rFont val="Charter"/>
      </rPr>
      <t>O input</t>
    </r>
  </si>
  <si>
    <r>
      <t>∑CO</t>
    </r>
    <r>
      <rPr>
        <b/>
        <vertAlign val="subscript"/>
        <sz val="11"/>
        <color theme="1"/>
        <rFont val="Charter"/>
      </rPr>
      <t>2</t>
    </r>
    <r>
      <rPr>
        <b/>
        <sz val="11"/>
        <color theme="1"/>
        <rFont val="Charter"/>
      </rPr>
      <t xml:space="preserve"> input</t>
    </r>
  </si>
  <si>
    <r>
      <t>∑CO</t>
    </r>
    <r>
      <rPr>
        <b/>
        <vertAlign val="subscript"/>
        <sz val="11"/>
        <color theme="1"/>
        <rFont val="Charter"/>
      </rPr>
      <t>2</t>
    </r>
    <r>
      <rPr>
        <b/>
        <sz val="11"/>
        <color theme="1"/>
        <rFont val="Charter"/>
      </rPr>
      <t xml:space="preserve"> release</t>
    </r>
  </si>
  <si>
    <r>
      <t>∑H</t>
    </r>
    <r>
      <rPr>
        <b/>
        <vertAlign val="subscript"/>
        <sz val="11"/>
        <color theme="1"/>
        <rFont val="Charter"/>
      </rPr>
      <t>2</t>
    </r>
    <r>
      <rPr>
        <b/>
        <sz val="11"/>
        <color theme="1"/>
        <rFont val="Charter"/>
      </rPr>
      <t>O input/∑H</t>
    </r>
    <r>
      <rPr>
        <b/>
        <vertAlign val="subscript"/>
        <sz val="11"/>
        <color theme="1"/>
        <rFont val="Charter"/>
      </rPr>
      <t xml:space="preserve">2 </t>
    </r>
    <r>
      <rPr>
        <b/>
        <sz val="11"/>
        <color theme="1"/>
        <rFont val="Charter"/>
      </rPr>
      <t>[kgH</t>
    </r>
    <r>
      <rPr>
        <b/>
        <vertAlign val="subscript"/>
        <sz val="11"/>
        <color theme="1"/>
        <rFont val="Charter"/>
      </rPr>
      <t>2</t>
    </r>
    <r>
      <rPr>
        <b/>
        <sz val="11"/>
        <color theme="1"/>
        <rFont val="Charter"/>
      </rPr>
      <t>0/kgH</t>
    </r>
    <r>
      <rPr>
        <b/>
        <vertAlign val="subscript"/>
        <sz val="11"/>
        <color theme="1"/>
        <rFont val="Charter"/>
      </rPr>
      <t>2</t>
    </r>
    <r>
      <rPr>
        <b/>
        <sz val="11"/>
        <color theme="1"/>
        <rFont val="Charter"/>
      </rPr>
      <t>]</t>
    </r>
  </si>
  <si>
    <r>
      <t>net CO</t>
    </r>
    <r>
      <rPr>
        <b/>
        <vertAlign val="subscript"/>
        <sz val="11"/>
        <color rgb="FF000000"/>
        <rFont val="Charter"/>
      </rPr>
      <t>2</t>
    </r>
    <r>
      <rPr>
        <b/>
        <sz val="11"/>
        <color rgb="FF000000"/>
        <rFont val="Charter"/>
      </rPr>
      <t xml:space="preserve"> release</t>
    </r>
    <r>
      <rPr>
        <b/>
        <sz val="11"/>
        <color theme="1"/>
        <rFont val="Charter"/>
      </rPr>
      <t>/∑H</t>
    </r>
    <r>
      <rPr>
        <b/>
        <vertAlign val="subscript"/>
        <sz val="11"/>
        <color theme="1"/>
        <rFont val="Charter"/>
      </rPr>
      <t xml:space="preserve">2 </t>
    </r>
    <r>
      <rPr>
        <b/>
        <sz val="11"/>
        <color theme="1"/>
        <rFont val="Charter"/>
      </rPr>
      <t>[kgCO</t>
    </r>
    <r>
      <rPr>
        <b/>
        <vertAlign val="subscript"/>
        <sz val="11"/>
        <color theme="1"/>
        <rFont val="Charter"/>
      </rPr>
      <t>2</t>
    </r>
    <r>
      <rPr>
        <b/>
        <sz val="11"/>
        <color theme="1"/>
        <rFont val="Charter"/>
      </rPr>
      <t>/kgH</t>
    </r>
    <r>
      <rPr>
        <b/>
        <vertAlign val="subscript"/>
        <sz val="11"/>
        <color theme="1"/>
        <rFont val="Charter"/>
      </rPr>
      <t>2</t>
    </r>
    <r>
      <rPr>
        <b/>
        <sz val="11"/>
        <color theme="1"/>
        <rFont val="Charter"/>
      </rPr>
      <t>]</t>
    </r>
  </si>
  <si>
    <r>
      <t>molecular mass of H</t>
    </r>
    <r>
      <rPr>
        <vertAlign val="subscript"/>
        <sz val="11"/>
        <color theme="1"/>
        <rFont val="Charter"/>
      </rPr>
      <t>2</t>
    </r>
  </si>
  <si>
    <r>
      <t>molecular mass of H</t>
    </r>
    <r>
      <rPr>
        <vertAlign val="subscript"/>
        <sz val="11"/>
        <color theme="1"/>
        <rFont val="Charter"/>
      </rPr>
      <t>2</t>
    </r>
    <r>
      <rPr>
        <sz val="11"/>
        <color theme="1"/>
        <rFont val="Charter"/>
      </rPr>
      <t>O</t>
    </r>
  </si>
  <si>
    <r>
      <t>molecular mass of CO</t>
    </r>
    <r>
      <rPr>
        <vertAlign val="subscript"/>
        <sz val="11"/>
        <color theme="1"/>
        <rFont val="Charter"/>
      </rPr>
      <t>2</t>
    </r>
  </si>
  <si>
    <t>n</t>
  </si>
  <si>
    <t>*oberen Rand anpassen ggf.</t>
  </si>
  <si>
    <t>low</t>
  </si>
  <si>
    <t>medium</t>
  </si>
  <si>
    <t>high</t>
  </si>
  <si>
    <r>
      <t>∑H</t>
    </r>
    <r>
      <rPr>
        <b/>
        <vertAlign val="subscript"/>
        <sz val="11"/>
        <color theme="1"/>
        <rFont val="Charter"/>
      </rPr>
      <t>2</t>
    </r>
    <r>
      <rPr>
        <b/>
        <sz val="11"/>
        <color theme="1"/>
        <rFont val="Charter"/>
      </rPr>
      <t xml:space="preserve"> output</t>
    </r>
  </si>
  <si>
    <t>Table of Content</t>
  </si>
  <si>
    <t>-</t>
  </si>
  <si>
    <t>Gudong Oilfield</t>
  </si>
  <si>
    <t>Shanjiasi Oilfield</t>
  </si>
  <si>
    <t>Zheng 411 block</t>
  </si>
  <si>
    <t>Tuo 826 block</t>
  </si>
  <si>
    <t>Saturates</t>
  </si>
  <si>
    <t>Aromatics</t>
  </si>
  <si>
    <t>Resins</t>
  </si>
  <si>
    <t>Asphaltene</t>
  </si>
  <si>
    <t>stand alone equations</t>
  </si>
  <si>
    <t>step</t>
  </si>
  <si>
    <t>transitive reformaltion</t>
  </si>
  <si>
    <t>&amp;</t>
  </si>
  <si>
    <t>m</t>
  </si>
  <si>
    <t>lead to</t>
  </si>
  <si>
    <t>CO</t>
  </si>
  <si>
    <t>non-catalytically</t>
  </si>
  <si>
    <t>catalytically</t>
  </si>
  <si>
    <t>water-gas-shift</t>
  </si>
  <si>
    <t>Pyrolysis (Methane)</t>
  </si>
  <si>
    <t>+</t>
  </si>
  <si>
    <t>Catalytically</t>
  </si>
  <si>
    <t>incl. Water-gas-shift</t>
  </si>
  <si>
    <t>n/m ratio</t>
  </si>
  <si>
    <t>(n+0.5m)</t>
  </si>
  <si>
    <t>Non-Catalytically</t>
  </si>
  <si>
    <t>best case water demand</t>
  </si>
  <si>
    <t>worst case water demand</t>
  </si>
  <si>
    <t>best case carbon footprint</t>
  </si>
  <si>
    <t>worst case carbon footprint</t>
  </si>
  <si>
    <t>value</t>
  </si>
  <si>
    <t>Min n/m ratio</t>
  </si>
  <si>
    <t>Max n/m ratio</t>
  </si>
  <si>
    <t>-&gt; high carbon/hydrogen ratio bad!</t>
  </si>
  <si>
    <t>-&gt; catalytically needs less water but produces more carbon dioxide</t>
  </si>
  <si>
    <t>-&gt; non-catalytically needs more water but produces less CO2</t>
  </si>
  <si>
    <t>catalytically needs</t>
  </si>
  <si>
    <t>less water in best case but</t>
  </si>
  <si>
    <t>higher CO2 emissions</t>
  </si>
  <si>
    <t>b.c.</t>
  </si>
  <si>
    <t>w.c.</t>
  </si>
  <si>
    <t>less water in worst case but</t>
  </si>
  <si>
    <t>Superimposed</t>
  </si>
  <si>
    <t>Heavy Oil's elemental composition according to (Wang et al., 2023)</t>
  </si>
  <si>
    <r>
      <t>H</t>
    </r>
    <r>
      <rPr>
        <vertAlign val="subscript"/>
        <sz val="11"/>
        <color theme="1"/>
        <rFont val="Charter"/>
      </rPr>
      <t>2</t>
    </r>
  </si>
  <si>
    <r>
      <t>H</t>
    </r>
    <r>
      <rPr>
        <vertAlign val="subscript"/>
        <sz val="11"/>
        <color theme="1"/>
        <rFont val="Charter"/>
      </rPr>
      <t>2</t>
    </r>
    <r>
      <rPr>
        <sz val="11"/>
        <color theme="1"/>
        <rFont val="Charter"/>
      </rPr>
      <t>O</t>
    </r>
  </si>
  <si>
    <r>
      <t>CO</t>
    </r>
    <r>
      <rPr>
        <vertAlign val="subscript"/>
        <sz val="11"/>
        <color theme="1"/>
        <rFont val="Charter"/>
      </rPr>
      <t>2</t>
    </r>
  </si>
  <si>
    <t>Catalytical POX</t>
  </si>
  <si>
    <t>Non-catalytical POX</t>
  </si>
  <si>
    <r>
      <t>∑H</t>
    </r>
    <r>
      <rPr>
        <vertAlign val="subscript"/>
        <sz val="11"/>
        <color theme="1"/>
        <rFont val="Charter"/>
      </rPr>
      <t>2</t>
    </r>
    <r>
      <rPr>
        <sz val="11"/>
        <color theme="1"/>
        <rFont val="Charter"/>
      </rPr>
      <t>O input</t>
    </r>
  </si>
  <si>
    <r>
      <t>∑H</t>
    </r>
    <r>
      <rPr>
        <vertAlign val="subscript"/>
        <sz val="11"/>
        <color theme="1"/>
        <rFont val="Charter"/>
      </rPr>
      <t>2</t>
    </r>
    <r>
      <rPr>
        <sz val="11"/>
        <color theme="1"/>
        <rFont val="Charter"/>
      </rPr>
      <t xml:space="preserve"> output</t>
    </r>
  </si>
  <si>
    <r>
      <t>∑H</t>
    </r>
    <r>
      <rPr>
        <vertAlign val="subscript"/>
        <sz val="11"/>
        <color theme="1"/>
        <rFont val="Charter"/>
      </rPr>
      <t>2</t>
    </r>
    <r>
      <rPr>
        <sz val="11"/>
        <color theme="1"/>
        <rFont val="Charter"/>
      </rPr>
      <t>O input/∑H</t>
    </r>
    <r>
      <rPr>
        <vertAlign val="subscript"/>
        <sz val="11"/>
        <color theme="1"/>
        <rFont val="Charter"/>
      </rPr>
      <t xml:space="preserve">2 </t>
    </r>
    <r>
      <rPr>
        <sz val="11"/>
        <color theme="1"/>
        <rFont val="Charter"/>
      </rPr>
      <t>[n]</t>
    </r>
  </si>
  <si>
    <t>Microstructure</t>
  </si>
  <si>
    <r>
      <t>C</t>
    </r>
    <r>
      <rPr>
        <b/>
        <vertAlign val="subscript"/>
        <sz val="11"/>
        <color theme="1"/>
        <rFont val="Charter"/>
      </rPr>
      <t>37</t>
    </r>
    <r>
      <rPr>
        <b/>
        <sz val="11"/>
        <color theme="1"/>
        <rFont val="Charter"/>
      </rPr>
      <t>H</t>
    </r>
    <r>
      <rPr>
        <b/>
        <vertAlign val="subscript"/>
        <sz val="11"/>
        <color theme="1"/>
        <rFont val="Charter"/>
      </rPr>
      <t>71</t>
    </r>
    <r>
      <rPr>
        <b/>
        <sz val="11"/>
        <color theme="1"/>
        <rFont val="Charter"/>
      </rPr>
      <t>S</t>
    </r>
    <r>
      <rPr>
        <b/>
        <vertAlign val="subscript"/>
        <sz val="11"/>
        <color theme="1"/>
        <rFont val="Charter"/>
      </rPr>
      <t>0.03</t>
    </r>
  </si>
  <si>
    <r>
      <t>C</t>
    </r>
    <r>
      <rPr>
        <b/>
        <vertAlign val="subscript"/>
        <sz val="11"/>
        <color theme="1"/>
        <rFont val="Charter"/>
      </rPr>
      <t>51</t>
    </r>
    <r>
      <rPr>
        <b/>
        <sz val="11"/>
        <color theme="1"/>
        <rFont val="Charter"/>
      </rPr>
      <t>H</t>
    </r>
    <r>
      <rPr>
        <b/>
        <vertAlign val="subscript"/>
        <sz val="11"/>
        <color theme="1"/>
        <rFont val="Charter"/>
      </rPr>
      <t>98</t>
    </r>
    <r>
      <rPr>
        <b/>
        <sz val="11"/>
        <color theme="1"/>
        <rFont val="Charter"/>
      </rPr>
      <t>S</t>
    </r>
    <r>
      <rPr>
        <b/>
        <vertAlign val="subscript"/>
        <sz val="11"/>
        <color theme="1"/>
        <rFont val="Charter"/>
      </rPr>
      <t>0.05</t>
    </r>
  </si>
  <si>
    <r>
      <t>C</t>
    </r>
    <r>
      <rPr>
        <b/>
        <vertAlign val="subscript"/>
        <sz val="11"/>
        <color theme="1"/>
        <rFont val="Charter"/>
      </rPr>
      <t>38</t>
    </r>
    <r>
      <rPr>
        <b/>
        <sz val="11"/>
        <color theme="1"/>
        <rFont val="Charter"/>
      </rPr>
      <t>H</t>
    </r>
    <r>
      <rPr>
        <b/>
        <vertAlign val="subscript"/>
        <sz val="11"/>
        <color theme="1"/>
        <rFont val="Charter"/>
      </rPr>
      <t>71</t>
    </r>
    <r>
      <rPr>
        <b/>
        <sz val="11"/>
        <color theme="1"/>
        <rFont val="Charter"/>
      </rPr>
      <t>S</t>
    </r>
    <r>
      <rPr>
        <b/>
        <vertAlign val="subscript"/>
        <sz val="11"/>
        <color theme="1"/>
        <rFont val="Charter"/>
      </rPr>
      <t>0.06</t>
    </r>
  </si>
  <si>
    <r>
      <t>C</t>
    </r>
    <r>
      <rPr>
        <b/>
        <vertAlign val="subscript"/>
        <sz val="11"/>
        <color theme="1"/>
        <rFont val="Charter"/>
      </rPr>
      <t>38</t>
    </r>
    <r>
      <rPr>
        <b/>
        <sz val="11"/>
        <color theme="1"/>
        <rFont val="Charter"/>
      </rPr>
      <t>H</t>
    </r>
    <r>
      <rPr>
        <b/>
        <vertAlign val="subscript"/>
        <sz val="11"/>
        <color theme="1"/>
        <rFont val="Charter"/>
      </rPr>
      <t>69</t>
    </r>
    <r>
      <rPr>
        <b/>
        <sz val="11"/>
        <color theme="1"/>
        <rFont val="Charter"/>
      </rPr>
      <t>S</t>
    </r>
    <r>
      <rPr>
        <b/>
        <vertAlign val="subscript"/>
        <sz val="11"/>
        <color theme="1"/>
        <rFont val="Charter"/>
      </rPr>
      <t>0.06</t>
    </r>
  </si>
  <si>
    <r>
      <t>C</t>
    </r>
    <r>
      <rPr>
        <b/>
        <vertAlign val="subscript"/>
        <sz val="11"/>
        <color theme="1"/>
        <rFont val="Charter"/>
      </rPr>
      <t>40</t>
    </r>
    <r>
      <rPr>
        <b/>
        <sz val="11"/>
        <color theme="1"/>
        <rFont val="Charter"/>
      </rPr>
      <t>H</t>
    </r>
    <r>
      <rPr>
        <b/>
        <vertAlign val="subscript"/>
        <sz val="11"/>
        <color theme="1"/>
        <rFont val="Charter"/>
      </rPr>
      <t>74</t>
    </r>
    <r>
      <rPr>
        <b/>
        <sz val="11"/>
        <color theme="1"/>
        <rFont val="Charter"/>
      </rPr>
      <t>S</t>
    </r>
    <r>
      <rPr>
        <b/>
        <vertAlign val="subscript"/>
        <sz val="11"/>
        <color theme="1"/>
        <rFont val="Charter"/>
      </rPr>
      <t>0.07</t>
    </r>
  </si>
  <si>
    <r>
      <t>C</t>
    </r>
    <r>
      <rPr>
        <b/>
        <vertAlign val="subscript"/>
        <sz val="11"/>
        <color theme="1"/>
        <rFont val="Charter"/>
      </rPr>
      <t>47</t>
    </r>
    <r>
      <rPr>
        <b/>
        <sz val="11"/>
        <color theme="1"/>
        <rFont val="Charter"/>
      </rPr>
      <t>H</t>
    </r>
    <r>
      <rPr>
        <b/>
        <vertAlign val="subscript"/>
        <sz val="11"/>
        <color theme="1"/>
        <rFont val="Charter"/>
      </rPr>
      <t>72</t>
    </r>
    <r>
      <rPr>
        <b/>
        <sz val="11"/>
        <color theme="1"/>
        <rFont val="Charter"/>
      </rPr>
      <t>N</t>
    </r>
    <r>
      <rPr>
        <b/>
        <vertAlign val="subscript"/>
        <sz val="11"/>
        <color theme="1"/>
        <rFont val="Charter"/>
      </rPr>
      <t>0.13</t>
    </r>
    <r>
      <rPr>
        <b/>
        <sz val="11"/>
        <color theme="1"/>
        <rFont val="Charter"/>
      </rPr>
      <t>S</t>
    </r>
    <r>
      <rPr>
        <b/>
        <vertAlign val="subscript"/>
        <sz val="11"/>
        <color theme="1"/>
        <rFont val="Charter"/>
      </rPr>
      <t>0.67</t>
    </r>
    <r>
      <rPr>
        <b/>
        <sz val="11"/>
        <color theme="1"/>
        <rFont val="Charter"/>
      </rPr>
      <t>O</t>
    </r>
    <r>
      <rPr>
        <b/>
        <vertAlign val="subscript"/>
        <sz val="11"/>
        <color theme="1"/>
        <rFont val="Charter"/>
      </rPr>
      <t>0.16</t>
    </r>
  </si>
  <si>
    <r>
      <t>C</t>
    </r>
    <r>
      <rPr>
        <b/>
        <vertAlign val="subscript"/>
        <sz val="11"/>
        <color theme="1"/>
        <rFont val="Charter"/>
      </rPr>
      <t>62</t>
    </r>
    <r>
      <rPr>
        <b/>
        <sz val="11"/>
        <color theme="1"/>
        <rFont val="Charter"/>
      </rPr>
      <t>H</t>
    </r>
    <r>
      <rPr>
        <b/>
        <vertAlign val="subscript"/>
        <sz val="11"/>
        <color theme="1"/>
        <rFont val="Charter"/>
      </rPr>
      <t>96</t>
    </r>
    <r>
      <rPr>
        <b/>
        <sz val="11"/>
        <color theme="1"/>
        <rFont val="Charter"/>
      </rPr>
      <t>N</t>
    </r>
    <r>
      <rPr>
        <b/>
        <vertAlign val="subscript"/>
        <sz val="11"/>
        <color theme="1"/>
        <rFont val="Charter"/>
      </rPr>
      <t>0.32</t>
    </r>
    <r>
      <rPr>
        <b/>
        <sz val="11"/>
        <color theme="1"/>
        <rFont val="Charter"/>
      </rPr>
      <t>S</t>
    </r>
    <r>
      <rPr>
        <b/>
        <vertAlign val="subscript"/>
        <sz val="11"/>
        <color theme="1"/>
        <rFont val="Charter"/>
      </rPr>
      <t>0.55</t>
    </r>
    <r>
      <rPr>
        <b/>
        <sz val="11"/>
        <color theme="1"/>
        <rFont val="Charter"/>
      </rPr>
      <t>O</t>
    </r>
    <r>
      <rPr>
        <b/>
        <vertAlign val="subscript"/>
        <sz val="11"/>
        <color theme="1"/>
        <rFont val="Charter"/>
      </rPr>
      <t>0.36</t>
    </r>
  </si>
  <si>
    <r>
      <t>C</t>
    </r>
    <r>
      <rPr>
        <b/>
        <vertAlign val="subscript"/>
        <sz val="11"/>
        <color theme="1"/>
        <rFont val="Charter"/>
      </rPr>
      <t>66</t>
    </r>
    <r>
      <rPr>
        <b/>
        <sz val="11"/>
        <color theme="1"/>
        <rFont val="Charter"/>
      </rPr>
      <t>H</t>
    </r>
    <r>
      <rPr>
        <b/>
        <vertAlign val="subscript"/>
        <sz val="11"/>
        <color theme="1"/>
        <rFont val="Charter"/>
      </rPr>
      <t>100</t>
    </r>
    <r>
      <rPr>
        <b/>
        <sz val="11"/>
        <color theme="1"/>
        <rFont val="Charter"/>
      </rPr>
      <t>N</t>
    </r>
    <r>
      <rPr>
        <b/>
        <vertAlign val="subscript"/>
        <sz val="11"/>
        <color theme="1"/>
        <rFont val="Charter"/>
      </rPr>
      <t>0.4</t>
    </r>
    <r>
      <rPr>
        <b/>
        <sz val="11"/>
        <color theme="1"/>
        <rFont val="Charter"/>
      </rPr>
      <t>S</t>
    </r>
    <r>
      <rPr>
        <b/>
        <vertAlign val="subscript"/>
        <sz val="11"/>
        <color theme="1"/>
        <rFont val="Charter"/>
      </rPr>
      <t>0.56</t>
    </r>
    <r>
      <rPr>
        <b/>
        <sz val="11"/>
        <color theme="1"/>
        <rFont val="Charter"/>
      </rPr>
      <t>O</t>
    </r>
    <r>
      <rPr>
        <b/>
        <vertAlign val="subscript"/>
        <sz val="11"/>
        <color theme="1"/>
        <rFont val="Charter"/>
      </rPr>
      <t>0.42</t>
    </r>
  </si>
  <si>
    <r>
      <t>C</t>
    </r>
    <r>
      <rPr>
        <b/>
        <vertAlign val="subscript"/>
        <sz val="11"/>
        <color theme="1"/>
        <rFont val="Charter"/>
      </rPr>
      <t>60</t>
    </r>
    <r>
      <rPr>
        <b/>
        <sz val="11"/>
        <color theme="1"/>
        <rFont val="Charter"/>
      </rPr>
      <t>H</t>
    </r>
    <r>
      <rPr>
        <b/>
        <vertAlign val="subscript"/>
        <sz val="11"/>
        <color theme="1"/>
        <rFont val="Charter"/>
      </rPr>
      <t>89</t>
    </r>
    <r>
      <rPr>
        <b/>
        <sz val="11"/>
        <color theme="1"/>
        <rFont val="Charter"/>
      </rPr>
      <t>N</t>
    </r>
    <r>
      <rPr>
        <b/>
        <vertAlign val="subscript"/>
        <sz val="11"/>
        <color theme="1"/>
        <rFont val="Charter"/>
      </rPr>
      <t>0.34</t>
    </r>
    <r>
      <rPr>
        <b/>
        <sz val="11"/>
        <color theme="1"/>
        <rFont val="Charter"/>
      </rPr>
      <t>S</t>
    </r>
    <r>
      <rPr>
        <b/>
        <vertAlign val="subscript"/>
        <sz val="11"/>
        <color theme="1"/>
        <rFont val="Charter"/>
      </rPr>
      <t>0.39</t>
    </r>
    <r>
      <rPr>
        <b/>
        <sz val="11"/>
        <color theme="1"/>
        <rFont val="Charter"/>
      </rPr>
      <t>O</t>
    </r>
    <r>
      <rPr>
        <b/>
        <vertAlign val="subscript"/>
        <sz val="11"/>
        <color theme="1"/>
        <rFont val="Charter"/>
      </rPr>
      <t>0.18</t>
    </r>
    <r>
      <rPr>
        <sz val="11"/>
        <color theme="1"/>
        <rFont val="Calibri"/>
        <family val="2"/>
        <scheme val="minor"/>
      </rPr>
      <t/>
    </r>
  </si>
  <si>
    <r>
      <t>C</t>
    </r>
    <r>
      <rPr>
        <b/>
        <vertAlign val="subscript"/>
        <sz val="11"/>
        <color theme="1"/>
        <rFont val="Charter"/>
      </rPr>
      <t>60</t>
    </r>
    <r>
      <rPr>
        <b/>
        <sz val="11"/>
        <color theme="1"/>
        <rFont val="Charter"/>
      </rPr>
      <t>H</t>
    </r>
    <r>
      <rPr>
        <b/>
        <vertAlign val="subscript"/>
        <sz val="11"/>
        <color theme="1"/>
        <rFont val="Charter"/>
      </rPr>
      <t>91</t>
    </r>
    <r>
      <rPr>
        <b/>
        <sz val="11"/>
        <color theme="1"/>
        <rFont val="Charter"/>
      </rPr>
      <t>N</t>
    </r>
    <r>
      <rPr>
        <b/>
        <vertAlign val="subscript"/>
        <sz val="11"/>
        <color theme="1"/>
        <rFont val="Charter"/>
      </rPr>
      <t>0.34</t>
    </r>
    <r>
      <rPr>
        <b/>
        <sz val="11"/>
        <color theme="1"/>
        <rFont val="Charter"/>
      </rPr>
      <t>S</t>
    </r>
    <r>
      <rPr>
        <b/>
        <vertAlign val="subscript"/>
        <sz val="11"/>
        <color theme="1"/>
        <rFont val="Charter"/>
      </rPr>
      <t>0.59</t>
    </r>
    <r>
      <rPr>
        <b/>
        <sz val="11"/>
        <color theme="1"/>
        <rFont val="Charter"/>
      </rPr>
      <t>O</t>
    </r>
    <r>
      <rPr>
        <b/>
        <vertAlign val="subscript"/>
        <sz val="11"/>
        <color theme="1"/>
        <rFont val="Charter"/>
      </rPr>
      <t>0.36</t>
    </r>
  </si>
  <si>
    <r>
      <t>C</t>
    </r>
    <r>
      <rPr>
        <b/>
        <vertAlign val="subscript"/>
        <sz val="11"/>
        <color theme="1"/>
        <rFont val="Charter"/>
      </rPr>
      <t>86</t>
    </r>
    <r>
      <rPr>
        <b/>
        <sz val="11"/>
        <color theme="1"/>
        <rFont val="Charter"/>
      </rPr>
      <t>H</t>
    </r>
    <r>
      <rPr>
        <b/>
        <vertAlign val="subscript"/>
        <sz val="11"/>
        <color theme="1"/>
        <rFont val="Charter"/>
      </rPr>
      <t>107</t>
    </r>
    <r>
      <rPr>
        <b/>
        <sz val="11"/>
        <color theme="1"/>
        <rFont val="Charter"/>
      </rPr>
      <t>N</t>
    </r>
    <r>
      <rPr>
        <b/>
        <vertAlign val="subscript"/>
        <sz val="11"/>
        <color theme="1"/>
        <rFont val="Charter"/>
      </rPr>
      <t>1.22</t>
    </r>
    <r>
      <rPr>
        <b/>
        <sz val="11"/>
        <color theme="1"/>
        <rFont val="Charter"/>
      </rPr>
      <t>S</t>
    </r>
    <r>
      <rPr>
        <b/>
        <vertAlign val="subscript"/>
        <sz val="11"/>
        <color theme="1"/>
        <rFont val="Charter"/>
      </rPr>
      <t>1.47</t>
    </r>
    <r>
      <rPr>
        <b/>
        <sz val="11"/>
        <color theme="1"/>
        <rFont val="Charter"/>
      </rPr>
      <t>O</t>
    </r>
    <r>
      <rPr>
        <b/>
        <vertAlign val="subscript"/>
        <sz val="11"/>
        <color theme="1"/>
        <rFont val="Charter"/>
      </rPr>
      <t>2.16</t>
    </r>
  </si>
  <si>
    <r>
      <t>C</t>
    </r>
    <r>
      <rPr>
        <b/>
        <vertAlign val="subscript"/>
        <sz val="11"/>
        <color theme="1"/>
        <rFont val="Charter"/>
      </rPr>
      <t>163</t>
    </r>
    <r>
      <rPr>
        <b/>
        <sz val="11"/>
        <color theme="1"/>
        <rFont val="Charter"/>
      </rPr>
      <t>H</t>
    </r>
    <r>
      <rPr>
        <b/>
        <vertAlign val="subscript"/>
        <sz val="11"/>
        <color theme="1"/>
        <rFont val="Charter"/>
      </rPr>
      <t>199</t>
    </r>
    <r>
      <rPr>
        <b/>
        <sz val="11"/>
        <color theme="1"/>
        <rFont val="Charter"/>
      </rPr>
      <t>N</t>
    </r>
    <r>
      <rPr>
        <b/>
        <vertAlign val="subscript"/>
        <sz val="11"/>
        <color theme="1"/>
        <rFont val="Charter"/>
      </rPr>
      <t>2.63</t>
    </r>
    <r>
      <rPr>
        <b/>
        <sz val="11"/>
        <color theme="1"/>
        <rFont val="Charter"/>
      </rPr>
      <t>S</t>
    </r>
    <r>
      <rPr>
        <b/>
        <vertAlign val="subscript"/>
        <sz val="11"/>
        <color theme="1"/>
        <rFont val="Charter"/>
      </rPr>
      <t>1.83</t>
    </r>
    <r>
      <rPr>
        <b/>
        <sz val="11"/>
        <color theme="1"/>
        <rFont val="Charter"/>
      </rPr>
      <t>O</t>
    </r>
    <r>
      <rPr>
        <b/>
        <vertAlign val="subscript"/>
        <sz val="11"/>
        <color theme="1"/>
        <rFont val="Charter"/>
      </rPr>
      <t>5.39</t>
    </r>
    <r>
      <rPr>
        <sz val="11"/>
        <color theme="1"/>
        <rFont val="Calibri"/>
        <family val="2"/>
        <scheme val="minor"/>
      </rPr>
      <t/>
    </r>
  </si>
  <si>
    <r>
      <t>C</t>
    </r>
    <r>
      <rPr>
        <b/>
        <vertAlign val="subscript"/>
        <sz val="11"/>
        <color theme="1"/>
        <rFont val="Charter"/>
      </rPr>
      <t>165</t>
    </r>
    <r>
      <rPr>
        <b/>
        <sz val="11"/>
        <color theme="1"/>
        <rFont val="Charter"/>
      </rPr>
      <t>H</t>
    </r>
    <r>
      <rPr>
        <b/>
        <vertAlign val="subscript"/>
        <sz val="11"/>
        <color theme="1"/>
        <rFont val="Charter"/>
      </rPr>
      <t>212</t>
    </r>
    <r>
      <rPr>
        <b/>
        <sz val="11"/>
        <color theme="1"/>
        <rFont val="Charter"/>
      </rPr>
      <t>N</t>
    </r>
    <r>
      <rPr>
        <b/>
        <vertAlign val="subscript"/>
        <sz val="11"/>
        <color theme="1"/>
        <rFont val="Charter"/>
      </rPr>
      <t>2.7</t>
    </r>
    <r>
      <rPr>
        <b/>
        <sz val="11"/>
        <color theme="1"/>
        <rFont val="Charter"/>
      </rPr>
      <t>S</t>
    </r>
    <r>
      <rPr>
        <b/>
        <vertAlign val="subscript"/>
        <sz val="11"/>
        <color theme="1"/>
        <rFont val="Charter"/>
      </rPr>
      <t>1.86</t>
    </r>
    <r>
      <rPr>
        <b/>
        <sz val="11"/>
        <color theme="1"/>
        <rFont val="Charter"/>
      </rPr>
      <t>O</t>
    </r>
    <r>
      <rPr>
        <b/>
        <vertAlign val="subscript"/>
        <sz val="11"/>
        <color theme="1"/>
        <rFont val="Charter"/>
      </rPr>
      <t>9.33</t>
    </r>
    <r>
      <rPr>
        <sz val="11"/>
        <color theme="1"/>
        <rFont val="Calibri"/>
        <family val="2"/>
        <scheme val="minor"/>
      </rPr>
      <t/>
    </r>
  </si>
  <si>
    <r>
      <t>C</t>
    </r>
    <r>
      <rPr>
        <b/>
        <vertAlign val="subscript"/>
        <sz val="11"/>
        <color theme="1"/>
        <rFont val="Charter"/>
      </rPr>
      <t>122</t>
    </r>
    <r>
      <rPr>
        <b/>
        <sz val="11"/>
        <color theme="1"/>
        <rFont val="Charter"/>
      </rPr>
      <t>H</t>
    </r>
    <r>
      <rPr>
        <b/>
        <vertAlign val="subscript"/>
        <sz val="11"/>
        <color theme="1"/>
        <rFont val="Charter"/>
      </rPr>
      <t>144</t>
    </r>
    <r>
      <rPr>
        <b/>
        <sz val="11"/>
        <color theme="1"/>
        <rFont val="Charter"/>
      </rPr>
      <t>N</t>
    </r>
    <r>
      <rPr>
        <b/>
        <vertAlign val="subscript"/>
        <sz val="11"/>
        <color theme="1"/>
        <rFont val="Charter"/>
      </rPr>
      <t>2.25</t>
    </r>
    <r>
      <rPr>
        <b/>
        <sz val="11"/>
        <color theme="1"/>
        <rFont val="Charter"/>
      </rPr>
      <t>S</t>
    </r>
    <r>
      <rPr>
        <b/>
        <vertAlign val="subscript"/>
        <sz val="11"/>
        <color theme="1"/>
        <rFont val="Charter"/>
      </rPr>
      <t>0.88</t>
    </r>
    <r>
      <rPr>
        <b/>
        <sz val="11"/>
        <color theme="1"/>
        <rFont val="Charter"/>
      </rPr>
      <t>O</t>
    </r>
    <r>
      <rPr>
        <b/>
        <vertAlign val="subscript"/>
        <sz val="11"/>
        <color theme="1"/>
        <rFont val="Charter"/>
      </rPr>
      <t>4.18</t>
    </r>
  </si>
  <si>
    <r>
      <t>C</t>
    </r>
    <r>
      <rPr>
        <b/>
        <vertAlign val="subscript"/>
        <sz val="11"/>
        <color theme="1"/>
        <rFont val="Charter"/>
      </rPr>
      <t>133</t>
    </r>
    <r>
      <rPr>
        <b/>
        <sz val="11"/>
        <color theme="1"/>
        <rFont val="Charter"/>
      </rPr>
      <t>H</t>
    </r>
    <r>
      <rPr>
        <b/>
        <vertAlign val="subscript"/>
        <sz val="11"/>
        <color theme="1"/>
        <rFont val="Charter"/>
      </rPr>
      <t>164</t>
    </r>
    <r>
      <rPr>
        <b/>
        <sz val="11"/>
        <color theme="1"/>
        <rFont val="Charter"/>
      </rPr>
      <t>N</t>
    </r>
    <r>
      <rPr>
        <b/>
        <vertAlign val="subscript"/>
        <sz val="11"/>
        <color theme="1"/>
        <rFont val="Charter"/>
      </rPr>
      <t>2.35</t>
    </r>
    <r>
      <rPr>
        <b/>
        <sz val="11"/>
        <color theme="1"/>
        <rFont val="Charter"/>
      </rPr>
      <t>S</t>
    </r>
    <r>
      <rPr>
        <b/>
        <vertAlign val="subscript"/>
        <sz val="11"/>
        <color theme="1"/>
        <rFont val="Charter"/>
      </rPr>
      <t>1.47</t>
    </r>
    <r>
      <rPr>
        <b/>
        <sz val="11"/>
        <color theme="1"/>
        <rFont val="Charter"/>
      </rPr>
      <t>O</t>
    </r>
    <r>
      <rPr>
        <b/>
        <vertAlign val="subscript"/>
        <sz val="11"/>
        <color theme="1"/>
        <rFont val="Charter"/>
      </rPr>
      <t>4.58</t>
    </r>
    <r>
      <rPr>
        <sz val="11"/>
        <color theme="1"/>
        <rFont val="Calibri"/>
        <family val="2"/>
        <scheme val="minor"/>
      </rPr>
      <t/>
    </r>
  </si>
  <si>
    <r>
      <t>C</t>
    </r>
    <r>
      <rPr>
        <b/>
        <vertAlign val="subscript"/>
        <sz val="11"/>
        <color theme="1"/>
        <rFont val="Charter"/>
      </rPr>
      <t>147</t>
    </r>
    <r>
      <rPr>
        <b/>
        <sz val="11"/>
        <color theme="1"/>
        <rFont val="Charter"/>
      </rPr>
      <t>H</t>
    </r>
    <r>
      <rPr>
        <b/>
        <vertAlign val="subscript"/>
        <sz val="11"/>
        <color theme="1"/>
        <rFont val="Charter"/>
      </rPr>
      <t>158</t>
    </r>
    <r>
      <rPr>
        <b/>
        <sz val="11"/>
        <color theme="1"/>
        <rFont val="Charter"/>
      </rPr>
      <t>N</t>
    </r>
    <r>
      <rPr>
        <b/>
        <vertAlign val="subscript"/>
        <sz val="11"/>
        <color theme="1"/>
        <rFont val="Charter"/>
      </rPr>
      <t>2.07</t>
    </r>
    <r>
      <rPr>
        <b/>
        <sz val="11"/>
        <color theme="1"/>
        <rFont val="Charter"/>
      </rPr>
      <t>S</t>
    </r>
    <r>
      <rPr>
        <b/>
        <vertAlign val="subscript"/>
        <sz val="11"/>
        <color theme="1"/>
        <rFont val="Charter"/>
      </rPr>
      <t>4.94</t>
    </r>
    <r>
      <rPr>
        <b/>
        <sz val="11"/>
        <color theme="1"/>
        <rFont val="Charter"/>
      </rPr>
      <t>O</t>
    </r>
    <r>
      <rPr>
        <b/>
        <vertAlign val="subscript"/>
        <sz val="11"/>
        <color theme="1"/>
        <rFont val="Charter"/>
      </rPr>
      <t>6.05</t>
    </r>
    <r>
      <rPr>
        <sz val="11"/>
        <color theme="1"/>
        <rFont val="Calibri"/>
        <family val="2"/>
        <scheme val="minor"/>
      </rPr>
      <t/>
    </r>
  </si>
  <si>
    <r>
      <t>C</t>
    </r>
    <r>
      <rPr>
        <b/>
        <vertAlign val="subscript"/>
        <sz val="11"/>
        <color theme="1"/>
        <rFont val="Charter"/>
      </rPr>
      <t>264</t>
    </r>
    <r>
      <rPr>
        <b/>
        <sz val="11"/>
        <color theme="1"/>
        <rFont val="Charter"/>
      </rPr>
      <t>H</t>
    </r>
    <r>
      <rPr>
        <b/>
        <vertAlign val="subscript"/>
        <sz val="11"/>
        <color theme="1"/>
        <rFont val="Charter"/>
      </rPr>
      <t>333</t>
    </r>
    <r>
      <rPr>
        <b/>
        <sz val="11"/>
        <color theme="1"/>
        <rFont val="Charter"/>
      </rPr>
      <t>N</t>
    </r>
    <r>
      <rPr>
        <b/>
        <vertAlign val="subscript"/>
        <sz val="11"/>
        <color theme="1"/>
        <rFont val="Charter"/>
      </rPr>
      <t>4.97</t>
    </r>
    <r>
      <rPr>
        <b/>
        <sz val="11"/>
        <color theme="1"/>
        <rFont val="Charter"/>
      </rPr>
      <t>S</t>
    </r>
    <r>
      <rPr>
        <b/>
        <vertAlign val="subscript"/>
        <sz val="11"/>
        <color theme="1"/>
        <rFont val="Charter"/>
      </rPr>
      <t>3.01</t>
    </r>
    <r>
      <rPr>
        <b/>
        <sz val="11"/>
        <color theme="1"/>
        <rFont val="Charter"/>
      </rPr>
      <t>O</t>
    </r>
    <r>
      <rPr>
        <b/>
        <vertAlign val="subscript"/>
        <sz val="11"/>
        <color theme="1"/>
        <rFont val="Charter"/>
      </rPr>
      <t>6.95</t>
    </r>
    <r>
      <rPr>
        <sz val="11"/>
        <color theme="1"/>
        <rFont val="Calibri"/>
        <family val="2"/>
        <scheme val="minor"/>
      </rPr>
      <t/>
    </r>
  </si>
  <si>
    <r>
      <t>C</t>
    </r>
    <r>
      <rPr>
        <b/>
        <vertAlign val="subscript"/>
        <sz val="11"/>
        <color theme="1"/>
        <rFont val="Charter"/>
      </rPr>
      <t>330</t>
    </r>
    <r>
      <rPr>
        <b/>
        <sz val="11"/>
        <color theme="1"/>
        <rFont val="Charter"/>
      </rPr>
      <t>H</t>
    </r>
    <r>
      <rPr>
        <b/>
        <vertAlign val="subscript"/>
        <sz val="11"/>
        <color theme="1"/>
        <rFont val="Charter"/>
      </rPr>
      <t>411</t>
    </r>
    <r>
      <rPr>
        <b/>
        <sz val="11"/>
        <color theme="1"/>
        <rFont val="Charter"/>
      </rPr>
      <t>N</t>
    </r>
    <r>
      <rPr>
        <b/>
        <vertAlign val="subscript"/>
        <sz val="11"/>
        <color theme="1"/>
        <rFont val="Charter"/>
      </rPr>
      <t>6.3</t>
    </r>
    <r>
      <rPr>
        <b/>
        <sz val="11"/>
        <color theme="1"/>
        <rFont val="Charter"/>
      </rPr>
      <t>S</t>
    </r>
    <r>
      <rPr>
        <b/>
        <vertAlign val="subscript"/>
        <sz val="11"/>
        <color theme="1"/>
        <rFont val="Charter"/>
      </rPr>
      <t>3.62</t>
    </r>
    <r>
      <rPr>
        <b/>
        <sz val="11"/>
        <color theme="1"/>
        <rFont val="Charter"/>
      </rPr>
      <t>O</t>
    </r>
    <r>
      <rPr>
        <b/>
        <vertAlign val="subscript"/>
        <sz val="11"/>
        <color theme="1"/>
        <rFont val="Charter"/>
      </rPr>
      <t>10.58</t>
    </r>
    <r>
      <rPr>
        <sz val="11"/>
        <color theme="1"/>
        <rFont val="Calibri"/>
        <family val="2"/>
        <scheme val="minor"/>
      </rPr>
      <t/>
    </r>
  </si>
  <si>
    <r>
      <t>C</t>
    </r>
    <r>
      <rPr>
        <b/>
        <vertAlign val="subscript"/>
        <sz val="11"/>
        <color theme="1"/>
        <rFont val="Charter"/>
      </rPr>
      <t>199</t>
    </r>
    <r>
      <rPr>
        <b/>
        <sz val="11"/>
        <color theme="1"/>
        <rFont val="Charter"/>
      </rPr>
      <t>H</t>
    </r>
    <r>
      <rPr>
        <b/>
        <vertAlign val="subscript"/>
        <sz val="11"/>
        <color theme="1"/>
        <rFont val="Charter"/>
      </rPr>
      <t>218</t>
    </r>
    <r>
      <rPr>
        <b/>
        <sz val="11"/>
        <color theme="1"/>
        <rFont val="Charter"/>
      </rPr>
      <t>N</t>
    </r>
    <r>
      <rPr>
        <b/>
        <vertAlign val="subscript"/>
        <sz val="11"/>
        <color theme="1"/>
        <rFont val="Charter"/>
      </rPr>
      <t>4.2</t>
    </r>
    <r>
      <rPr>
        <b/>
        <sz val="11"/>
        <color theme="1"/>
        <rFont val="Charter"/>
      </rPr>
      <t>S</t>
    </r>
    <r>
      <rPr>
        <b/>
        <vertAlign val="subscript"/>
        <sz val="11"/>
        <color theme="1"/>
        <rFont val="Charter"/>
      </rPr>
      <t>1.57</t>
    </r>
    <r>
      <rPr>
        <b/>
        <sz val="11"/>
        <color theme="1"/>
        <rFont val="Charter"/>
      </rPr>
      <t>O</t>
    </r>
    <r>
      <rPr>
        <b/>
        <vertAlign val="subscript"/>
        <sz val="11"/>
        <color theme="1"/>
        <rFont val="Charter"/>
      </rPr>
      <t>8.23</t>
    </r>
    <r>
      <rPr>
        <sz val="11"/>
        <color theme="1"/>
        <rFont val="Calibri"/>
        <family val="2"/>
        <scheme val="minor"/>
      </rPr>
      <t/>
    </r>
  </si>
  <si>
    <r>
      <t>H</t>
    </r>
    <r>
      <rPr>
        <vertAlign val="subscript"/>
        <sz val="11"/>
        <color theme="1"/>
        <rFont val="Charter"/>
      </rPr>
      <t>2</t>
    </r>
    <r>
      <rPr>
        <sz val="11"/>
        <color theme="1"/>
        <rFont val="Charter"/>
      </rPr>
      <t>0-Input [molecules]</t>
    </r>
  </si>
  <si>
    <r>
      <t>H</t>
    </r>
    <r>
      <rPr>
        <vertAlign val="subscript"/>
        <sz val="11"/>
        <color theme="1"/>
        <rFont val="Charter"/>
      </rPr>
      <t>2</t>
    </r>
    <r>
      <rPr>
        <sz val="11"/>
        <color theme="1"/>
        <rFont val="Charter"/>
      </rPr>
      <t xml:space="preserve"> Output [molecules]</t>
    </r>
  </si>
  <si>
    <r>
      <t>CO</t>
    </r>
    <r>
      <rPr>
        <vertAlign val="subscript"/>
        <sz val="11"/>
        <color theme="1"/>
        <rFont val="Charter"/>
      </rPr>
      <t>2</t>
    </r>
    <r>
      <rPr>
        <sz val="11"/>
        <color theme="1"/>
        <rFont val="Charter"/>
      </rPr>
      <t xml:space="preserve"> release [molecules]</t>
    </r>
  </si>
  <si>
    <r>
      <t xml:space="preserve">  ∑O</t>
    </r>
    <r>
      <rPr>
        <vertAlign val="subscript"/>
        <sz val="11"/>
        <color theme="1"/>
        <rFont val="Charter"/>
      </rPr>
      <t>2</t>
    </r>
    <r>
      <rPr>
        <sz val="11"/>
        <color theme="1"/>
        <rFont val="Charter"/>
      </rPr>
      <t xml:space="preserve"> input</t>
    </r>
  </si>
  <si>
    <r>
      <t>C</t>
    </r>
    <r>
      <rPr>
        <b/>
        <vertAlign val="subscript"/>
        <sz val="11"/>
        <color theme="1"/>
        <rFont val="Charter"/>
      </rPr>
      <t>226</t>
    </r>
    <r>
      <rPr>
        <b/>
        <sz val="11"/>
        <color theme="1"/>
        <rFont val="Charter"/>
      </rPr>
      <t>H</t>
    </r>
    <r>
      <rPr>
        <b/>
        <vertAlign val="subscript"/>
        <sz val="11"/>
        <color theme="1"/>
        <rFont val="Charter"/>
      </rPr>
      <t>241</t>
    </r>
    <r>
      <rPr>
        <b/>
        <sz val="11"/>
        <color theme="1"/>
        <rFont val="Charter"/>
      </rPr>
      <t>N</t>
    </r>
    <r>
      <rPr>
        <b/>
        <vertAlign val="subscript"/>
        <sz val="11"/>
        <color theme="1"/>
        <rFont val="Charter"/>
      </rPr>
      <t>4.62</t>
    </r>
    <r>
      <rPr>
        <b/>
        <sz val="11"/>
        <color theme="1"/>
        <rFont val="Charter"/>
      </rPr>
      <t>S</t>
    </r>
    <r>
      <rPr>
        <b/>
        <vertAlign val="subscript"/>
        <sz val="11"/>
        <color theme="1"/>
        <rFont val="Charter"/>
      </rPr>
      <t>3.03</t>
    </r>
    <r>
      <rPr>
        <b/>
        <sz val="11"/>
        <color theme="1"/>
        <rFont val="Charter"/>
      </rPr>
      <t>O</t>
    </r>
    <r>
      <rPr>
        <b/>
        <vertAlign val="subscript"/>
        <sz val="11"/>
        <color theme="1"/>
        <rFont val="Charter"/>
      </rPr>
      <t>7.55</t>
    </r>
    <r>
      <rPr>
        <sz val="11"/>
        <color theme="1"/>
        <rFont val="Calibri"/>
        <family val="2"/>
        <scheme val="minor"/>
      </rPr>
      <t/>
    </r>
  </si>
  <si>
    <t>*n</t>
  </si>
  <si>
    <t>(</t>
  </si>
  <si>
    <t>)</t>
  </si>
  <si>
    <t>Country</t>
  </si>
  <si>
    <t>Rank</t>
  </si>
  <si>
    <t>Source: World Bank, IMF calculations</t>
  </si>
  <si>
    <t>Region/country</t>
  </si>
  <si>
    <t>GDP per capita (PPP)</t>
  </si>
  <si>
    <t>Mortality value</t>
  </si>
  <si>
    <t>Mortality value relative to OECD</t>
  </si>
  <si>
    <t>2016/201 ratio</t>
  </si>
  <si>
    <t>Bermuda</t>
  </si>
  <si>
    <t>Canada</t>
  </si>
  <si>
    <t>Mexico</t>
  </si>
  <si>
    <t>United States</t>
  </si>
  <si>
    <t>Antigua and Barbuda</t>
  </si>
  <si>
    <t>Argentina</t>
  </si>
  <si>
    <t>Bahamas, The</t>
  </si>
  <si>
    <t>Barbados</t>
  </si>
  <si>
    <t>Belize</t>
  </si>
  <si>
    <t>Bolivia</t>
  </si>
  <si>
    <t>Brazil</t>
  </si>
  <si>
    <t>Chile</t>
  </si>
  <si>
    <t>Colombia</t>
  </si>
  <si>
    <t>Costa Rica</t>
  </si>
  <si>
    <t>Cuba</t>
  </si>
  <si>
    <t>Dominica</t>
  </si>
  <si>
    <t>Dominican Republic</t>
  </si>
  <si>
    <t>Ecuador</t>
  </si>
  <si>
    <t>El Salvador</t>
  </si>
  <si>
    <t>Grenada</t>
  </si>
  <si>
    <t>Guatemala</t>
  </si>
  <si>
    <t>Guyana</t>
  </si>
  <si>
    <t>Haiti</t>
  </si>
  <si>
    <t>Honduras</t>
  </si>
  <si>
    <t>Jamaica</t>
  </si>
  <si>
    <t>Nicaragua</t>
  </si>
  <si>
    <t>Panama</t>
  </si>
  <si>
    <t>Paraguay</t>
  </si>
  <si>
    <t>Peru</t>
  </si>
  <si>
    <t>Saint Kitts and Nevis</t>
  </si>
  <si>
    <t>Saint Lucia</t>
  </si>
  <si>
    <t>Saint Vincent/Grenadines</t>
  </si>
  <si>
    <t>Suriname</t>
  </si>
  <si>
    <t>Trinidad and Tobago</t>
  </si>
  <si>
    <t>Uruguay</t>
  </si>
  <si>
    <t>Venezuela</t>
  </si>
  <si>
    <t>Albania</t>
  </si>
  <si>
    <t>Austria</t>
  </si>
  <si>
    <t>Belgium</t>
  </si>
  <si>
    <t>Bosnia and Herzegovina</t>
  </si>
  <si>
    <t>Bulgaria</t>
  </si>
  <si>
    <t>Croatia</t>
  </si>
  <si>
    <t>Cyprus</t>
  </si>
  <si>
    <t>Czech Republic</t>
  </si>
  <si>
    <t>Denmark</t>
  </si>
  <si>
    <t>Finland</t>
  </si>
  <si>
    <t>France</t>
  </si>
  <si>
    <t>Germany</t>
  </si>
  <si>
    <t>Greece</t>
  </si>
  <si>
    <t>Hungary</t>
  </si>
  <si>
    <t>Iceland</t>
  </si>
  <si>
    <t>Ireland</t>
  </si>
  <si>
    <t>Italy</t>
  </si>
  <si>
    <t>Luxembourg</t>
  </si>
  <si>
    <t>Macedonia</t>
  </si>
  <si>
    <t>Malta</t>
  </si>
  <si>
    <t>Montenegro</t>
  </si>
  <si>
    <t>Netherlands</t>
  </si>
  <si>
    <t>Norway</t>
  </si>
  <si>
    <t>Poland</t>
  </si>
  <si>
    <t>Portugal</t>
  </si>
  <si>
    <t>Romania</t>
  </si>
  <si>
    <t>Serbia</t>
  </si>
  <si>
    <t>Slovakia</t>
  </si>
  <si>
    <t>Slovenia</t>
  </si>
  <si>
    <t>Spain</t>
  </si>
  <si>
    <t>Sweden</t>
  </si>
  <si>
    <t>Switzerland</t>
  </si>
  <si>
    <t>Turkey</t>
  </si>
  <si>
    <t>United Kingdom</t>
  </si>
  <si>
    <t>Armenia</t>
  </si>
  <si>
    <t>Azerbaijan</t>
  </si>
  <si>
    <t>Belarus</t>
  </si>
  <si>
    <t>Estonia</t>
  </si>
  <si>
    <t>Georgia</t>
  </si>
  <si>
    <t>Kazakhstan</t>
  </si>
  <si>
    <t>Kyrgyzstan</t>
  </si>
  <si>
    <t>Latvia</t>
  </si>
  <si>
    <t>Lithuania</t>
  </si>
  <si>
    <t>Moldova</t>
  </si>
  <si>
    <t>Russia</t>
  </si>
  <si>
    <t>Tajikistan</t>
  </si>
  <si>
    <t>Turkmenistan</t>
  </si>
  <si>
    <t>Ukraine</t>
  </si>
  <si>
    <t>Uzbekistan</t>
  </si>
  <si>
    <t>Bahrain</t>
  </si>
  <si>
    <t>Iran</t>
  </si>
  <si>
    <t>Iraq</t>
  </si>
  <si>
    <t>Israel</t>
  </si>
  <si>
    <t>Jordan</t>
  </si>
  <si>
    <t>Kuwait</t>
  </si>
  <si>
    <t>Lebanon</t>
  </si>
  <si>
    <t>Oman</t>
  </si>
  <si>
    <t>Palestine</t>
  </si>
  <si>
    <t>Qatar</t>
  </si>
  <si>
    <t>Saudi Arabia</t>
  </si>
  <si>
    <t>Syria</t>
  </si>
  <si>
    <t>United Arab Emirates</t>
  </si>
  <si>
    <t>Yemen</t>
  </si>
  <si>
    <t>Algeria</t>
  </si>
  <si>
    <t>Angola</t>
  </si>
  <si>
    <t>Benin</t>
  </si>
  <si>
    <t>Botswana</t>
  </si>
  <si>
    <t>Burkina Faso</t>
  </si>
  <si>
    <t>Burundi</t>
  </si>
  <si>
    <t>Cameroon</t>
  </si>
  <si>
    <t>Cape Verde</t>
  </si>
  <si>
    <t>Central African Republic</t>
  </si>
  <si>
    <t>Chad</t>
  </si>
  <si>
    <t>Comoros</t>
  </si>
  <si>
    <t>Congo (Brazzaville)</t>
  </si>
  <si>
    <t>Congo (Kinshasa)</t>
  </si>
  <si>
    <t>Cote dIvoire (IvoryCoast)</t>
  </si>
  <si>
    <t>Djibouti</t>
  </si>
  <si>
    <t>Egypt</t>
  </si>
  <si>
    <t>Equatorial Guinea</t>
  </si>
  <si>
    <t>Eritrea</t>
  </si>
  <si>
    <t>Ethiopia</t>
  </si>
  <si>
    <t>Gabon</t>
  </si>
  <si>
    <t>Gambia, The</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</si>
  <si>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</si>
  <si>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</si>
  <si>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</si>
  <si>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</si>
  <si>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</si>
  <si>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</si>
  <si>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</si>
  <si>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</si>
  <si>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</si>
  <si>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</si>
  <si>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</si>
  <si>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</si>
  <si>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</si>
  <si>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</si>
  <si>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</si>
  <si>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</si>
  <si>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</si>
  <si>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</si>
  <si>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</si>
  <si>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</si>
  <si>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</si>
  <si>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</si>
  <si>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</si>
  <si>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</si>
  <si>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Sudan and South Sudan</t>
  </si>
  <si>
    <t>Swaziland</t>
  </si>
  <si>
    <t>Tanzania</t>
  </si>
  <si>
    <t>Togo</t>
  </si>
  <si>
    <t>Tunisia</t>
  </si>
  <si>
    <t>Uganda</t>
  </si>
  <si>
    <t>Zambia</t>
  </si>
  <si>
    <t>Zimbabwe</t>
  </si>
  <si>
    <t>Afghanistan</t>
  </si>
  <si>
    <t>Australia</t>
  </si>
  <si>
    <t>Bangladesh</t>
  </si>
  <si>
    <t>Bhutan</t>
  </si>
  <si>
    <t>Brunei</t>
  </si>
  <si>
    <t>Burma (Myanmar)</t>
  </si>
  <si>
    <t>Cambodia</t>
  </si>
  <si>
    <t>China</t>
  </si>
  <si>
    <t>Fiji</t>
  </si>
  <si>
    <t>Hong Kong</t>
  </si>
  <si>
    <t>India</t>
  </si>
  <si>
    <t>Indonesia</t>
  </si>
  <si>
    <t>Japan</t>
  </si>
  <si>
    <t>Kiribati</t>
  </si>
  <si>
    <t>Korea, North</t>
  </si>
  <si>
    <t>Korea, South</t>
  </si>
  <si>
    <t>Laos</t>
  </si>
  <si>
    <t>Malaysia</t>
  </si>
  <si>
    <t>Maldives</t>
  </si>
  <si>
    <t>Mongolia</t>
  </si>
  <si>
    <t>Nepal</t>
  </si>
  <si>
    <t>New Zealand</t>
  </si>
  <si>
    <t>Pakistan</t>
  </si>
  <si>
    <t>Papua New Guinea</t>
  </si>
  <si>
    <t>Philippines</t>
  </si>
  <si>
    <t>Samoa</t>
  </si>
  <si>
    <t>Singapore</t>
  </si>
  <si>
    <t>Solomon Islands</t>
  </si>
  <si>
    <t>Sri Lanka</t>
  </si>
  <si>
    <t>Taiwan</t>
  </si>
  <si>
    <t>Thailand</t>
  </si>
  <si>
    <t>Timor-Leste (East Timor)</t>
  </si>
  <si>
    <t>Tonga</t>
  </si>
  <si>
    <t>Vanuatu</t>
  </si>
  <si>
    <t>Vietnam</t>
  </si>
  <si>
    <t>Steam Methane Reforming</t>
  </si>
  <si>
    <t>Catalytic POX of coal</t>
  </si>
  <si>
    <t>Non-catalytic POX of coal</t>
  </si>
  <si>
    <t>Catalytic POX of heavy oil, (best case oil substrate)</t>
  </si>
  <si>
    <t>Catalytic POX of heavy oil, (worst case oil substrate)</t>
  </si>
  <si>
    <t>Non-catalytic POX of heavy oil, (best case oil substrate)</t>
  </si>
  <si>
    <t>Non-catalytic POX of heavy oil, (worst case oil substrate)</t>
  </si>
  <si>
    <t>Autothermal Reforming (Methane)</t>
  </si>
  <si>
    <t>Fossil hydrogen</t>
  </si>
  <si>
    <t>Fossil hydrogen (Turquise)</t>
  </si>
  <si>
    <t>Place of origin</t>
  </si>
  <si>
    <t>Density [g/cm³]</t>
  </si>
  <si>
    <t>per 1 kg H2</t>
  </si>
  <si>
    <t>the following mass of oxygen is produced</t>
  </si>
  <si>
    <t>kg H20</t>
  </si>
  <si>
    <t>kg O</t>
  </si>
  <si>
    <t>River/Creek</t>
  </si>
  <si>
    <t>Groundwater</t>
  </si>
  <si>
    <t>Industrial Wastewater</t>
  </si>
  <si>
    <t>Urban Wastewater</t>
  </si>
  <si>
    <t>River</t>
  </si>
  <si>
    <t>Estuary 1</t>
  </si>
  <si>
    <t>Estuary 2</t>
  </si>
  <si>
    <t>Seawater</t>
  </si>
  <si>
    <t>Water grid</t>
  </si>
  <si>
    <t>Cooling towers</t>
  </si>
  <si>
    <t>Rainwater</t>
  </si>
  <si>
    <t>CAPEX</t>
  </si>
  <si>
    <t>OPEX</t>
  </si>
  <si>
    <t>Site A</t>
  </si>
  <si>
    <t>Site B</t>
  </si>
  <si>
    <t>Share of RO expenditures [%]</t>
  </si>
  <si>
    <t>Delta [-]</t>
  </si>
  <si>
    <t>RO only for sea/estuary</t>
  </si>
  <si>
    <t>RO for all sources where applicable (except rainwater)</t>
  </si>
  <si>
    <t xml:space="preserve">is RO cheaper? </t>
  </si>
  <si>
    <r>
      <t>C</t>
    </r>
    <r>
      <rPr>
        <i/>
        <vertAlign val="subscript"/>
        <sz val="11"/>
        <color theme="1"/>
        <rFont val="Charter"/>
      </rPr>
      <t>k</t>
    </r>
  </si>
  <si>
    <r>
      <t>C</t>
    </r>
    <r>
      <rPr>
        <i/>
        <vertAlign val="subscript"/>
        <sz val="11"/>
        <color theme="1"/>
        <rFont val="Charter"/>
      </rPr>
      <t>j</t>
    </r>
  </si>
  <si>
    <t>Source</t>
  </si>
  <si>
    <t>*</t>
  </si>
  <si>
    <t>Site A: semi-urban location on Atlantic coast</t>
  </si>
  <si>
    <t>Site B: rural area far from coast</t>
  </si>
  <si>
    <t>CAPEX, OPEX in €/m³</t>
  </si>
  <si>
    <t>CAPEX min</t>
  </si>
  <si>
    <t>CAPEX max</t>
  </si>
  <si>
    <t>OPEX min</t>
  </si>
  <si>
    <t>OPEX max</t>
  </si>
  <si>
    <t>i</t>
  </si>
  <si>
    <t>j</t>
  </si>
  <si>
    <t>i/j ratio</t>
  </si>
  <si>
    <t>hier anpassen</t>
  </si>
  <si>
    <t>i = number of C atoms, j = number of H atoms</t>
  </si>
  <si>
    <t>u=g/mole</t>
  </si>
  <si>
    <t>reported</t>
  </si>
  <si>
    <t>ideal</t>
  </si>
  <si>
    <t>[kgH20/kgH2]</t>
  </si>
  <si>
    <t>[kgCO2/kgH2]</t>
  </si>
  <si>
    <t>carbon footprint</t>
  </si>
  <si>
    <t>water footprint</t>
  </si>
  <si>
    <t>Technology</t>
  </si>
  <si>
    <t>DF</t>
  </si>
  <si>
    <t>SMR</t>
  </si>
  <si>
    <t>PEMWE (Wind)</t>
  </si>
  <si>
    <r>
      <t>[kgCO</t>
    </r>
    <r>
      <rPr>
        <b/>
        <vertAlign val="subscript"/>
        <sz val="11"/>
        <color rgb="FF000000"/>
        <rFont val="Charter"/>
      </rPr>
      <t>2</t>
    </r>
    <r>
      <rPr>
        <b/>
        <sz val="11"/>
        <color rgb="FF000000"/>
        <rFont val="Charter"/>
      </rPr>
      <t>eq/kgH</t>
    </r>
    <r>
      <rPr>
        <b/>
        <vertAlign val="subscript"/>
        <sz val="11"/>
        <color rgb="FF000000"/>
        <rFont val="Charter"/>
      </rPr>
      <t>2</t>
    </r>
    <r>
      <rPr>
        <b/>
        <sz val="11"/>
        <color rgb="FF000000"/>
        <rFont val="Charter"/>
      </rPr>
      <t>]</t>
    </r>
  </si>
  <si>
    <t>Carbon footprint</t>
  </si>
  <si>
    <t>Ideal</t>
  </si>
  <si>
    <t>reported LCA</t>
  </si>
  <si>
    <t>water source</t>
  </si>
  <si>
    <t>groundwater</t>
  </si>
  <si>
    <t>treated wastewater or surface water</t>
  </si>
  <si>
    <t>seawater</t>
  </si>
  <si>
    <t>m³/m³</t>
  </si>
  <si>
    <t>kgraw/kgH2</t>
  </si>
  <si>
    <t>AWARE</t>
  </si>
  <si>
    <t>Seawater access</t>
  </si>
  <si>
    <t>very much</t>
  </si>
  <si>
    <t>much</t>
  </si>
  <si>
    <t>very low</t>
  </si>
  <si>
    <t>very high</t>
  </si>
  <si>
    <t>Lüderitz</t>
  </si>
  <si>
    <t>Katima Mulilo</t>
  </si>
  <si>
    <t>Punta Arenas</t>
  </si>
  <si>
    <t>Description</t>
  </si>
  <si>
    <t>Calama</t>
  </si>
  <si>
    <t>&gt;1000</t>
  </si>
  <si>
    <t>&gt;1250</t>
  </si>
  <si>
    <t>&gt;1500</t>
  </si>
  <si>
    <t>&gt;1750</t>
  </si>
  <si>
    <t>&gt;100</t>
  </si>
  <si>
    <t>&gt;500</t>
  </si>
  <si>
    <t>&gt;900</t>
  </si>
  <si>
    <t>&gt;700</t>
  </si>
  <si>
    <t>&gt;300</t>
  </si>
  <si>
    <t>Forecast global hydrogen sector demand in sustainable development scenario 2019-2070</t>
  </si>
  <si>
    <t>Forecast hydrogen demand worldwide in a sustainable development scenario from 2019 to 2070, by sector (in million metric tons)</t>
  </si>
  <si>
    <t>Refining</t>
  </si>
  <si>
    <t>Ammonia production</t>
  </si>
  <si>
    <t>Industry</t>
  </si>
  <si>
    <t>Power</t>
  </si>
  <si>
    <t>Synfuel production</t>
  </si>
  <si>
    <t>Transportation</t>
  </si>
  <si>
    <t/>
  </si>
  <si>
    <t>2030</t>
  </si>
  <si>
    <t>2040</t>
  </si>
  <si>
    <t>2050</t>
  </si>
  <si>
    <t>2060</t>
  </si>
  <si>
    <t>2070</t>
  </si>
  <si>
    <t>Statistic as Excel data file</t>
  </si>
  <si>
    <t>Access data</t>
  </si>
  <si>
    <t>Global hydrogen demand is forecast to climb to over 500 million metric tons by 2070. As governments and automakers move away from conventional combustion engines and thus the use of petroleum-based motor fuels, the transportation sector is expected to become the greatest consumer of hydrogen. The sector will demand a forecast 158.2 million metric tons of hydrogen by 2070.</t>
  </si>
  <si>
    <t>IEA</t>
  </si>
  <si>
    <t>Conducted by</t>
  </si>
  <si>
    <t>Survey period</t>
  </si>
  <si>
    <t>Worldwide</t>
  </si>
  <si>
    <t>Type of survey</t>
  </si>
  <si>
    <t>Number of respondents</t>
  </si>
  <si>
    <t>Age group</t>
  </si>
  <si>
    <t>Special characteristics</t>
  </si>
  <si>
    <t>Note</t>
  </si>
  <si>
    <t>Publication</t>
  </si>
  <si>
    <t>Published by</t>
  </si>
  <si>
    <t>Publication date</t>
  </si>
  <si>
    <t>September 2022</t>
  </si>
  <si>
    <t>Original source</t>
  </si>
  <si>
    <t>iea.org</t>
  </si>
  <si>
    <t>760001</t>
  </si>
  <si>
    <t>1m³ water = 1 metric tonne</t>
  </si>
  <si>
    <t xml:space="preserve">Assumptions: </t>
  </si>
  <si>
    <t>water footprint:</t>
  </si>
  <si>
    <t>50% land:</t>
  </si>
  <si>
    <t>50% sea:</t>
  </si>
  <si>
    <t>kgH2O/kgH2</t>
  </si>
  <si>
    <t>avg:</t>
  </si>
  <si>
    <t>Water mass in 2070</t>
  </si>
  <si>
    <t>per year</t>
  </si>
  <si>
    <t>per day</t>
  </si>
  <si>
    <t>per hour</t>
  </si>
  <si>
    <t>per min</t>
  </si>
  <si>
    <t>per sec</t>
  </si>
  <si>
    <t>kg H2O/kgH2</t>
  </si>
  <si>
    <t>raw water intake</t>
  </si>
  <si>
    <t>pure water output</t>
  </si>
  <si>
    <t>mio t</t>
  </si>
  <si>
    <t>tH20/tH2</t>
  </si>
  <si>
    <t>m³</t>
  </si>
  <si>
    <t>Main:</t>
  </si>
  <si>
    <t>m³/s</t>
  </si>
  <si>
    <t>Main(s) raw water consumption</t>
  </si>
  <si>
    <t>kg H2/yr:</t>
  </si>
  <si>
    <t>kWh/yr:</t>
  </si>
  <si>
    <t>TWh/yr:</t>
  </si>
  <si>
    <t>kilo: 10^3</t>
  </si>
  <si>
    <t>Tera: 10^12</t>
  </si>
  <si>
    <t>50kWh/kg</t>
  </si>
  <si>
    <t>Mineral demand for hydrogen technologies (kt)</t>
  </si>
  <si>
    <t>Stated policies scenario</t>
  </si>
  <si>
    <t>Announced pledges scenario</t>
  </si>
  <si>
    <t>Net Zero Emissions by 2050 scenario</t>
  </si>
  <si>
    <t>Hydrogen technologies</t>
  </si>
  <si>
    <t>Copper</t>
  </si>
  <si>
    <t>Cobalt</t>
  </si>
  <si>
    <t>Iridium</t>
  </si>
  <si>
    <t>Nickel</t>
  </si>
  <si>
    <t>PGMs (other than iridum)</t>
  </si>
  <si>
    <t>Zirconium</t>
  </si>
  <si>
    <t>Yttrium</t>
  </si>
  <si>
    <t>Total hydrogen</t>
  </si>
  <si>
    <t>Kumulative</t>
  </si>
  <si>
    <t>relative increase</t>
  </si>
  <si>
    <t xml:space="preserve">retrieved from </t>
  </si>
  <si>
    <t>https://www.iea.org/reports/critical-minerals-market-review-2023</t>
  </si>
  <si>
    <t>Kempten (Allgäu)</t>
  </si>
  <si>
    <t>Iron</t>
  </si>
  <si>
    <t>Lion</t>
  </si>
  <si>
    <t>Zion</t>
  </si>
  <si>
    <t>Wyk auf Föhr</t>
  </si>
  <si>
    <t>yes</t>
  </si>
  <si>
    <t>no</t>
  </si>
  <si>
    <t>Solar Potential</t>
  </si>
  <si>
    <t>Wind Potential</t>
  </si>
  <si>
    <t>City</t>
  </si>
  <si>
    <t>Total Water Availability</t>
  </si>
  <si>
    <t>Average</t>
  </si>
  <si>
    <r>
      <rPr>
        <b/>
        <sz val="11"/>
        <color theme="5" tint="-0.249977111117893"/>
        <rFont val="Charter"/>
      </rPr>
      <t>HCOW</t>
    </r>
    <r>
      <rPr>
        <b/>
        <sz val="11"/>
        <color rgb="FF000000"/>
        <rFont val="Charter"/>
      </rPr>
      <t xml:space="preserve"> = ∑H</t>
    </r>
    <r>
      <rPr>
        <b/>
        <vertAlign val="subscript"/>
        <sz val="11"/>
        <color theme="1"/>
        <rFont val="Charter"/>
      </rPr>
      <t>2</t>
    </r>
    <r>
      <rPr>
        <b/>
        <sz val="11"/>
        <color theme="1"/>
        <rFont val="Charter"/>
      </rPr>
      <t>O input/∑H</t>
    </r>
    <r>
      <rPr>
        <b/>
        <vertAlign val="subscript"/>
        <sz val="11"/>
        <color theme="1"/>
        <rFont val="Charter"/>
      </rPr>
      <t xml:space="preserve">2 </t>
    </r>
    <r>
      <rPr>
        <b/>
        <sz val="11"/>
        <color theme="1"/>
        <rFont val="Charter"/>
      </rPr>
      <t xml:space="preserve">[n] </t>
    </r>
  </si>
  <si>
    <r>
      <t>p</t>
    </r>
    <r>
      <rPr>
        <b/>
        <vertAlign val="subscript"/>
        <sz val="11"/>
        <color theme="1"/>
        <rFont val="Calibri"/>
        <family val="2"/>
      </rPr>
      <t>1</t>
    </r>
  </si>
  <si>
    <r>
      <t>p</t>
    </r>
    <r>
      <rPr>
        <b/>
        <vertAlign val="subscript"/>
        <sz val="11"/>
        <color theme="1"/>
        <rFont val="Calibri"/>
        <family val="2"/>
        <scheme val="minor"/>
      </rPr>
      <t>2</t>
    </r>
  </si>
  <si>
    <r>
      <t>p</t>
    </r>
    <r>
      <rPr>
        <b/>
        <vertAlign val="subscript"/>
        <sz val="11"/>
        <color theme="1"/>
        <rFont val="Calibri"/>
        <family val="2"/>
        <scheme val="minor"/>
      </rPr>
      <t>3</t>
    </r>
  </si>
  <si>
    <r>
      <t>p</t>
    </r>
    <r>
      <rPr>
        <b/>
        <vertAlign val="subscript"/>
        <sz val="11"/>
        <color theme="1"/>
        <rFont val="Calibri"/>
        <family val="2"/>
        <scheme val="minor"/>
      </rPr>
      <t>4</t>
    </r>
  </si>
  <si>
    <r>
      <t>p</t>
    </r>
    <r>
      <rPr>
        <b/>
        <vertAlign val="subscript"/>
        <sz val="11"/>
        <color theme="1"/>
        <rFont val="Calibri"/>
        <family val="2"/>
        <scheme val="minor"/>
      </rPr>
      <t>5</t>
    </r>
  </si>
  <si>
    <t>kWh/kWp</t>
  </si>
  <si>
    <t>W/m²</t>
  </si>
  <si>
    <t>Ranking</t>
  </si>
  <si>
    <r>
      <t>Iron,</t>
    </r>
    <r>
      <rPr>
        <b/>
        <sz val="11"/>
        <color theme="1"/>
        <rFont val="Cambria"/>
        <family val="1"/>
      </rPr>
      <t xml:space="preserve"> k</t>
    </r>
    <r>
      <rPr>
        <b/>
        <vertAlign val="subscript"/>
        <sz val="11"/>
        <color theme="1"/>
        <rFont val="Cambria"/>
        <family val="1"/>
      </rPr>
      <t>1</t>
    </r>
  </si>
  <si>
    <r>
      <t xml:space="preserve">Lion, </t>
    </r>
    <r>
      <rPr>
        <b/>
        <sz val="11"/>
        <color theme="1"/>
        <rFont val="Cambria"/>
        <family val="1"/>
      </rPr>
      <t>k</t>
    </r>
    <r>
      <rPr>
        <b/>
        <vertAlign val="subscript"/>
        <sz val="11"/>
        <color theme="1"/>
        <rFont val="Cambria"/>
        <family val="1"/>
      </rPr>
      <t>2</t>
    </r>
  </si>
  <si>
    <r>
      <t xml:space="preserve">Zion, </t>
    </r>
    <r>
      <rPr>
        <b/>
        <sz val="11"/>
        <color theme="1"/>
        <rFont val="Cambria"/>
        <family val="1"/>
      </rPr>
      <t>k</t>
    </r>
    <r>
      <rPr>
        <b/>
        <vertAlign val="subscript"/>
        <sz val="11"/>
        <color theme="1"/>
        <rFont val="Cambria"/>
        <family val="1"/>
      </rPr>
      <t>3</t>
    </r>
  </si>
  <si>
    <r>
      <t>p</t>
    </r>
    <r>
      <rPr>
        <b/>
        <vertAlign val="subscript"/>
        <sz val="11"/>
        <color theme="1"/>
        <rFont val="Cambria"/>
        <family val="1"/>
      </rPr>
      <t>1,i</t>
    </r>
  </si>
  <si>
    <r>
      <t>p</t>
    </r>
    <r>
      <rPr>
        <b/>
        <vertAlign val="subscript"/>
        <sz val="11"/>
        <color theme="1"/>
        <rFont val="Cambria"/>
        <family val="1"/>
      </rPr>
      <t>2, i</t>
    </r>
  </si>
  <si>
    <r>
      <t>p</t>
    </r>
    <r>
      <rPr>
        <b/>
        <vertAlign val="subscript"/>
        <sz val="11"/>
        <color theme="1"/>
        <rFont val="Cambria"/>
        <family val="1"/>
      </rPr>
      <t>3, i</t>
    </r>
  </si>
  <si>
    <r>
      <t>p</t>
    </r>
    <r>
      <rPr>
        <b/>
        <vertAlign val="subscript"/>
        <sz val="11"/>
        <color theme="1"/>
        <rFont val="Cambria"/>
        <family val="1"/>
      </rPr>
      <t>4, i</t>
    </r>
  </si>
  <si>
    <r>
      <t>p</t>
    </r>
    <r>
      <rPr>
        <b/>
        <vertAlign val="subscript"/>
        <sz val="11"/>
        <color theme="1"/>
        <rFont val="Cambria"/>
        <family val="1"/>
      </rPr>
      <t>5, i</t>
    </r>
  </si>
  <si>
    <r>
      <t xml:space="preserve">  w</t>
    </r>
    <r>
      <rPr>
        <b/>
        <vertAlign val="subscript"/>
        <sz val="11"/>
        <color theme="1"/>
        <rFont val="Cambria"/>
        <family val="1"/>
      </rPr>
      <t xml:space="preserve">1,k  </t>
    </r>
  </si>
  <si>
    <r>
      <t>w</t>
    </r>
    <r>
      <rPr>
        <b/>
        <vertAlign val="subscript"/>
        <sz val="11"/>
        <color theme="1"/>
        <rFont val="Cambria"/>
        <family val="1"/>
      </rPr>
      <t>2,k</t>
    </r>
  </si>
  <si>
    <r>
      <t>w</t>
    </r>
    <r>
      <rPr>
        <b/>
        <vertAlign val="subscript"/>
        <sz val="11"/>
        <color theme="1"/>
        <rFont val="Cambria"/>
        <family val="1"/>
      </rPr>
      <t>3,k</t>
    </r>
  </si>
  <si>
    <r>
      <t>w</t>
    </r>
    <r>
      <rPr>
        <b/>
        <vertAlign val="subscript"/>
        <sz val="11"/>
        <color theme="1"/>
        <rFont val="Cambria"/>
        <family val="1"/>
      </rPr>
      <t>4,k</t>
    </r>
  </si>
  <si>
    <r>
      <t>w</t>
    </r>
    <r>
      <rPr>
        <b/>
        <vertAlign val="subscript"/>
        <sz val="11"/>
        <color theme="1"/>
        <rFont val="Cambria"/>
        <family val="1"/>
      </rPr>
      <t>5,k</t>
    </r>
  </si>
  <si>
    <t>Transmission Grid Density</t>
  </si>
  <si>
    <t>Protected Area Density</t>
  </si>
  <si>
    <t>(a)</t>
  </si>
  <si>
    <t>(b)</t>
  </si>
  <si>
    <t>(c)</t>
  </si>
  <si>
    <t xml:space="preserve">  Rural city, desert</t>
  </si>
  <si>
    <t xml:space="preserve">  Coastal city</t>
  </si>
  <si>
    <t xml:space="preserve">  Populated island</t>
  </si>
  <si>
    <t xml:space="preserve">  Rural city</t>
  </si>
  <si>
    <t>(FAO, 2020)</t>
  </si>
  <si>
    <t>(IMF, 2017)</t>
  </si>
  <si>
    <t xml:space="preserve"> Country</t>
  </si>
  <si>
    <t xml:space="preserve"> Unit</t>
  </si>
  <si>
    <t xml:space="preserve"> Symbol</t>
  </si>
  <si>
    <t xml:space="preserve"> 2020</t>
  </si>
  <si>
    <t xml:space="preserve"> 1000 inhab</t>
  </si>
  <si>
    <t xml:space="preserve"> X</t>
  </si>
  <si>
    <t xml:space="preserve"> 38928.35</t>
  </si>
  <si>
    <t xml:space="preserve"> 2877.8</t>
  </si>
  <si>
    <t xml:space="preserve"> 43851.04</t>
  </si>
  <si>
    <t xml:space="preserve"> 77.27</t>
  </si>
  <si>
    <t xml:space="preserve"> 32866.27</t>
  </si>
  <si>
    <t xml:space="preserve"> 97.93</t>
  </si>
  <si>
    <t xml:space="preserve"> 45195.77</t>
  </si>
  <si>
    <t xml:space="preserve"> 2963.24</t>
  </si>
  <si>
    <t xml:space="preserve"> 25499.88</t>
  </si>
  <si>
    <t xml:space="preserve"> 9006.4</t>
  </si>
  <si>
    <t xml:space="preserve"> 10139.18</t>
  </si>
  <si>
    <t xml:space="preserve"> 393.24</t>
  </si>
  <si>
    <t xml:space="preserve"> 1701.58</t>
  </si>
  <si>
    <t xml:space="preserve"> 164689.38</t>
  </si>
  <si>
    <t xml:space="preserve"> 287.38</t>
  </si>
  <si>
    <t xml:space="preserve"> 9449.32</t>
  </si>
  <si>
    <t xml:space="preserve"> 11589.62</t>
  </si>
  <si>
    <t xml:space="preserve"> 397.63</t>
  </si>
  <si>
    <t xml:space="preserve"> 12123.2</t>
  </si>
  <si>
    <t xml:space="preserve"> 771.61</t>
  </si>
  <si>
    <t xml:space="preserve"> 11673.02</t>
  </si>
  <si>
    <t xml:space="preserve"> 3280.82</t>
  </si>
  <si>
    <t xml:space="preserve"> 2351.63</t>
  </si>
  <si>
    <t xml:space="preserve"> 212559.42</t>
  </si>
  <si>
    <t xml:space="preserve"> 437.48</t>
  </si>
  <si>
    <t xml:space="preserve"> 6948.44</t>
  </si>
  <si>
    <t xml:space="preserve"> 20903.27</t>
  </si>
  <si>
    <t xml:space="preserve"> 11890.78</t>
  </si>
  <si>
    <t xml:space="preserve"> 555.99</t>
  </si>
  <si>
    <t xml:space="preserve"> 16718.97</t>
  </si>
  <si>
    <t xml:space="preserve"> 26545.86</t>
  </si>
  <si>
    <t xml:space="preserve"> 37742.15</t>
  </si>
  <si>
    <t xml:space="preserve"> 4829.77</t>
  </si>
  <si>
    <t xml:space="preserve"> 16425.86</t>
  </si>
  <si>
    <t xml:space="preserve"> 19116.2</t>
  </si>
  <si>
    <t xml:space="preserve"> 1471286.87</t>
  </si>
  <si>
    <t xml:space="preserve"> 50882.89</t>
  </si>
  <si>
    <t xml:space="preserve"> 869.6</t>
  </si>
  <si>
    <t xml:space="preserve"> 5518.09</t>
  </si>
  <si>
    <t xml:space="preserve"> 17.56</t>
  </si>
  <si>
    <t xml:space="preserve"> 5094.12</t>
  </si>
  <si>
    <t xml:space="preserve"> 4105.27</t>
  </si>
  <si>
    <t xml:space="preserve"> 11326.62</t>
  </si>
  <si>
    <t xml:space="preserve"> 1207.36</t>
  </si>
  <si>
    <t xml:space="preserve"> 10708.98</t>
  </si>
  <si>
    <t xml:space="preserve"> 26378.27</t>
  </si>
  <si>
    <t xml:space="preserve"> 25778.82</t>
  </si>
  <si>
    <t xml:space="preserve"> 89561.4</t>
  </si>
  <si>
    <t xml:space="preserve"> 5792.2</t>
  </si>
  <si>
    <t xml:space="preserve"> 988</t>
  </si>
  <si>
    <t xml:space="preserve"> 71.99</t>
  </si>
  <si>
    <t xml:space="preserve"> 10847.91</t>
  </si>
  <si>
    <t xml:space="preserve"> 17643.05</t>
  </si>
  <si>
    <t xml:space="preserve"> 102334.4</t>
  </si>
  <si>
    <t xml:space="preserve"> 6486.2</t>
  </si>
  <si>
    <t xml:space="preserve"> 1402.98</t>
  </si>
  <si>
    <t xml:space="preserve"> 3546.42</t>
  </si>
  <si>
    <t xml:space="preserve"> 1326.54</t>
  </si>
  <si>
    <t xml:space="preserve"> 1160.16</t>
  </si>
  <si>
    <t xml:space="preserve"> 114963.59</t>
  </si>
  <si>
    <t xml:space="preserve"> 48.86</t>
  </si>
  <si>
    <t xml:space="preserve"> 896.45</t>
  </si>
  <si>
    <t xml:space="preserve"> 5540.72</t>
  </si>
  <si>
    <t xml:space="preserve"> 65273.51</t>
  </si>
  <si>
    <t xml:space="preserve"> 2225.73</t>
  </si>
  <si>
    <t xml:space="preserve"> 2416.67</t>
  </si>
  <si>
    <t xml:space="preserve"> 3989.17</t>
  </si>
  <si>
    <t xml:space="preserve"> 83783.94</t>
  </si>
  <si>
    <t xml:space="preserve"> 31072.94</t>
  </si>
  <si>
    <t xml:space="preserve"> 10423.05</t>
  </si>
  <si>
    <t xml:space="preserve"> 112.52</t>
  </si>
  <si>
    <t xml:space="preserve"> 17915.57</t>
  </si>
  <si>
    <t xml:space="preserve"> 13132.8</t>
  </si>
  <si>
    <t xml:space="preserve"> 1968</t>
  </si>
  <si>
    <t xml:space="preserve"> 786.55</t>
  </si>
  <si>
    <t xml:space="preserve"> 11402.53</t>
  </si>
  <si>
    <t xml:space="preserve"> 0.8</t>
  </si>
  <si>
    <t xml:space="preserve"> 9904.61</t>
  </si>
  <si>
    <t xml:space="preserve"> 9660.35</t>
  </si>
  <si>
    <t xml:space="preserve"> 341.24</t>
  </si>
  <si>
    <t xml:space="preserve"> 1380004.39</t>
  </si>
  <si>
    <t xml:space="preserve"> 273523.61</t>
  </si>
  <si>
    <t xml:space="preserve"> 83992.95</t>
  </si>
  <si>
    <t xml:space="preserve"> 40222.49</t>
  </si>
  <si>
    <t xml:space="preserve"> 4937.79</t>
  </si>
  <si>
    <t xml:space="preserve"> 8655.53</t>
  </si>
  <si>
    <t xml:space="preserve"> 60461.83</t>
  </si>
  <si>
    <t xml:space="preserve"> 2961.17</t>
  </si>
  <si>
    <t xml:space="preserve"> 126476.46</t>
  </si>
  <si>
    <t xml:space="preserve"> 10203.13</t>
  </si>
  <si>
    <t xml:space="preserve"> 18776.71</t>
  </si>
  <si>
    <t xml:space="preserve"> 53771.3</t>
  </si>
  <si>
    <t xml:space="preserve"> 119.45</t>
  </si>
  <si>
    <t xml:space="preserve"> 4270.57</t>
  </si>
  <si>
    <t xml:space="preserve"> 6524.19</t>
  </si>
  <si>
    <t xml:space="preserve"> 7275.56</t>
  </si>
  <si>
    <t xml:space="preserve"> 1886.2</t>
  </si>
  <si>
    <t xml:space="preserve"> 6825.44</t>
  </si>
  <si>
    <t xml:space="preserve"> 2142.25</t>
  </si>
  <si>
    <t xml:space="preserve"> 5057.68</t>
  </si>
  <si>
    <t xml:space="preserve"> 6871.29</t>
  </si>
  <si>
    <t xml:space="preserve"> 38.13</t>
  </si>
  <si>
    <t xml:space="preserve"> 2722.29</t>
  </si>
  <si>
    <t xml:space="preserve"> 625.98</t>
  </si>
  <si>
    <t xml:space="preserve"> 27691.02</t>
  </si>
  <si>
    <t xml:space="preserve"> 19129.95</t>
  </si>
  <si>
    <t xml:space="preserve"> 32366</t>
  </si>
  <si>
    <t xml:space="preserve"> 540.54</t>
  </si>
  <si>
    <t xml:space="preserve"> 20250.83</t>
  </si>
  <si>
    <t xml:space="preserve"> 441.54</t>
  </si>
  <si>
    <t xml:space="preserve"> 59.19</t>
  </si>
  <si>
    <t xml:space="preserve"> 4649.66</t>
  </si>
  <si>
    <t xml:space="preserve"> 1271.77</t>
  </si>
  <si>
    <t xml:space="preserve"> 128932.75</t>
  </si>
  <si>
    <t xml:space="preserve"> 115.02</t>
  </si>
  <si>
    <t xml:space="preserve"> 39.24</t>
  </si>
  <si>
    <t xml:space="preserve"> 3278.29</t>
  </si>
  <si>
    <t xml:space="preserve"> 628.07</t>
  </si>
  <si>
    <t xml:space="preserve"> 36910.56</t>
  </si>
  <si>
    <t xml:space="preserve"> 31255.44</t>
  </si>
  <si>
    <t xml:space="preserve"> 54409.8</t>
  </si>
  <si>
    <t xml:space="preserve"> 2540.91</t>
  </si>
  <si>
    <t xml:space="preserve"> 10.82</t>
  </si>
  <si>
    <t xml:space="preserve"> 29136.81</t>
  </si>
  <si>
    <t xml:space="preserve"> 17134.87</t>
  </si>
  <si>
    <t xml:space="preserve"> 4822.23</t>
  </si>
  <si>
    <t xml:space="preserve"> 6624.55</t>
  </si>
  <si>
    <t xml:space="preserve"> 24206.64</t>
  </si>
  <si>
    <t xml:space="preserve"> 206139.59</t>
  </si>
  <si>
    <t xml:space="preserve"> 1.63</t>
  </si>
  <si>
    <t xml:space="preserve"> 2083.37</t>
  </si>
  <si>
    <t xml:space="preserve"> 5421.24</t>
  </si>
  <si>
    <t xml:space="preserve"> 5106.63</t>
  </si>
  <si>
    <t xml:space="preserve"> 220892.34</t>
  </si>
  <si>
    <t xml:space="preserve"> 18.09</t>
  </si>
  <si>
    <t xml:space="preserve"> 5101.41</t>
  </si>
  <si>
    <t xml:space="preserve"> 4314.77</t>
  </si>
  <si>
    <t xml:space="preserve"> 8947.02</t>
  </si>
  <si>
    <t xml:space="preserve"> 7132.54</t>
  </si>
  <si>
    <t xml:space="preserve"> 32971.85</t>
  </si>
  <si>
    <t xml:space="preserve"> 109581.08</t>
  </si>
  <si>
    <t xml:space="preserve"> 37846.61</t>
  </si>
  <si>
    <t xml:space="preserve"> 10196.71</t>
  </si>
  <si>
    <t xml:space="preserve"> 2860.85</t>
  </si>
  <si>
    <t xml:space="preserve"> 2881.05</t>
  </si>
  <si>
    <t xml:space="preserve"> 51269.18</t>
  </si>
  <si>
    <t xml:space="preserve"> 4033.96</t>
  </si>
  <si>
    <t xml:space="preserve"> 19237.69</t>
  </si>
  <si>
    <t xml:space="preserve"> 145934.46</t>
  </si>
  <si>
    <t xml:space="preserve"> 12952.22</t>
  </si>
  <si>
    <t xml:space="preserve"> 53.2</t>
  </si>
  <si>
    <t xml:space="preserve"> 183.63</t>
  </si>
  <si>
    <t xml:space="preserve"> 110.94</t>
  </si>
  <si>
    <t xml:space="preserve"> 198.41</t>
  </si>
  <si>
    <t xml:space="preserve"> 33.93</t>
  </si>
  <si>
    <t xml:space="preserve"> 219.16</t>
  </si>
  <si>
    <t xml:space="preserve"> 34813.87</t>
  </si>
  <si>
    <t xml:space="preserve"> 16743.93</t>
  </si>
  <si>
    <t xml:space="preserve"> 8737.37</t>
  </si>
  <si>
    <t xml:space="preserve"> 98.35</t>
  </si>
  <si>
    <t xml:space="preserve"> 7976.98</t>
  </si>
  <si>
    <t xml:space="preserve"> 5850.34</t>
  </si>
  <si>
    <t xml:space="preserve"> 5459.64</t>
  </si>
  <si>
    <t xml:space="preserve"> 2078.94</t>
  </si>
  <si>
    <t xml:space="preserve"> 686.88</t>
  </si>
  <si>
    <t xml:space="preserve"> 15893.22</t>
  </si>
  <si>
    <t xml:space="preserve"> 59308.69</t>
  </si>
  <si>
    <t xml:space="preserve"> 11193.73</t>
  </si>
  <si>
    <t xml:space="preserve"> 46754.78</t>
  </si>
  <si>
    <t xml:space="preserve"> 21413.25</t>
  </si>
  <si>
    <t xml:space="preserve"> 43849.26</t>
  </si>
  <si>
    <t xml:space="preserve"> 586.63</t>
  </si>
  <si>
    <t xml:space="preserve"> 10099.26</t>
  </si>
  <si>
    <t xml:space="preserve"> 8654.62</t>
  </si>
  <si>
    <t xml:space="preserve"> 17500.66</t>
  </si>
  <si>
    <t xml:space="preserve"> 9537.65</t>
  </si>
  <si>
    <t xml:space="preserve"> 69799.98</t>
  </si>
  <si>
    <t xml:space="preserve"> 1318.44</t>
  </si>
  <si>
    <t xml:space="preserve"> 8278.72</t>
  </si>
  <si>
    <t xml:space="preserve"> 1.36</t>
  </si>
  <si>
    <t xml:space="preserve"> 105.69</t>
  </si>
  <si>
    <t xml:space="preserve"> 1399.49</t>
  </si>
  <si>
    <t xml:space="preserve"> 11818.62</t>
  </si>
  <si>
    <t xml:space="preserve"> 6031.2</t>
  </si>
  <si>
    <t xml:space="preserve"> 11.79</t>
  </si>
  <si>
    <t xml:space="preserve"> 84339.07</t>
  </si>
  <si>
    <t xml:space="preserve"> 45741.01</t>
  </si>
  <si>
    <t xml:space="preserve"> 43733.76</t>
  </si>
  <si>
    <t xml:space="preserve"> 9890.4</t>
  </si>
  <si>
    <t xml:space="preserve"> 67886.01</t>
  </si>
  <si>
    <t xml:space="preserve"> 59734.22</t>
  </si>
  <si>
    <t xml:space="preserve"> 331002.65</t>
  </si>
  <si>
    <t xml:space="preserve"> 3473.73</t>
  </si>
  <si>
    <t xml:space="preserve"> 33469.2</t>
  </si>
  <si>
    <t xml:space="preserve"> 307.14</t>
  </si>
  <si>
    <t xml:space="preserve"> 28435.94</t>
  </si>
  <si>
    <t xml:space="preserve"> 97338.58</t>
  </si>
  <si>
    <t xml:space="preserve"> 29825.96</t>
  </si>
  <si>
    <t xml:space="preserve"> 18383.96</t>
  </si>
  <si>
    <t xml:space="preserve"> 14862.92</t>
  </si>
  <si>
    <t>Andorra</t>
  </si>
  <si>
    <t>Bahamas</t>
  </si>
  <si>
    <t>Bolivia (Plurinational State of)</t>
  </si>
  <si>
    <t>Brunei Darussalam</t>
  </si>
  <si>
    <t>Cabo Verde</t>
  </si>
  <si>
    <t xml:space="preserve">Total </t>
  </si>
  <si>
    <t>IMF Name</t>
  </si>
  <si>
    <t>Congo</t>
  </si>
  <si>
    <t>Cook Islands</t>
  </si>
  <si>
    <t>Czechia</t>
  </si>
  <si>
    <t>Côte d'Ivoire</t>
  </si>
  <si>
    <t>Democratic People's Republic of Korea</t>
  </si>
  <si>
    <t>Democratic Republic of the Congo</t>
  </si>
  <si>
    <t>Eswatini</t>
  </si>
  <si>
    <t>Faroe Islands</t>
  </si>
  <si>
    <t>Gambia</t>
  </si>
  <si>
    <t>Holy See</t>
  </si>
  <si>
    <t>Iran (Islamic Republic of)</t>
  </si>
  <si>
    <t>Lao People's Democratic Republic</t>
  </si>
  <si>
    <t>Liechtenstein</t>
  </si>
  <si>
    <t>Marshall Islands</t>
  </si>
  <si>
    <t>Micronesia (Federated States of)</t>
  </si>
  <si>
    <t>Monaco</t>
  </si>
  <si>
    <t>Myanmar</t>
  </si>
  <si>
    <t>Nauru</t>
  </si>
  <si>
    <t>Netherlands (Kingdom of the)</t>
  </si>
  <si>
    <t>Niue</t>
  </si>
  <si>
    <t>North Macedonia</t>
  </si>
  <si>
    <t>Palau</t>
  </si>
  <si>
    <t>Puerto Rico</t>
  </si>
  <si>
    <t>Republic of Korea</t>
  </si>
  <si>
    <t>Republic of Moldova</t>
  </si>
  <si>
    <t>Russian Federation</t>
  </si>
  <si>
    <t>Saint Vincent and the Grenadines</t>
  </si>
  <si>
    <t>San Marino</t>
  </si>
  <si>
    <t>South Sudan</t>
  </si>
  <si>
    <t>Sudan</t>
  </si>
  <si>
    <t>Syrian Arab Republic</t>
  </si>
  <si>
    <t>Timor-Leste</t>
  </si>
  <si>
    <t>Tokelau</t>
  </si>
  <si>
    <t>Tuvalu</t>
  </si>
  <si>
    <t>Türkiye</t>
  </si>
  <si>
    <t>United Kingdom of Great Britain and Northern Ireland</t>
  </si>
  <si>
    <t>United Republic of Tanzania</t>
  </si>
  <si>
    <t>United States of America</t>
  </si>
  <si>
    <t>Venezuela (Bolivarian Republic of)</t>
  </si>
  <si>
    <t>x</t>
  </si>
  <si>
    <t>Mortality Value [mio US$]</t>
  </si>
  <si>
    <t>Unlinked</t>
  </si>
  <si>
    <t>Population size [n]</t>
  </si>
  <si>
    <t>References:</t>
  </si>
  <si>
    <t>Mortality Value</t>
  </si>
  <si>
    <t>Population size</t>
  </si>
  <si>
    <t>https://data.apps.fao.org/aquastat/?lang=en</t>
  </si>
  <si>
    <t>Total Population*:</t>
  </si>
  <si>
    <t>Average Mortality Value :</t>
  </si>
  <si>
    <t xml:space="preserve"> Population value [mio US$]</t>
  </si>
  <si>
    <t>mio US$</t>
  </si>
  <si>
    <t xml:space="preserve">Quantifying societal damage of green hydrogen externality: freshwater consumption </t>
  </si>
  <si>
    <t>only accounting human resource (HR) loss</t>
  </si>
  <si>
    <t>km²</t>
  </si>
  <si>
    <t>inhab/km²</t>
  </si>
  <si>
    <t>human resource value:</t>
  </si>
  <si>
    <t>https://ourworldindata.org/most-densely-populated-countries</t>
  </si>
  <si>
    <t>IMF, FAO-&gt;mortality value</t>
  </si>
  <si>
    <t>https://www.wwa-ab.bayern.de/fluesse_seen/gewaesserportraits/main/index.htm</t>
  </si>
  <si>
    <t>bio US$</t>
  </si>
  <si>
    <t>trio US$</t>
  </si>
  <si>
    <t>2070 + uncertainty</t>
  </si>
  <si>
    <t>value hydrogen:</t>
  </si>
  <si>
    <t>US$/kg</t>
  </si>
  <si>
    <t>mio kg H2 in 2070/year</t>
  </si>
  <si>
    <t>water and</t>
  </si>
  <si>
    <t>value preservation</t>
  </si>
  <si>
    <t>Catchment area River Main</t>
  </si>
  <si>
    <t>Global average population density</t>
  </si>
  <si>
    <t>Average Mortality Value</t>
  </si>
  <si>
    <t>Freshwater consumption Main by 2070</t>
  </si>
  <si>
    <t>X =</t>
  </si>
  <si>
    <t>Y =</t>
  </si>
  <si>
    <t>U</t>
  </si>
  <si>
    <t>V</t>
  </si>
  <si>
    <t>W = U*V</t>
  </si>
  <si>
    <t>Data normalization</t>
  </si>
  <si>
    <t>Scenario weight</t>
  </si>
  <si>
    <t>Solar Potential [kWh/kWp]</t>
  </si>
  <si>
    <t>Wind Potential    [W/m²]</t>
  </si>
  <si>
    <t>lens.org</t>
  </si>
  <si>
    <r>
      <t>A</t>
    </r>
    <r>
      <rPr>
        <vertAlign val="subscript"/>
        <sz val="11"/>
        <color theme="1"/>
        <rFont val="Calibri"/>
        <family val="2"/>
        <scheme val="minor"/>
      </rPr>
      <t>1</t>
    </r>
  </si>
  <si>
    <r>
      <t>A</t>
    </r>
    <r>
      <rPr>
        <vertAlign val="subscript"/>
        <sz val="11"/>
        <color theme="1"/>
        <rFont val="Calibri"/>
        <family val="2"/>
        <scheme val="minor"/>
      </rPr>
      <t>2</t>
    </r>
    <r>
      <rPr>
        <sz val="11"/>
        <color theme="1"/>
        <rFont val="Calibri"/>
        <family val="2"/>
        <scheme val="minor"/>
      </rPr>
      <t/>
    </r>
  </si>
  <si>
    <r>
      <t>A</t>
    </r>
    <r>
      <rPr>
        <vertAlign val="subscript"/>
        <sz val="11"/>
        <color theme="1"/>
        <rFont val="Calibri"/>
        <family val="2"/>
        <scheme val="minor"/>
      </rPr>
      <t>3</t>
    </r>
    <r>
      <rPr>
        <sz val="11"/>
        <color theme="1"/>
        <rFont val="Calibri"/>
        <family val="2"/>
        <scheme val="minor"/>
      </rPr>
      <t/>
    </r>
  </si>
  <si>
    <r>
      <t>A</t>
    </r>
    <r>
      <rPr>
        <vertAlign val="subscript"/>
        <sz val="11"/>
        <color theme="1"/>
        <rFont val="Calibri"/>
        <family val="2"/>
        <scheme val="minor"/>
      </rPr>
      <t>4</t>
    </r>
    <r>
      <rPr>
        <sz val="11"/>
        <color theme="1"/>
        <rFont val="Calibri"/>
        <family val="2"/>
        <scheme val="minor"/>
      </rPr>
      <t/>
    </r>
  </si>
  <si>
    <r>
      <t>A</t>
    </r>
    <r>
      <rPr>
        <vertAlign val="subscript"/>
        <sz val="11"/>
        <color theme="1"/>
        <rFont val="Calibri"/>
        <family val="2"/>
        <scheme val="minor"/>
      </rPr>
      <t>5</t>
    </r>
    <r>
      <rPr>
        <sz val="11"/>
        <color theme="1"/>
        <rFont val="Calibri"/>
        <family val="2"/>
        <scheme val="minor"/>
      </rPr>
      <t/>
    </r>
  </si>
  <si>
    <r>
      <t>A</t>
    </r>
    <r>
      <rPr>
        <vertAlign val="subscript"/>
        <sz val="11"/>
        <color theme="1"/>
        <rFont val="Calibri"/>
        <family val="2"/>
        <scheme val="minor"/>
      </rPr>
      <t>6</t>
    </r>
    <r>
      <rPr>
        <sz val="11"/>
        <color theme="1"/>
        <rFont val="Calibri"/>
        <family val="2"/>
        <scheme val="minor"/>
      </rPr>
      <t/>
    </r>
  </si>
  <si>
    <t>freshwater share</t>
  </si>
  <si>
    <r>
      <t>A</t>
    </r>
    <r>
      <rPr>
        <b/>
        <vertAlign val="subscript"/>
        <sz val="11"/>
        <color theme="9" tint="-0.249977111117893"/>
        <rFont val="Charter"/>
      </rPr>
      <t>3</t>
    </r>
  </si>
  <si>
    <r>
      <t>B</t>
    </r>
    <r>
      <rPr>
        <b/>
        <vertAlign val="subscript"/>
        <sz val="11"/>
        <color theme="9" tint="-0.249977111117893"/>
        <rFont val="Charter"/>
      </rPr>
      <t>3</t>
    </r>
  </si>
  <si>
    <r>
      <t>C</t>
    </r>
    <r>
      <rPr>
        <b/>
        <vertAlign val="subscript"/>
        <sz val="11"/>
        <color theme="9" tint="-0.249977111117893"/>
        <rFont val="Charter"/>
      </rPr>
      <t>3</t>
    </r>
  </si>
  <si>
    <r>
      <t>D</t>
    </r>
    <r>
      <rPr>
        <b/>
        <vertAlign val="subscript"/>
        <sz val="11"/>
        <color theme="9" tint="-0.249977111117893"/>
        <rFont val="Charter"/>
      </rPr>
      <t>3</t>
    </r>
  </si>
  <si>
    <r>
      <t>E</t>
    </r>
    <r>
      <rPr>
        <b/>
        <vertAlign val="subscript"/>
        <sz val="11"/>
        <color theme="9" tint="-0.249977111117893"/>
        <rFont val="Charter"/>
      </rPr>
      <t>3</t>
    </r>
    <r>
      <rPr>
        <b/>
        <sz val="11"/>
        <color theme="9" tint="-0.249977111117893"/>
        <rFont val="Charter"/>
      </rPr>
      <t xml:space="preserve"> = D</t>
    </r>
    <r>
      <rPr>
        <b/>
        <vertAlign val="subscript"/>
        <sz val="11"/>
        <color theme="9" tint="-0.249977111117893"/>
        <rFont val="Charter"/>
      </rPr>
      <t>3</t>
    </r>
    <r>
      <rPr>
        <b/>
        <sz val="11"/>
        <color theme="9" tint="-0.249977111117893"/>
        <rFont val="Charter"/>
      </rPr>
      <t xml:space="preserve"> - C</t>
    </r>
    <r>
      <rPr>
        <b/>
        <vertAlign val="subscript"/>
        <sz val="11"/>
        <color theme="9" tint="-0.249977111117893"/>
        <rFont val="Charter"/>
      </rPr>
      <t>3</t>
    </r>
  </si>
  <si>
    <r>
      <t>= A</t>
    </r>
    <r>
      <rPr>
        <b/>
        <vertAlign val="subscript"/>
        <sz val="11"/>
        <color theme="9" tint="-0.249977111117893"/>
        <rFont val="Charter"/>
      </rPr>
      <t>3</t>
    </r>
    <r>
      <rPr>
        <b/>
        <sz val="11"/>
        <color theme="9" tint="-0.249977111117893"/>
        <rFont val="Charter"/>
      </rPr>
      <t xml:space="preserve"> / B</t>
    </r>
    <r>
      <rPr>
        <b/>
        <vertAlign val="subscript"/>
        <sz val="11"/>
        <color theme="9" tint="-0.249977111117893"/>
        <rFont val="Charter"/>
      </rPr>
      <t>3</t>
    </r>
  </si>
  <si>
    <r>
      <t>= A</t>
    </r>
    <r>
      <rPr>
        <b/>
        <vertAlign val="subscript"/>
        <sz val="11"/>
        <color theme="9" tint="-0.249977111117893"/>
        <rFont val="Charter"/>
      </rPr>
      <t>3</t>
    </r>
    <r>
      <rPr>
        <b/>
        <sz val="11"/>
        <color theme="9" tint="-0.249977111117893"/>
        <rFont val="Charter"/>
      </rPr>
      <t xml:space="preserve"> * β / (B</t>
    </r>
    <r>
      <rPr>
        <b/>
        <vertAlign val="subscript"/>
        <sz val="11"/>
        <color theme="9" tint="-0.249977111117893"/>
        <rFont val="Charter"/>
      </rPr>
      <t>3</t>
    </r>
    <r>
      <rPr>
        <b/>
        <sz val="11"/>
        <color theme="9" tint="-0.249977111117893"/>
        <rFont val="Charter"/>
      </rPr>
      <t xml:space="preserve"> * α</t>
    </r>
    <r>
      <rPr>
        <b/>
        <sz val="12.65"/>
        <color theme="9" tint="-0.249977111117893"/>
        <rFont val="Charter"/>
      </rPr>
      <t>)</t>
    </r>
  </si>
  <si>
    <r>
      <t>= E</t>
    </r>
    <r>
      <rPr>
        <b/>
        <vertAlign val="subscript"/>
        <sz val="11"/>
        <color theme="9" tint="-0.249977111117893"/>
        <rFont val="Charter"/>
      </rPr>
      <t>3</t>
    </r>
    <r>
      <rPr>
        <b/>
        <sz val="11"/>
        <color theme="9" tint="-0.249977111117893"/>
        <rFont val="Charter"/>
      </rPr>
      <t xml:space="preserve"> * γ</t>
    </r>
    <r>
      <rPr>
        <b/>
        <sz val="12.65"/>
        <color theme="9" tint="-0.249977111117893"/>
        <rFont val="Charter"/>
      </rPr>
      <t xml:space="preserve"> / (B</t>
    </r>
    <r>
      <rPr>
        <b/>
        <vertAlign val="subscript"/>
        <sz val="12.65"/>
        <color theme="9" tint="-0.249977111117893"/>
        <rFont val="Charter"/>
      </rPr>
      <t>3</t>
    </r>
    <r>
      <rPr>
        <b/>
        <sz val="12.65"/>
        <color theme="9" tint="-0.249977111117893"/>
        <rFont val="Charter"/>
      </rPr>
      <t xml:space="preserve"> * α)</t>
    </r>
  </si>
  <si>
    <t>Assumed water footprint</t>
  </si>
  <si>
    <t>Freshwater</t>
  </si>
  <si>
    <t>Units</t>
  </si>
  <si>
    <t>Hydrogen</t>
  </si>
  <si>
    <t>Demand</t>
  </si>
  <si>
    <t>Water</t>
  </si>
  <si>
    <t>Annual</t>
  </si>
  <si>
    <r>
      <t>1 kgH</t>
    </r>
    <r>
      <rPr>
        <vertAlign val="subscript"/>
        <sz val="11"/>
        <color theme="1"/>
        <rFont val="Calibri"/>
        <family val="2"/>
        <scheme val="minor"/>
      </rPr>
      <t>2</t>
    </r>
    <r>
      <rPr>
        <sz val="11"/>
        <color theme="1"/>
        <rFont val="Calibri"/>
        <family val="2"/>
        <scheme val="minor"/>
      </rPr>
      <t>O/kgH</t>
    </r>
    <r>
      <rPr>
        <vertAlign val="subscript"/>
        <sz val="11"/>
        <color theme="1"/>
        <rFont val="Calibri"/>
        <family val="2"/>
        <scheme val="minor"/>
      </rPr>
      <t>2</t>
    </r>
    <r>
      <rPr>
        <sz val="11"/>
        <color theme="1"/>
        <rFont val="Calibri"/>
        <family val="2"/>
        <scheme val="minor"/>
      </rPr>
      <t xml:space="preserve"> = 1 tH</t>
    </r>
    <r>
      <rPr>
        <vertAlign val="subscript"/>
        <sz val="11"/>
        <color theme="1"/>
        <rFont val="Calibri"/>
        <family val="2"/>
        <scheme val="minor"/>
      </rPr>
      <t>2</t>
    </r>
    <r>
      <rPr>
        <sz val="11"/>
        <color theme="1"/>
        <rFont val="Calibri"/>
        <family val="2"/>
        <scheme val="minor"/>
      </rPr>
      <t>O/tH</t>
    </r>
    <r>
      <rPr>
        <vertAlign val="subscript"/>
        <sz val="11"/>
        <color theme="1"/>
        <rFont val="Calibri"/>
        <family val="2"/>
        <scheme val="minor"/>
      </rPr>
      <t>2</t>
    </r>
  </si>
  <si>
    <t>mio m³</t>
  </si>
  <si>
    <t>m³/min</t>
  </si>
  <si>
    <t>m³/h</t>
  </si>
  <si>
    <t>(mio m³)/h</t>
  </si>
  <si>
    <t>Sheet</t>
  </si>
  <si>
    <t>Content</t>
  </si>
  <si>
    <t>Reverse Osmosis Capex &amp; Opex</t>
  </si>
  <si>
    <t>Partial Oxidation of Oils: Ideal Carbon and Water Footprint</t>
  </si>
  <si>
    <t>IV</t>
  </si>
  <si>
    <t>VI</t>
  </si>
  <si>
    <t>VII</t>
  </si>
  <si>
    <t>VIII</t>
  </si>
  <si>
    <t>IX</t>
  </si>
  <si>
    <t>X</t>
  </si>
  <si>
    <t>XI</t>
  </si>
  <si>
    <t>Hydrogen Production Methods: Ideal Carbon and Water Footprint as well as HCOW</t>
  </si>
  <si>
    <t>Intermediate Calculations</t>
  </si>
  <si>
    <t>Projected Hydrogen Demand</t>
  </si>
  <si>
    <t>Projected Water Demand</t>
  </si>
  <si>
    <t>Hype Data</t>
  </si>
  <si>
    <t>Mineral Demand</t>
  </si>
  <si>
    <r>
      <t>n</t>
    </r>
    <r>
      <rPr>
        <vertAlign val="subscript"/>
        <sz val="11"/>
        <color theme="1"/>
        <rFont val="Calibri"/>
        <family val="2"/>
        <scheme val="minor"/>
      </rPr>
      <t>14m³/h</t>
    </r>
  </si>
  <si>
    <t>Raw water consumption</t>
  </si>
  <si>
    <t>Example 50/50</t>
  </si>
  <si>
    <r>
      <t>kgH</t>
    </r>
    <r>
      <rPr>
        <b/>
        <vertAlign val="subscript"/>
        <sz val="11"/>
        <color theme="1"/>
        <rFont val="Calibri"/>
        <family val="2"/>
        <scheme val="minor"/>
      </rPr>
      <t>2</t>
    </r>
    <r>
      <rPr>
        <b/>
        <sz val="11"/>
        <color theme="1"/>
        <rFont val="Calibri"/>
        <family val="2"/>
        <scheme val="minor"/>
      </rPr>
      <t>O/kgH</t>
    </r>
    <r>
      <rPr>
        <b/>
        <vertAlign val="subscript"/>
        <sz val="11"/>
        <color theme="1"/>
        <rFont val="Calibri"/>
        <family val="2"/>
        <scheme val="minor"/>
      </rPr>
      <t>2</t>
    </r>
  </si>
  <si>
    <t>Hydrogen demand [mio t/yr]</t>
  </si>
  <si>
    <t>Raw water consumption [m³/s]</t>
  </si>
  <si>
    <r>
      <t xml:space="preserve">      </t>
    </r>
    <r>
      <rPr>
        <sz val="11"/>
        <color theme="1"/>
        <rFont val="Calibri"/>
        <family val="2"/>
        <scheme val="minor"/>
      </rPr>
      <t>I</t>
    </r>
    <r>
      <rPr>
        <b/>
        <sz val="11"/>
        <color theme="1"/>
        <rFont val="Calibri"/>
        <family val="2"/>
        <scheme val="minor"/>
      </rPr>
      <t xml:space="preserve"> freshwater share </t>
    </r>
    <r>
      <rPr>
        <sz val="11"/>
        <color theme="1"/>
        <rFont val="Calibri"/>
        <family val="2"/>
        <scheme val="minor"/>
      </rPr>
      <t>I</t>
    </r>
  </si>
  <si>
    <t>*Unincluded regions are Andorra, Cook Islands, Hong-Kong, Faroe-Islands, Liechtenstein, Micronesia, Monaco, Nauru, Niue, Palau, Puerto Rico, San Marino, Tokelau, Tuvalu, Vatican City.</t>
  </si>
  <si>
    <t>Total Population Value* :</t>
  </si>
  <si>
    <r>
      <t>Factor [mio t</t>
    </r>
    <r>
      <rPr>
        <b/>
        <sz val="11"/>
        <color theme="1"/>
        <rFont val="Calibri"/>
        <family val="2"/>
        <scheme val="minor"/>
      </rPr>
      <t>/yr] to [m³</t>
    </r>
    <r>
      <rPr>
        <b/>
        <sz val="11"/>
        <color theme="1"/>
        <rFont val="Calibri"/>
        <family val="2"/>
        <scheme val="minor"/>
      </rPr>
      <t>/s]</t>
    </r>
  </si>
  <si>
    <t>F</t>
  </si>
  <si>
    <r>
      <t>A</t>
    </r>
    <r>
      <rPr>
        <b/>
        <vertAlign val="subscript"/>
        <sz val="11"/>
        <color theme="9" tint="-0.249977111117893"/>
        <rFont val="Charter"/>
      </rPr>
      <t>1</t>
    </r>
  </si>
  <si>
    <r>
      <t>B</t>
    </r>
    <r>
      <rPr>
        <b/>
        <vertAlign val="subscript"/>
        <sz val="11"/>
        <color theme="9" tint="-0.249977111117893"/>
        <rFont val="Charter"/>
      </rPr>
      <t>1</t>
    </r>
  </si>
  <si>
    <r>
      <t>C</t>
    </r>
    <r>
      <rPr>
        <b/>
        <vertAlign val="subscript"/>
        <sz val="11"/>
        <color theme="9" tint="-0.249977111117893"/>
        <rFont val="Charter"/>
      </rPr>
      <t>1</t>
    </r>
  </si>
  <si>
    <r>
      <t>= A</t>
    </r>
    <r>
      <rPr>
        <b/>
        <vertAlign val="subscript"/>
        <sz val="11"/>
        <color theme="9" tint="-0.249977111117893"/>
        <rFont val="Charter"/>
      </rPr>
      <t>1</t>
    </r>
    <r>
      <rPr>
        <b/>
        <sz val="11"/>
        <color theme="9" tint="-0.249977111117893"/>
        <rFont val="Charter"/>
      </rPr>
      <t>/B</t>
    </r>
    <r>
      <rPr>
        <b/>
        <vertAlign val="subscript"/>
        <sz val="11"/>
        <color theme="9" tint="-0.249977111117893"/>
        <rFont val="Charter"/>
      </rPr>
      <t>1</t>
    </r>
  </si>
  <si>
    <r>
      <t>= A</t>
    </r>
    <r>
      <rPr>
        <b/>
        <vertAlign val="subscript"/>
        <sz val="11"/>
        <color theme="9" tint="-0.249977111117893"/>
        <rFont val="Charter"/>
      </rPr>
      <t>1</t>
    </r>
    <r>
      <rPr>
        <b/>
        <sz val="11"/>
        <color theme="9" tint="-0.249977111117893"/>
        <rFont val="Charter"/>
      </rPr>
      <t xml:space="preserve"> * β / (B</t>
    </r>
    <r>
      <rPr>
        <b/>
        <vertAlign val="subscript"/>
        <sz val="11"/>
        <color theme="9" tint="-0.249977111117893"/>
        <rFont val="Charter"/>
      </rPr>
      <t>1</t>
    </r>
    <r>
      <rPr>
        <b/>
        <sz val="11"/>
        <color theme="9" tint="-0.249977111117893"/>
        <rFont val="Charter"/>
      </rPr>
      <t xml:space="preserve"> * α</t>
    </r>
    <r>
      <rPr>
        <b/>
        <sz val="12.65"/>
        <color theme="9" tint="-0.249977111117893"/>
        <rFont val="Charter"/>
      </rPr>
      <t>)</t>
    </r>
  </si>
  <si>
    <r>
      <t>= C</t>
    </r>
    <r>
      <rPr>
        <b/>
        <vertAlign val="subscript"/>
        <sz val="11"/>
        <color theme="9" tint="-0.249977111117893"/>
        <rFont val="Charter"/>
      </rPr>
      <t>1</t>
    </r>
    <r>
      <rPr>
        <b/>
        <sz val="11"/>
        <color theme="9" tint="-0.249977111117893"/>
        <rFont val="Charter"/>
      </rPr>
      <t xml:space="preserve"> * γ / (B</t>
    </r>
    <r>
      <rPr>
        <b/>
        <vertAlign val="subscript"/>
        <sz val="11"/>
        <color theme="9" tint="-0.249977111117893"/>
        <rFont val="Charter"/>
      </rPr>
      <t>1</t>
    </r>
    <r>
      <rPr>
        <b/>
        <sz val="11"/>
        <color theme="9" tint="-0.249977111117893"/>
        <rFont val="Charter"/>
      </rPr>
      <t xml:space="preserve"> * α)</t>
    </r>
  </si>
  <si>
    <r>
      <t>A</t>
    </r>
    <r>
      <rPr>
        <b/>
        <vertAlign val="subscript"/>
        <sz val="11"/>
        <color theme="9" tint="-0.249977111117893"/>
        <rFont val="Charter"/>
      </rPr>
      <t>2</t>
    </r>
  </si>
  <si>
    <r>
      <t>B</t>
    </r>
    <r>
      <rPr>
        <b/>
        <vertAlign val="subscript"/>
        <sz val="11"/>
        <color theme="9" tint="-0.249977111117893"/>
        <rFont val="Charter"/>
      </rPr>
      <t>2</t>
    </r>
  </si>
  <si>
    <r>
      <t>C</t>
    </r>
    <r>
      <rPr>
        <b/>
        <vertAlign val="subscript"/>
        <sz val="11"/>
        <color theme="9" tint="-0.249977111117893"/>
        <rFont val="Charter"/>
      </rPr>
      <t>2</t>
    </r>
  </si>
  <si>
    <r>
      <t>= A</t>
    </r>
    <r>
      <rPr>
        <b/>
        <vertAlign val="subscript"/>
        <sz val="11"/>
        <color theme="9" tint="-0.249977111117893"/>
        <rFont val="Charter"/>
      </rPr>
      <t>2</t>
    </r>
    <r>
      <rPr>
        <b/>
        <sz val="11"/>
        <color theme="9" tint="-0.249977111117893"/>
        <rFont val="Charter"/>
      </rPr>
      <t>/B</t>
    </r>
    <r>
      <rPr>
        <b/>
        <vertAlign val="subscript"/>
        <sz val="11"/>
        <color theme="9" tint="-0.249977111117893"/>
        <rFont val="Charter"/>
      </rPr>
      <t>2</t>
    </r>
  </si>
  <si>
    <r>
      <t>= A</t>
    </r>
    <r>
      <rPr>
        <b/>
        <vertAlign val="subscript"/>
        <sz val="11"/>
        <color theme="9" tint="-0.249977111117893"/>
        <rFont val="Charter"/>
      </rPr>
      <t>2</t>
    </r>
    <r>
      <rPr>
        <b/>
        <sz val="11"/>
        <color theme="9" tint="-0.249977111117893"/>
        <rFont val="Charter"/>
      </rPr>
      <t xml:space="preserve"> * β / (B</t>
    </r>
    <r>
      <rPr>
        <b/>
        <vertAlign val="subscript"/>
        <sz val="11"/>
        <color theme="9" tint="-0.249977111117893"/>
        <rFont val="Charter"/>
      </rPr>
      <t>2</t>
    </r>
    <r>
      <rPr>
        <b/>
        <sz val="11"/>
        <color theme="9" tint="-0.249977111117893"/>
        <rFont val="Charter"/>
      </rPr>
      <t xml:space="preserve"> * α</t>
    </r>
    <r>
      <rPr>
        <b/>
        <sz val="12.65"/>
        <color theme="9" tint="-0.249977111117893"/>
        <rFont val="Charter"/>
      </rPr>
      <t>)</t>
    </r>
  </si>
  <si>
    <r>
      <t>= C</t>
    </r>
    <r>
      <rPr>
        <b/>
        <vertAlign val="subscript"/>
        <sz val="11"/>
        <color theme="9" tint="-0.249977111117893"/>
        <rFont val="Charter"/>
      </rPr>
      <t>2</t>
    </r>
    <r>
      <rPr>
        <b/>
        <sz val="11"/>
        <color theme="9" tint="-0.249977111117893"/>
        <rFont val="Charter"/>
      </rPr>
      <t xml:space="preserve"> * γ / (B</t>
    </r>
    <r>
      <rPr>
        <b/>
        <vertAlign val="subscript"/>
        <sz val="11"/>
        <color theme="9" tint="-0.249977111117893"/>
        <rFont val="Charter"/>
      </rPr>
      <t>2</t>
    </r>
    <r>
      <rPr>
        <b/>
        <sz val="11"/>
        <color theme="9" tint="-0.249977111117893"/>
        <rFont val="Charter"/>
      </rPr>
      <t xml:space="preserve"> * α)</t>
    </r>
  </si>
  <si>
    <r>
      <t>A</t>
    </r>
    <r>
      <rPr>
        <b/>
        <vertAlign val="subscript"/>
        <sz val="11"/>
        <color theme="9" tint="-0.249977111117893"/>
        <rFont val="Calibri"/>
        <family val="2"/>
        <scheme val="minor"/>
      </rPr>
      <t>1</t>
    </r>
    <r>
      <rPr>
        <b/>
        <sz val="11"/>
        <color theme="9" tint="-0.249977111117893"/>
        <rFont val="Calibri"/>
        <family val="2"/>
        <scheme val="minor"/>
      </rPr>
      <t xml:space="preserve"> = H</t>
    </r>
    <r>
      <rPr>
        <b/>
        <vertAlign val="subscript"/>
        <sz val="11"/>
        <color theme="9" tint="-0.249977111117893"/>
        <rFont val="Calibri"/>
        <family val="2"/>
        <scheme val="minor"/>
      </rPr>
      <t>t</t>
    </r>
    <r>
      <rPr>
        <b/>
        <sz val="11"/>
        <color theme="9" tint="-0.249977111117893"/>
        <rFont val="Calibri"/>
        <family val="2"/>
        <scheme val="minor"/>
      </rPr>
      <t>*S</t>
    </r>
    <r>
      <rPr>
        <b/>
        <vertAlign val="subscript"/>
        <sz val="11"/>
        <color theme="9" tint="-0.249977111117893"/>
        <rFont val="Calibri"/>
        <family val="2"/>
        <scheme val="minor"/>
      </rPr>
      <t>50</t>
    </r>
  </si>
  <si>
    <r>
      <t>A</t>
    </r>
    <r>
      <rPr>
        <b/>
        <vertAlign val="subscript"/>
        <sz val="11"/>
        <color theme="9" tint="-0.249977111117893"/>
        <rFont val="Calibri"/>
        <family val="2"/>
        <scheme val="minor"/>
      </rPr>
      <t>2</t>
    </r>
    <r>
      <rPr>
        <b/>
        <sz val="11"/>
        <color theme="9" tint="-0.249977111117893"/>
        <rFont val="Calibri"/>
        <family val="2"/>
        <scheme val="minor"/>
      </rPr>
      <t>=A</t>
    </r>
    <r>
      <rPr>
        <b/>
        <vertAlign val="subscript"/>
        <sz val="11"/>
        <color theme="9" tint="-0.249977111117893"/>
        <rFont val="Calibri"/>
        <family val="2"/>
        <scheme val="minor"/>
      </rPr>
      <t>1</t>
    </r>
    <r>
      <rPr>
        <b/>
        <sz val="11"/>
        <color theme="9" tint="-0.249977111117893"/>
        <rFont val="Calibri"/>
        <family val="2"/>
        <scheme val="minor"/>
      </rPr>
      <t>/365</t>
    </r>
  </si>
  <si>
    <r>
      <t>A</t>
    </r>
    <r>
      <rPr>
        <b/>
        <vertAlign val="subscript"/>
        <sz val="11"/>
        <color theme="9" tint="-0.249977111117893"/>
        <rFont val="Calibri"/>
        <family val="2"/>
        <scheme val="minor"/>
      </rPr>
      <t>3</t>
    </r>
    <r>
      <rPr>
        <b/>
        <sz val="11"/>
        <color theme="9" tint="-0.249977111117893"/>
        <rFont val="Calibri"/>
        <family val="2"/>
        <scheme val="minor"/>
      </rPr>
      <t>=A</t>
    </r>
    <r>
      <rPr>
        <b/>
        <vertAlign val="subscript"/>
        <sz val="11"/>
        <color theme="9" tint="-0.249977111117893"/>
        <rFont val="Calibri"/>
        <family val="2"/>
        <scheme val="minor"/>
      </rPr>
      <t>2</t>
    </r>
    <r>
      <rPr>
        <b/>
        <sz val="11"/>
        <color theme="9" tint="-0.249977111117893"/>
        <rFont val="Calibri"/>
        <family val="2"/>
        <scheme val="minor"/>
      </rPr>
      <t>/24</t>
    </r>
  </si>
  <si>
    <r>
      <t>A</t>
    </r>
    <r>
      <rPr>
        <b/>
        <vertAlign val="subscript"/>
        <sz val="11"/>
        <color theme="9" tint="-0.249977111117893"/>
        <rFont val="Calibri"/>
        <family val="2"/>
        <scheme val="minor"/>
      </rPr>
      <t>4</t>
    </r>
    <r>
      <rPr>
        <b/>
        <sz val="11"/>
        <color theme="9" tint="-0.249977111117893"/>
        <rFont val="Calibri"/>
        <family val="2"/>
        <scheme val="minor"/>
      </rPr>
      <t>=a</t>
    </r>
    <r>
      <rPr>
        <b/>
        <vertAlign val="subscript"/>
        <sz val="11"/>
        <color theme="9" tint="-0.249977111117893"/>
        <rFont val="Calibri"/>
        <family val="2"/>
        <scheme val="minor"/>
      </rPr>
      <t>3</t>
    </r>
    <r>
      <rPr>
        <b/>
        <sz val="11"/>
        <color theme="9" tint="-0.249977111117893"/>
        <rFont val="Calibri"/>
        <family val="2"/>
        <scheme val="minor"/>
      </rPr>
      <t>*10</t>
    </r>
    <r>
      <rPr>
        <b/>
        <vertAlign val="superscript"/>
        <sz val="11"/>
        <color theme="9" tint="-0.249977111117893"/>
        <rFont val="Calibri"/>
        <family val="2"/>
        <scheme val="minor"/>
      </rPr>
      <t>6</t>
    </r>
  </si>
  <si>
    <r>
      <t>A</t>
    </r>
    <r>
      <rPr>
        <b/>
        <vertAlign val="subscript"/>
        <sz val="11"/>
        <color theme="9" tint="-0.249977111117893"/>
        <rFont val="Calibri"/>
        <family val="2"/>
        <scheme val="minor"/>
      </rPr>
      <t>5</t>
    </r>
    <r>
      <rPr>
        <b/>
        <sz val="11"/>
        <color theme="9" tint="-0.249977111117893"/>
        <rFont val="Calibri"/>
        <family val="2"/>
        <scheme val="minor"/>
      </rPr>
      <t>=A</t>
    </r>
    <r>
      <rPr>
        <b/>
        <vertAlign val="subscript"/>
        <sz val="11"/>
        <color theme="9" tint="-0.249977111117893"/>
        <rFont val="Calibri"/>
        <family val="2"/>
        <scheme val="minor"/>
      </rPr>
      <t>4</t>
    </r>
    <r>
      <rPr>
        <b/>
        <sz val="11"/>
        <color theme="9" tint="-0.249977111117893"/>
        <rFont val="Calibri"/>
        <family val="2"/>
        <scheme val="minor"/>
      </rPr>
      <t>/60</t>
    </r>
  </si>
  <si>
    <r>
      <t>A</t>
    </r>
    <r>
      <rPr>
        <b/>
        <vertAlign val="subscript"/>
        <sz val="11"/>
        <color theme="9" tint="-0.249977111117893"/>
        <rFont val="Calibri"/>
        <family val="2"/>
        <scheme val="minor"/>
      </rPr>
      <t>6</t>
    </r>
    <r>
      <rPr>
        <b/>
        <sz val="11"/>
        <color theme="9" tint="-0.249977111117893"/>
        <rFont val="Calibri"/>
        <family val="2"/>
        <scheme val="minor"/>
      </rPr>
      <t>= A</t>
    </r>
    <r>
      <rPr>
        <b/>
        <vertAlign val="subscript"/>
        <sz val="11"/>
        <color theme="9" tint="-0.249977111117893"/>
        <rFont val="Calibri"/>
        <family val="2"/>
        <scheme val="minor"/>
      </rPr>
      <t>5</t>
    </r>
    <r>
      <rPr>
        <b/>
        <sz val="11"/>
        <color theme="9" tint="-0.249977111117893"/>
        <rFont val="Calibri"/>
        <family val="2"/>
        <scheme val="minor"/>
      </rPr>
      <t>/60</t>
    </r>
  </si>
  <si>
    <r>
      <t>H</t>
    </r>
    <r>
      <rPr>
        <b/>
        <vertAlign val="subscript"/>
        <sz val="11"/>
        <color theme="9" tint="-0.249977111117893"/>
        <rFont val="Calibri"/>
        <family val="2"/>
        <scheme val="minor"/>
      </rPr>
      <t>t</t>
    </r>
  </si>
  <si>
    <r>
      <t>S</t>
    </r>
    <r>
      <rPr>
        <b/>
        <vertAlign val="subscript"/>
        <sz val="11"/>
        <color theme="9" tint="-0.249977111117893"/>
        <rFont val="Calibri"/>
        <family val="2"/>
        <scheme val="minor"/>
      </rPr>
      <t>i</t>
    </r>
  </si>
  <si>
    <t>Raw water consumption =</t>
  </si>
  <si>
    <r>
      <t>S</t>
    </r>
    <r>
      <rPr>
        <b/>
        <vertAlign val="subscript"/>
        <sz val="11"/>
        <color theme="9" tint="-0.249977111117893"/>
        <rFont val="Calibri"/>
        <family val="2"/>
        <scheme val="minor"/>
      </rPr>
      <t>i</t>
    </r>
    <r>
      <rPr>
        <b/>
        <sz val="11"/>
        <color theme="9" tint="-0.249977111117893"/>
        <rFont val="Calibri"/>
        <family val="2"/>
        <scheme val="minor"/>
      </rPr>
      <t xml:space="preserve"> * H</t>
    </r>
    <r>
      <rPr>
        <b/>
        <vertAlign val="subscript"/>
        <sz val="11"/>
        <color theme="9" tint="-0.249977111117893"/>
        <rFont val="Calibri"/>
        <family val="2"/>
        <scheme val="minor"/>
      </rPr>
      <t>t</t>
    </r>
    <r>
      <rPr>
        <b/>
        <sz val="11"/>
        <color theme="9" tint="-0.249977111117893"/>
        <rFont val="Calibri"/>
        <family val="2"/>
        <scheme val="minor"/>
      </rPr>
      <t xml:space="preserve"> * F</t>
    </r>
  </si>
  <si>
    <t>FWS = 25 %</t>
  </si>
  <si>
    <t>FWS = 50 %</t>
  </si>
  <si>
    <t>FWS = 0 %</t>
  </si>
  <si>
    <t>FWS = 75 %</t>
  </si>
  <si>
    <t>FWS = 100 %</t>
  </si>
  <si>
    <t>Case Study Ranking System: Chile, Germany, Namibia</t>
  </si>
  <si>
    <t>very high risk</t>
  </si>
  <si>
    <t>high risk</t>
  </si>
  <si>
    <t>medium risk</t>
  </si>
  <si>
    <t>low risk</t>
  </si>
  <si>
    <t>very low risk</t>
  </si>
  <si>
    <r>
      <t>Site analysis, S</t>
    </r>
    <r>
      <rPr>
        <b/>
        <vertAlign val="subscript"/>
        <sz val="11"/>
        <color theme="1"/>
        <rFont val="Calibri"/>
        <family val="2"/>
        <scheme val="minor"/>
      </rPr>
      <t>i</t>
    </r>
  </si>
  <si>
    <t>Main</t>
  </si>
  <si>
    <r>
      <t xml:space="preserve"> </t>
    </r>
    <r>
      <rPr>
        <b/>
        <i/>
        <sz val="11"/>
        <color theme="1"/>
        <rFont val="Calibri"/>
        <family val="2"/>
        <scheme val="minor"/>
      </rPr>
      <t>A</t>
    </r>
    <r>
      <rPr>
        <b/>
        <sz val="11"/>
        <color theme="1"/>
        <rFont val="Calibri"/>
        <family val="2"/>
        <scheme val="minor"/>
      </rPr>
      <t>: Catchment Area [km²]</t>
    </r>
  </si>
  <si>
    <t xml:space="preserve"> River</t>
  </si>
  <si>
    <t xml:space="preserve"> Rank</t>
  </si>
  <si>
    <t>Outflow</t>
  </si>
  <si>
    <t>Mediterranean</t>
  </si>
  <si>
    <t>Ethiopia, Eritrea, Sudan, Uganda, Tanzania, Kenya, Rwanda, Burundi, Egypt, Democratic Republic of the Congo, South Sudan</t>
  </si>
  <si>
    <t>Atlantic Ocean</t>
  </si>
  <si>
    <t>Brazil, Peru, Bolivia, Colombia, Ecuador, Venezuela, Guyana</t>
  </si>
  <si>
    <t>East China Sea</t>
  </si>
  <si>
    <t>Gulf of Mexico</t>
  </si>
  <si>
    <t>United States (98.5%), Canada (1.5%)</t>
  </si>
  <si>
    <t>Kara Sea</t>
  </si>
  <si>
    <t>Russia (97%), Mongolia (2.9%)</t>
  </si>
  <si>
    <t>Bohai Sea</t>
  </si>
  <si>
    <t>Ob–Irtysh</t>
  </si>
  <si>
    <t>Gulf of Ob</t>
  </si>
  <si>
    <t>Russia, Kazakhstan, China, Mongolia</t>
  </si>
  <si>
    <t>Río de la Plata</t>
  </si>
  <si>
    <t>Brazil (46.7%), Argentina (27.7%), Paraguay (13.5%), Bolivia (8.3%), Uruguay (3.8%)</t>
  </si>
  <si>
    <t>Democratic Republic of the Congo, Central African Republic, Angola, Republic of the Congo, Tanzania, Cameroon, Zambia, Burundi, Rwanda</t>
  </si>
  <si>
    <t>Sea of Okhotsk</t>
  </si>
  <si>
    <t>Russia, China, Mongolia</t>
  </si>
  <si>
    <t>Lena</t>
  </si>
  <si>
    <t>Laptev Sea</t>
  </si>
  <si>
    <t>South China Sea</t>
  </si>
  <si>
    <t>China, Myanmar, Laos, Thailand, Cambodia, Vietnam</t>
  </si>
  <si>
    <t>Mackenzie–Slave–Peace–Finlay</t>
  </si>
  <si>
    <t>Beaufort Sea</t>
  </si>
  <si>
    <t>Gulf of Guinea</t>
  </si>
  <si>
    <t>Nigeria (26.6%), Mali (25.6%), Niger (23.6%), Algeria (7.6%), Guinea (4.5%), Cameroon (4.2%), Burkina Faso (3.9%), Côte d'Ivoire, Benin, Chad</t>
  </si>
  <si>
    <t>Brahmaputra–Yarlung Tsangpo</t>
  </si>
  <si>
    <t>Ganges</t>
  </si>
  <si>
    <t>India (58.0%), China (19.7%), Nepal (9.0%), Bangladesh (6.6%), Disputed India/China (4.2%), Bhutan (2.4%)</t>
  </si>
  <si>
    <t>Murray–Darling–Culgoa–Balonne–Condamine</t>
  </si>
  <si>
    <t>Southern Ocean</t>
  </si>
  <si>
    <t>Tocantins–Araguaia</t>
  </si>
  <si>
    <t>Atlantic Ocean (Marajó Bay), Amazon Delta</t>
  </si>
  <si>
    <t>Volga</t>
  </si>
  <si>
    <t>Caspian Sea</t>
  </si>
  <si>
    <t>Indus–Sênggê Zangbo</t>
  </si>
  <si>
    <t>Arabian Sea</t>
  </si>
  <si>
    <t>Pakistan (93%), India and China</t>
  </si>
  <si>
    <t>Shatt al-Arab–Euphrates–Murat</t>
  </si>
  <si>
    <t>Persian Gulf</t>
  </si>
  <si>
    <t>Iraq, Turkey, Syria, Iran</t>
  </si>
  <si>
    <t>Amazon</t>
  </si>
  <si>
    <t>Brazil, Bolivia, Peru</t>
  </si>
  <si>
    <t>Purús</t>
  </si>
  <si>
    <t>Brazil, Peru</t>
  </si>
  <si>
    <t>Yukon</t>
  </si>
  <si>
    <t>Bering Sea</t>
  </si>
  <si>
    <t>United States (59.8%), Canada (40.2%)</t>
  </si>
  <si>
    <t>São Francisco</t>
  </si>
  <si>
    <t>Syr Darya–Naryn</t>
  </si>
  <si>
    <t>Aral Sea</t>
  </si>
  <si>
    <t>Kazakhstan, Kyrgyzstan, Uzbekistan, Tajikistan</t>
  </si>
  <si>
    <t>Andaman Sea</t>
  </si>
  <si>
    <t>China (52.4%), Myanmar (43.9%), Thailand (3.7%)</t>
  </si>
  <si>
    <t>Gulf of Saint Lawrence</t>
  </si>
  <si>
    <t>Canada (52.1%), United States (47.9%)</t>
  </si>
  <si>
    <t>Rio Grande</t>
  </si>
  <si>
    <t>United States (52.1%), Mexico (47.9%)</t>
  </si>
  <si>
    <t>Lower Tunguska</t>
  </si>
  <si>
    <t>Yenisei</t>
  </si>
  <si>
    <t>Danube–Breg (Donau, Dunăre, Duna, Dunav, Dunaj)</t>
  </si>
  <si>
    <t>Black Sea</t>
  </si>
  <si>
    <t>Romania (28.9%), Hungary (11.7%), Austria (10.3%), Serbia (10.3%), Germany (7.5%), Slovakia (5.8%), Bulgaria (5.2%), Croatia (4.5%), Ukraine (3.8%)</t>
  </si>
  <si>
    <t>China, Myanmar</t>
  </si>
  <si>
    <t>Mozambique Channel</t>
  </si>
  <si>
    <t>Zambia (41.6%), Angola (18.4%), Zimbabwe (15.6%), Mozambique (11.8%), Malawi (8.0%), Tanzania (2.0%), Namibia, Botswana</t>
  </si>
  <si>
    <t>Vilyuy</t>
  </si>
  <si>
    <t>Ganges–Hooghly–Padma (Ganga)</t>
  </si>
  <si>
    <t>Bay of Bengal</t>
  </si>
  <si>
    <t>India, Bangladesh, Nepal</t>
  </si>
  <si>
    <t>Amu Darya–Panj</t>
  </si>
  <si>
    <t>Uzbekistan, Turkmenistan, Tajikistan, Afghanistan</t>
  </si>
  <si>
    <t>Japurá (Caquetá)</t>
  </si>
  <si>
    <t>Brazil, Colombia</t>
  </si>
  <si>
    <t>Nelson–Saskatchewan</t>
  </si>
  <si>
    <t>Hudson Bay</t>
  </si>
  <si>
    <t>Canada, United States</t>
  </si>
  <si>
    <t>Paraguay (Rio Paraguay)</t>
  </si>
  <si>
    <t>Paraná</t>
  </si>
  <si>
    <t>Brazil, Paraguay, Bolivia, Argentina</t>
  </si>
  <si>
    <t>Kolyma</t>
  </si>
  <si>
    <t>East Siberian Sea</t>
  </si>
  <si>
    <t>Ishim</t>
  </si>
  <si>
    <t>Irtysh</t>
  </si>
  <si>
    <t>Kazakhstan, Russia</t>
  </si>
  <si>
    <t>Ural</t>
  </si>
  <si>
    <t>Russia, Kazakhstan</t>
  </si>
  <si>
    <t>Juruá</t>
  </si>
  <si>
    <t>Peru, Brazil</t>
  </si>
  <si>
    <t>Arkansas</t>
  </si>
  <si>
    <t>Mississippi</t>
  </si>
  <si>
    <t>Colorado (western U.S.)</t>
  </si>
  <si>
    <t>Gulf of California</t>
  </si>
  <si>
    <t>United States, Mexico</t>
  </si>
  <si>
    <t>Olenyok</t>
  </si>
  <si>
    <t>Dnieper</t>
  </si>
  <si>
    <t>Ukraine, Belarus, Russia</t>
  </si>
  <si>
    <t>Aldan</t>
  </si>
  <si>
    <t>Democratic Republic of the Congo, Central African Republic, Republic of Congo</t>
  </si>
  <si>
    <t>Negro</t>
  </si>
  <si>
    <t>Brazil, Venezuela, Colombia</t>
  </si>
  <si>
    <t>Columbia</t>
  </si>
  <si>
    <t>Pacific Ocean</t>
  </si>
  <si>
    <t>United States, Canada</t>
  </si>
  <si>
    <t>China (98.5%), Vietnam (1.5%)</t>
  </si>
  <si>
    <t>Red (USA)</t>
  </si>
  <si>
    <t>Kasai</t>
  </si>
  <si>
    <t>Angola, Democratic Republic of the Congo</t>
  </si>
  <si>
    <t>Ohio–Allegheny</t>
  </si>
  <si>
    <t>Orinoco</t>
  </si>
  <si>
    <t>Venezuela, Colombia, Guyana</t>
  </si>
  <si>
    <t>Don</t>
  </si>
  <si>
    <t>Sea of Azov</t>
  </si>
  <si>
    <t>Russia, Ukraine</t>
  </si>
  <si>
    <t>Pechora</t>
  </si>
  <si>
    <t>Barents Sea</t>
  </si>
  <si>
    <t>Kama</t>
  </si>
  <si>
    <t>Indigirka</t>
  </si>
  <si>
    <t>Snake</t>
  </si>
  <si>
    <t>Uruguay, Argentina, Brazil</t>
  </si>
  <si>
    <t>Beni</t>
  </si>
  <si>
    <t>Madeira</t>
  </si>
  <si>
    <t>Magdalena</t>
  </si>
  <si>
    <t>Caribbean</t>
  </si>
  <si>
    <t>Yangtze</t>
  </si>
  <si>
    <t>Kura/Mt'k'vari</t>
  </si>
  <si>
    <t>Turkey, Georgia, Azerbaijan</t>
  </si>
  <si>
    <t>Oka</t>
  </si>
  <si>
    <t>Murrumbidgee River</t>
  </si>
  <si>
    <t>Murray River</t>
  </si>
  <si>
    <t>Godavari</t>
  </si>
  <si>
    <t>Belaya</t>
  </si>
  <si>
    <t>Dniester</t>
  </si>
  <si>
    <t>Ukraine, Moldova</t>
  </si>
  <si>
    <t>Yamuna</t>
  </si>
  <si>
    <t>Vyatka</t>
  </si>
  <si>
    <t>Fraser</t>
  </si>
  <si>
    <t>Canada, United States[24]</t>
  </si>
  <si>
    <t>Lachlan River</t>
  </si>
  <si>
    <t>Narmada</t>
  </si>
  <si>
    <t>Northern Dvina–Sukhona</t>
  </si>
  <si>
    <t>White Sea</t>
  </si>
  <si>
    <t>Ottawa</t>
  </si>
  <si>
    <t>Saint Lawrence</t>
  </si>
  <si>
    <t>Elbe–Vltava</t>
  </si>
  <si>
    <t>North Sea</t>
  </si>
  <si>
    <t>Germany, Czech Republic</t>
  </si>
  <si>
    <t>Rhine</t>
  </si>
  <si>
    <t>Germany (57.3%), Switzerland (15.1%), Netherlands (12.3%), France (12.2%), Luxembourg (1.4%), Austria (1.3%), Belgium (0.4%), Liechtenstein (0.1%), Italy (0.03%)</t>
  </si>
  <si>
    <t>Vistula–Narew-Bug</t>
  </si>
  <si>
    <t>Baltic Sea</t>
  </si>
  <si>
    <t>Poland, Belarus, Ukraine</t>
  </si>
  <si>
    <t>Ogooué (or Ogowe)</t>
  </si>
  <si>
    <t>Gabon, Republic of the Congo</t>
  </si>
  <si>
    <t>Kızıl River</t>
  </si>
  <si>
    <t>Markha</t>
  </si>
  <si>
    <t>Wu</t>
  </si>
  <si>
    <t>Red (Asia)</t>
  </si>
  <si>
    <t>Gulf of Tonkin</t>
  </si>
  <si>
    <t>China, Vietnam</t>
  </si>
  <si>
    <t>Kapuas</t>
  </si>
  <si>
    <t>Natuna Sea</t>
  </si>
  <si>
    <t>Desna</t>
  </si>
  <si>
    <t>Russia, Belarus, Ukraine</t>
  </si>
  <si>
    <t>Madre de Dios</t>
  </si>
  <si>
    <t>Peru, Bolivia</t>
  </si>
  <si>
    <t>Vychegda</t>
  </si>
  <si>
    <t>Northern Dvina</t>
  </si>
  <si>
    <t>Mamberamo River</t>
  </si>
  <si>
    <t>Cumberland</t>
  </si>
  <si>
    <t>Kwango</t>
  </si>
  <si>
    <t>Barito River</t>
  </si>
  <si>
    <t>Java Sea</t>
  </si>
  <si>
    <t>Ghaghara</t>
  </si>
  <si>
    <t>India, Nepal, China</t>
  </si>
  <si>
    <t>Huai River</t>
  </si>
  <si>
    <t>Aras</t>
  </si>
  <si>
    <t>Kura</t>
  </si>
  <si>
    <t>Turkey, Armenia, Azerbaijan, Iran</t>
  </si>
  <si>
    <t>Seversky Donets</t>
  </si>
  <si>
    <t>Oder–Warta</t>
  </si>
  <si>
    <t>Poland, Germany, Czech Republic</t>
  </si>
  <si>
    <t>Daugava</t>
  </si>
  <si>
    <t>Gulf of Riga</t>
  </si>
  <si>
    <t>Latvia, Belarus, Russia</t>
  </si>
  <si>
    <t>Loire</t>
  </si>
  <si>
    <t>Khopyor</t>
  </si>
  <si>
    <t>Spain, Portugal</t>
  </si>
  <si>
    <t>Flinders River</t>
  </si>
  <si>
    <t>Gulf of Carpentaria</t>
  </si>
  <si>
    <t>Countries in the drainage basin</t>
  </si>
  <si>
    <t>Ubangi–Uele</t>
  </si>
  <si>
    <t>Río de la Plata–Paraná–Rio Grande</t>
  </si>
  <si>
    <t>Yellow River (Huang He)</t>
  </si>
  <si>
    <t>Congo–Chambeshi (Zaïre)</t>
  </si>
  <si>
    <t>Amur–Argun–Kherlen (Heilong Jiang)</t>
  </si>
  <si>
    <t>Mekong (Lancang Jiang)</t>
  </si>
  <si>
    <t>Salween (Nu Jiang)</t>
  </si>
  <si>
    <t>Saint Lawrence – Niagara – Detroit – Saint Clair – Saint Marys – Saint Louis – North (Great Lakes)</t>
  </si>
  <si>
    <t>Nile – White Nile – Kagera – Nyabarongo – Mwogo – Rukarara</t>
  </si>
  <si>
    <t>Amazon – Ucayali – Tambo – Ene – Mantaro</t>
  </si>
  <si>
    <t>Yangtze – Jinsha – Tongtian – Dangqu (Chang Jiang)</t>
  </si>
  <si>
    <t>Mississippi – Missouri – Jefferson – Beaverhead – Red Rock – Hell Roaring</t>
  </si>
  <si>
    <t>Yenisey – Angara – Selenga – Ider</t>
  </si>
  <si>
    <t>Madeira – Mamoré – Grande – Caine – Rocha</t>
  </si>
  <si>
    <t>Irrawaddy River – N'Mai River – Dulong River – Kelaoluo–Gada Qu</t>
  </si>
  <si>
    <t>Zambezi (Zambesi)</t>
  </si>
  <si>
    <t>Pearl – Xi-Xun - Qian - Hongshui-Nanpan</t>
  </si>
  <si>
    <t>Tagus (Tajo/Tejo)</t>
  </si>
  <si>
    <r>
      <t xml:space="preserve"> </t>
    </r>
    <r>
      <rPr>
        <b/>
        <i/>
        <sz val="11"/>
        <color theme="1"/>
        <rFont val="Calibri"/>
        <family val="2"/>
        <scheme val="minor"/>
      </rPr>
      <t>Q</t>
    </r>
    <r>
      <rPr>
        <b/>
        <sz val="11"/>
        <color theme="1"/>
        <rFont val="Calibri"/>
        <family val="2"/>
        <scheme val="minor"/>
      </rPr>
      <t>: Average Discharge [m³/s]</t>
    </r>
  </si>
  <si>
    <t>Hessen</t>
  </si>
  <si>
    <r>
      <t xml:space="preserve"> </t>
    </r>
    <r>
      <rPr>
        <b/>
        <i/>
        <sz val="11"/>
        <color theme="1"/>
        <rFont val="Calibri"/>
        <family val="2"/>
        <scheme val="minor"/>
      </rPr>
      <t>L</t>
    </r>
    <r>
      <rPr>
        <b/>
        <sz val="11"/>
        <color theme="1"/>
        <rFont val="Calibri"/>
        <family val="2"/>
        <scheme val="minor"/>
      </rPr>
      <t>: Length [km]</t>
    </r>
  </si>
  <si>
    <t>XII</t>
  </si>
  <si>
    <t>River average discharge (Q) and Area (A)</t>
  </si>
  <si>
    <t>Human Capital Model</t>
  </si>
  <si>
    <t>=A/Q=[s/(m³*km²)]</t>
  </si>
  <si>
    <r>
      <t>(Q*10</t>
    </r>
    <r>
      <rPr>
        <b/>
        <vertAlign val="superscript"/>
        <sz val="11"/>
        <color theme="1"/>
        <rFont val="Calibri"/>
        <family val="2"/>
        <scheme val="minor"/>
      </rPr>
      <t>3</t>
    </r>
    <r>
      <rPr>
        <b/>
        <sz val="11"/>
        <color theme="1"/>
        <rFont val="Calibri"/>
        <family val="2"/>
        <scheme val="minor"/>
      </rPr>
      <t>)/(A</t>
    </r>
    <r>
      <rPr>
        <b/>
        <sz val="11"/>
        <color theme="1"/>
        <rFont val="Calibri"/>
        <family val="2"/>
        <scheme val="minor"/>
      </rPr>
      <t>)</t>
    </r>
  </si>
  <si>
    <t>Median</t>
  </si>
  <si>
    <t>*For conflicting data, the lower value was chosen</t>
  </si>
  <si>
    <t>Reference</t>
  </si>
  <si>
    <t>(Wikipedia, 2023)</t>
  </si>
  <si>
    <t>=A/Q</t>
  </si>
  <si>
    <t xml:space="preserve"> River basin</t>
  </si>
  <si>
    <t>Z = (X/Y) =</t>
  </si>
  <si>
    <t>(Wasserwirtschaftsamt Aschaffenburg, 2023)</t>
  </si>
  <si>
    <t>Other:</t>
  </si>
  <si>
    <t>For conflicting data, lower values have been chosen</t>
  </si>
  <si>
    <t>= A / Q</t>
  </si>
  <si>
    <t>FWS=50%, 2070 Purified water output</t>
  </si>
  <si>
    <t>Green hydrogen's raw water consumption per water source distribution if 100% market share</t>
  </si>
  <si>
    <r>
      <t>= (Q*10</t>
    </r>
    <r>
      <rPr>
        <b/>
        <i/>
        <vertAlign val="superscript"/>
        <sz val="11"/>
        <color theme="1"/>
        <rFont val="Calibri"/>
        <family val="2"/>
        <scheme val="minor"/>
      </rPr>
      <t>3</t>
    </r>
    <r>
      <rPr>
        <b/>
        <i/>
        <sz val="11"/>
        <color theme="1"/>
        <rFont val="Calibri"/>
        <family val="2"/>
        <scheme val="minor"/>
      </rPr>
      <t>) / (A)</t>
    </r>
  </si>
  <si>
    <t xml:space="preserve"> Water footprint</t>
  </si>
  <si>
    <t>Fixed Values</t>
  </si>
  <si>
    <t>Import</t>
  </si>
  <si>
    <t>y = 9.5201 x + 435.14</t>
  </si>
  <si>
    <t>R² = 0.0493</t>
  </si>
  <si>
    <t>Y,Main ist</t>
  </si>
  <si>
    <t>Y,Main soll</t>
  </si>
  <si>
    <t>Sensitivität</t>
  </si>
  <si>
    <t>Sum Iron</t>
  </si>
  <si>
    <t>Sum Lion</t>
  </si>
  <si>
    <t>Sum Zion</t>
  </si>
  <si>
    <t>Parameter senstivity Iron</t>
  </si>
  <si>
    <t>Water Availability</t>
  </si>
  <si>
    <t>Solar</t>
  </si>
  <si>
    <t>Wind</t>
  </si>
  <si>
    <t>Scenario</t>
  </si>
  <si>
    <t>Site</t>
  </si>
  <si>
    <t>∑</t>
  </si>
  <si>
    <t>p1</t>
  </si>
  <si>
    <t>p2</t>
  </si>
  <si>
    <t>p3</t>
  </si>
  <si>
    <t>p4</t>
  </si>
  <si>
    <t>p5</t>
  </si>
  <si>
    <t>Avg Probe</t>
  </si>
  <si>
    <t>Solar energy yield of 1 football field (7140m²) in Darmstadt, Germany (SG Eiche training ground)</t>
  </si>
  <si>
    <t>electrolyzer efficiency</t>
  </si>
  <si>
    <t>kWh/yr</t>
  </si>
  <si>
    <r>
      <t>kWh/kgH</t>
    </r>
    <r>
      <rPr>
        <vertAlign val="subscript"/>
        <sz val="11"/>
        <color theme="1"/>
        <rFont val="Calibri"/>
        <family val="2"/>
        <scheme val="minor"/>
      </rPr>
      <t>2</t>
    </r>
  </si>
  <si>
    <t>-&gt;</t>
  </si>
  <si>
    <t>resulting annual green hydrogen yield</t>
  </si>
  <si>
    <t>Boundary Conditions: Assuming no energy storage losses, water footprint neglectable</t>
  </si>
  <si>
    <r>
      <t>kgH</t>
    </r>
    <r>
      <rPr>
        <b/>
        <vertAlign val="subscript"/>
        <sz val="11"/>
        <color theme="1"/>
        <rFont val="Calibri"/>
        <family val="2"/>
        <scheme val="minor"/>
      </rPr>
      <t>2</t>
    </r>
    <r>
      <rPr>
        <b/>
        <sz val="11"/>
        <color theme="1"/>
        <rFont val="Calibri"/>
        <family val="2"/>
        <scheme val="minor"/>
      </rPr>
      <t>/yr</t>
    </r>
  </si>
  <si>
    <t>Gas tank capacity</t>
  </si>
  <si>
    <t>Mileage per full tank</t>
  </si>
  <si>
    <t>https://www.adac.de/rund-ums-fahrzeug/autokatalog/marken-modelle/toyota/toyota-mirai/</t>
  </si>
  <si>
    <t>Full gas tanks per year</t>
  </si>
  <si>
    <t>car tank/yr</t>
  </si>
  <si>
    <r>
      <t>kgH</t>
    </r>
    <r>
      <rPr>
        <vertAlign val="subscript"/>
        <sz val="11"/>
        <color theme="1"/>
        <rFont val="Calibri"/>
        <family val="2"/>
        <scheme val="minor"/>
      </rPr>
      <t>2</t>
    </r>
    <r>
      <rPr>
        <sz val="11"/>
        <color theme="1"/>
        <rFont val="Calibri"/>
        <family val="2"/>
        <scheme val="minor"/>
      </rPr>
      <t>/car tank</t>
    </r>
  </si>
  <si>
    <t>km/car tank</t>
  </si>
  <si>
    <t>km/yr</t>
  </si>
  <si>
    <r>
      <t>H</t>
    </r>
    <r>
      <rPr>
        <b/>
        <vertAlign val="subscript"/>
        <sz val="11"/>
        <color theme="1"/>
        <rFont val="Calibri"/>
        <family val="2"/>
        <scheme val="minor"/>
      </rPr>
      <t>2</t>
    </r>
    <r>
      <rPr>
        <b/>
        <sz val="11"/>
        <color theme="1"/>
        <rFont val="Calibri"/>
        <family val="2"/>
        <scheme val="minor"/>
      </rPr>
      <t xml:space="preserve"> car (Toyota Mirai)</t>
    </r>
  </si>
  <si>
    <t>electricity demand per mileage</t>
  </si>
  <si>
    <t>kWh/100km</t>
  </si>
  <si>
    <t>Annual EV Setup Mileage</t>
  </si>
  <si>
    <t>Average Mileage per n H2 cars = 10,000 km/car</t>
  </si>
  <si>
    <t>car(s)/yr</t>
  </si>
  <si>
    <t>Average Mileage per n EV cars = 10,000 km/car</t>
  </si>
  <si>
    <t>Efficiency comparison</t>
  </si>
  <si>
    <t>kgH2O</t>
  </si>
  <si>
    <t>Raw Water Consumptions</t>
  </si>
  <si>
    <t>Comparing H2 cars and battery electric vehicles</t>
  </si>
  <si>
    <t>https://www.adac.de/rund-ums-fahrzeug/elektromobilitaet/tests/stromverbrauch-elektroautos-adac-test/</t>
  </si>
  <si>
    <t>EV (Hyundai Ioniq 6)</t>
  </si>
  <si>
    <r>
      <t>Annual H</t>
    </r>
    <r>
      <rPr>
        <b/>
        <vertAlign val="subscript"/>
        <sz val="11"/>
        <color theme="1"/>
        <rFont val="Calibri"/>
        <family val="2"/>
        <scheme val="minor"/>
      </rPr>
      <t>2</t>
    </r>
    <r>
      <rPr>
        <b/>
        <sz val="11"/>
        <color theme="1"/>
        <rFont val="Calibri"/>
        <family val="2"/>
        <scheme val="minor"/>
      </rPr>
      <t xml:space="preserve"> Setup Mileage</t>
    </r>
  </si>
  <si>
    <r>
      <t>EV/H</t>
    </r>
    <r>
      <rPr>
        <b/>
        <vertAlign val="subscript"/>
        <sz val="11"/>
        <color theme="1"/>
        <rFont val="Calibri"/>
        <family val="2"/>
        <scheme val="minor"/>
      </rPr>
      <t>2</t>
    </r>
  </si>
  <si>
    <r>
      <t>H</t>
    </r>
    <r>
      <rPr>
        <b/>
        <vertAlign val="subscript"/>
        <sz val="11"/>
        <color theme="1"/>
        <rFont val="Calibri"/>
        <family val="2"/>
        <scheme val="minor"/>
      </rPr>
      <t>2</t>
    </r>
    <r>
      <rPr>
        <b/>
        <sz val="11"/>
        <color theme="1"/>
        <rFont val="Calibri"/>
        <family val="2"/>
        <scheme val="minor"/>
      </rPr>
      <t>/EV</t>
    </r>
  </si>
  <si>
    <t>https://www.google.com/url?sa=t&amp;rct=j&amp;q=&amp;esrc=s&amp;source=web&amp;cd=&amp;ved=2ahUKEwitwOHq16aDAxVb2gIHHSsaAMsQFnoECBAQAQ&amp;url=https%3A%2F%2Fwww.eurowater.com%2FAdmin%2FPublic%2FDownload.aspx%3Ffile%3DFiles%252FFiles%252Feurowater%252FCountry%252FInternational%252FLeaflets%252FWhite-paper_water-treatment-for-hydrogen_EUROWATER.pdf&amp;usg=AOvVaw0pso6OsVgPe0_f0t6-azIc&amp;opi=89978449</t>
  </si>
  <si>
    <t>Link leads to immediate download of Eurowater presentation file, original link could not be found</t>
  </si>
  <si>
    <t>Reference:</t>
  </si>
  <si>
    <t xml:space="preserve">Weight  </t>
  </si>
  <si>
    <t>Proper evaluation in sheet VII</t>
  </si>
  <si>
    <t>CO2-Ausstoß weltweit: Anteil an Sektoren bis 2021</t>
  </si>
  <si>
    <t>Verteilung der CO2-Emissionen weltweit nach Sektor bis 2021</t>
  </si>
  <si>
    <t>Energy industry</t>
  </si>
  <si>
    <t>Transport</t>
  </si>
  <si>
    <t>Other industrial combustion</t>
  </si>
  <si>
    <t>Other sectors</t>
  </si>
  <si>
    <t>2017</t>
  </si>
  <si>
    <t>in %</t>
  </si>
  <si>
    <t>2018</t>
  </si>
  <si>
    <t>2021</t>
  </si>
  <si>
    <t>SUM Industry:</t>
  </si>
  <si>
    <t>Weltweiter Primärenergieverbrauch nach Energieträger 2022</t>
  </si>
  <si>
    <t>Weltweiter Primärenergieverbrauch nach Energieträger in den Jahren 2021 und 2022 (in Exajoule)</t>
  </si>
  <si>
    <t>Oil</t>
  </si>
  <si>
    <t>Coal</t>
  </si>
  <si>
    <t>Natural Gas</t>
  </si>
  <si>
    <t>Hydro-electricity</t>
  </si>
  <si>
    <t>Renewables</t>
  </si>
  <si>
    <t>Nuclear energy</t>
  </si>
  <si>
    <t>2022</t>
  </si>
  <si>
    <t>Growth</t>
  </si>
  <si>
    <t>Probe</t>
  </si>
  <si>
    <t>fossil share:</t>
  </si>
  <si>
    <t xml:space="preserve">https://de.statista.com/statistik/daten/studie/167957/umfrage/verteilung-der-co-emissionen-weltweit-nach-bereich/ </t>
  </si>
  <si>
    <t>https://de.statista.com/statistik/daten/studie/42454/umfrage/weltweiter-primaerenergieverbrauch-nach-brennstoffen-in-oelaequivalent/</t>
  </si>
  <si>
    <t xml:space="preserve">https://www.lens.org/lens/search/patent/list?q=(%22green%20hydrogen%22)%20OR%20(%22clean%20hydrogen%22)%20OR%20(%22renewable%20hydrogen%22)%20OR%20(%22low-carbon%20hydrogen%22)%20OR%20(renewable%20liquid%20and%20gaseous%20fuels%20of%20non-biologic%20origin)&amp;f=false&amp;e=false&amp;l=en </t>
  </si>
  <si>
    <t>https://www.lens.org/lens/search/scholar/analysis?q=(%22green%20hydrogen%22)%20OR%20(%22clean%20hydrogen%22)%20OR%20(%22renewable%20hydrogen%22)%20OR%20(%22low-carbon%20hydrogen%22)%20OR%20(renewable%20liquid%20and%20gaseous%20fuels%20of%20non-biologic%20origin)</t>
  </si>
  <si>
    <r>
      <t>k</t>
    </r>
    <r>
      <rPr>
        <b/>
        <vertAlign val="subscript"/>
        <sz val="14"/>
        <color rgb="FF7030A0"/>
        <rFont val="Charter"/>
      </rPr>
      <t>1</t>
    </r>
    <r>
      <rPr>
        <b/>
        <sz val="14"/>
        <color rgb="FF7030A0"/>
        <rFont val="Charter"/>
      </rPr>
      <t xml:space="preserve">: </t>
    </r>
    <r>
      <rPr>
        <b/>
        <i/>
        <sz val="14"/>
        <color rgb="FF7030A0"/>
        <rFont val="Charter"/>
      </rPr>
      <t>Iron</t>
    </r>
  </si>
  <si>
    <r>
      <t>k</t>
    </r>
    <r>
      <rPr>
        <b/>
        <vertAlign val="subscript"/>
        <sz val="14"/>
        <color rgb="FF7030A0"/>
        <rFont val="Charter"/>
      </rPr>
      <t>2</t>
    </r>
    <r>
      <rPr>
        <b/>
        <sz val="14"/>
        <color rgb="FF7030A0"/>
        <rFont val="Charter"/>
      </rPr>
      <t xml:space="preserve">: </t>
    </r>
    <r>
      <rPr>
        <b/>
        <i/>
        <sz val="14"/>
        <color rgb="FF7030A0"/>
        <rFont val="Charter"/>
      </rPr>
      <t>Lion</t>
    </r>
  </si>
  <si>
    <r>
      <t>k</t>
    </r>
    <r>
      <rPr>
        <b/>
        <vertAlign val="subscript"/>
        <sz val="14"/>
        <color rgb="FF7030A0"/>
        <rFont val="Charter"/>
      </rPr>
      <t>3</t>
    </r>
    <r>
      <rPr>
        <b/>
        <sz val="14"/>
        <color rgb="FF7030A0"/>
        <rFont val="Charter"/>
      </rPr>
      <t xml:space="preserve">: </t>
    </r>
    <r>
      <rPr>
        <b/>
        <i/>
        <sz val="14"/>
        <color rgb="FF7030A0"/>
        <rFont val="Charter"/>
      </rPr>
      <t>Zion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</si>
</sst>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00"/>
    <numFmt numFmtId="165" formatCode="0.00000"/>
    <numFmt numFmtId="166" formatCode="0.0"/>
    <numFmt numFmtId="167" formatCode="0.0000"/>
    <numFmt numFmtId="168" formatCode="_-* #,##0.00\ _€_-;\-* #,##0.00\ _€_-;_-* &quot;-&quot;??\ _€_-;_-@_-"/>
    <numFmt numFmtId="169" formatCode="0.0000000"/>
    <numFmt numFmtId="170" formatCode="0.000000"/>
    <numFmt numFmtId="171" formatCode="_-* #,##0_-;\-* #,##0_-;_-* &quot;-&quot;??_-;_-@_-"/>
    <numFmt numFmtId="172" formatCode="_-* #,##0.00000000\ _€_-;\-* #,##0.00000000\ _€_-;_-* &quot;-&quot;??\ _€_-;_-@_-"/>
    <numFmt numFmtId="173" formatCode="yyyy"/>
    <numFmt numFmtId="174" formatCode="#,##0.0"/>
    <numFmt numFmtId="175" formatCode="_-* #,##0.0000_-;\-* #,##0.0000_-;_-* &quot;-&quot;??_-;_-@_-"/>
    <numFmt numFmtId="176" formatCode="0.0%"/>
  </numFmts>
  <fonts count="68"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harter"/>
    </font>
    <font>
      <b/>
      <sz val="11"/>
      <color rgb="FF000000"/>
      <name val="Charter"/>
    </font>
    <font>
      <sz val="10"/>
      <name val="Arial"/>
      <family val="2"/>
    </font>
    <font>
      <b/>
      <sz val="10"/>
      <name val="Arial"/>
      <family val="2"/>
    </font>
    <font>
      <u/>
      <sz val="10"/>
      <color rgb="FF0000FF"/>
      <name val="Arial"/>
      <family val="2"/>
    </font>
    <font>
      <i/>
      <sz val="10"/>
      <name val="Arial"/>
      <family val="2"/>
    </font>
    <font>
      <sz val="9"/>
      <color theme="1"/>
      <name val="Charter"/>
    </font>
    <font>
      <sz val="8"/>
      <name val="Calibri"/>
      <family val="2"/>
      <scheme val="minor"/>
    </font>
    <font>
      <i/>
      <sz val="11"/>
      <color theme="1"/>
      <name val="Charter"/>
    </font>
    <font>
      <vertAlign val="subscript"/>
      <sz val="11"/>
      <color theme="1"/>
      <name val="Charter"/>
    </font>
    <font>
      <sz val="11"/>
      <color rgb="FF7030A0"/>
      <name val="Calibri"/>
      <family val="2"/>
      <scheme val="minor"/>
    </font>
    <font>
      <b/>
      <vertAlign val="subscript"/>
      <sz val="11"/>
      <color rgb="FF000000"/>
      <name val="Charter"/>
    </font>
    <font>
      <b/>
      <sz val="11"/>
      <color theme="1"/>
      <name val="Charter"/>
    </font>
    <font>
      <b/>
      <vertAlign val="subscript"/>
      <sz val="11"/>
      <color theme="1"/>
      <name val="Charter"/>
    </font>
    <font>
      <u/>
      <sz val="9"/>
      <color theme="10"/>
      <name val="Charter"/>
    </font>
    <font>
      <sz val="11"/>
      <color rgb="FF00B050"/>
      <name val="Charter"/>
    </font>
    <font>
      <sz val="11"/>
      <color rgb="FF000000"/>
      <name val="Charter"/>
    </font>
    <font>
      <sz val="9"/>
      <color theme="1"/>
      <name val="FrontPage Pro"/>
    </font>
    <font>
      <b/>
      <sz val="9"/>
      <color theme="1"/>
      <name val="Charter"/>
    </font>
    <font>
      <sz val="11"/>
      <color theme="0"/>
      <name val="Calibri"/>
      <family val="2"/>
      <scheme val="minor"/>
    </font>
    <font>
      <i/>
      <vertAlign val="subscript"/>
      <sz val="11"/>
      <color theme="1"/>
      <name val="Charter"/>
    </font>
    <font>
      <sz val="11"/>
      <color theme="1"/>
      <name val="Calibri"/>
      <family val="2"/>
      <scheme val="minor"/>
    </font>
    <font>
      <b/>
      <sz val="15"/>
      <color theme="3"/>
      <name val="Calibri"/>
      <family val="2"/>
      <scheme val="minor"/>
    </font>
    <font>
      <b/>
      <sz val="13"/>
      <color theme="3"/>
      <name val="Calibri"/>
      <family val="2"/>
      <scheme val="minor"/>
    </font>
    <font>
      <b/>
      <sz val="18"/>
      <color theme="1"/>
      <name val="Calibri"/>
      <family val="2"/>
      <scheme val="minor"/>
    </font>
    <font>
      <b/>
      <sz val="15"/>
      <color theme="0"/>
      <name val="Calibri"/>
      <family val="2"/>
      <scheme val="minor"/>
    </font>
    <font>
      <b/>
      <sz val="11"/>
      <color theme="5" tint="-0.249977111117893"/>
      <name val="Charter"/>
    </font>
    <font>
      <b/>
      <sz val="11"/>
      <color theme="1"/>
      <name val="Calibri"/>
      <family val="2"/>
    </font>
    <font>
      <b/>
      <vertAlign val="subscript"/>
      <sz val="11"/>
      <color theme="1"/>
      <name val="Calibri"/>
      <family val="2"/>
    </font>
    <font>
      <b/>
      <vertAlign val="subscript"/>
      <sz val="11"/>
      <color theme="1"/>
      <name val="Calibri"/>
      <family val="2"/>
      <scheme val="minor"/>
    </font>
    <font>
      <b/>
      <sz val="11"/>
      <color theme="1"/>
      <name val="Cambria"/>
      <family val="1"/>
    </font>
    <font>
      <b/>
      <vertAlign val="subscript"/>
      <sz val="11"/>
      <color theme="1"/>
      <name val="Cambria"/>
      <family val="1"/>
    </font>
    <font>
      <sz val="11"/>
      <name val="Calibri"/>
      <family val="2"/>
      <scheme val="minor"/>
    </font>
    <font>
      <sz val="10"/>
      <color theme="1"/>
      <name val="Calibri"/>
      <family val="2"/>
      <scheme val="minor"/>
    </font>
    <font>
      <b/>
      <sz val="12"/>
      <color rgb="FF7030A0"/>
      <name val="Calibri"/>
      <family val="2"/>
      <scheme val="minor"/>
    </font>
    <font>
      <b/>
      <sz val="11"/>
      <color rgb="FF00B050"/>
      <name val="Charter"/>
    </font>
    <font>
      <b/>
      <sz val="14"/>
      <color theme="1"/>
      <name val="Calibri"/>
      <family val="2"/>
      <scheme val="minor"/>
    </font>
    <font>
      <sz val="14"/>
      <color theme="1"/>
      <name val="Calibri"/>
      <family val="2"/>
      <scheme val="minor"/>
    </font>
    <font>
      <b/>
      <sz val="14"/>
      <color theme="1"/>
      <name val="Charter"/>
    </font>
    <font>
      <vertAlign val="subscript"/>
      <sz val="11"/>
      <color theme="1"/>
      <name val="Calibri"/>
      <family val="2"/>
      <scheme val="minor"/>
    </font>
    <font>
      <b/>
      <sz val="11"/>
      <color theme="9" tint="-0.249977111117893"/>
      <name val="Charter"/>
    </font>
    <font>
      <b/>
      <vertAlign val="subscript"/>
      <sz val="11"/>
      <color theme="9" tint="-0.249977111117893"/>
      <name val="Charter"/>
    </font>
    <font>
      <b/>
      <sz val="12.65"/>
      <color theme="9" tint="-0.249977111117893"/>
      <name val="Charter"/>
    </font>
    <font>
      <b/>
      <vertAlign val="subscript"/>
      <sz val="12.65"/>
      <color theme="9" tint="-0.249977111117893"/>
      <name val="Charter"/>
    </font>
    <font>
      <sz val="18"/>
      <color theme="1"/>
      <name val="Charter"/>
    </font>
    <font>
      <sz val="11"/>
      <color rgb="FF7030A0"/>
      <name val="Charter"/>
    </font>
    <font>
      <b/>
      <sz val="11"/>
      <color theme="9" tint="-0.249977111117893"/>
      <name val="Calibri"/>
      <family val="2"/>
      <scheme val="minor"/>
    </font>
    <font>
      <b/>
      <vertAlign val="subscript"/>
      <sz val="11"/>
      <color theme="9" tint="-0.249977111117893"/>
      <name val="Calibri"/>
      <family val="2"/>
      <scheme val="minor"/>
    </font>
    <font>
      <b/>
      <vertAlign val="superscript"/>
      <sz val="11"/>
      <color theme="9" tint="-0.249977111117893"/>
      <name val="Calibri"/>
      <family val="2"/>
      <scheme val="minor"/>
    </font>
    <font>
      <b/>
      <sz val="11"/>
      <color rgb="FF7030A0"/>
      <name val="Calibri"/>
      <family val="2"/>
      <scheme val="minor"/>
    </font>
    <font>
      <b/>
      <i/>
      <sz val="11"/>
      <color theme="1"/>
      <name val="Calibri"/>
      <family val="2"/>
      <scheme val="minor"/>
    </font>
    <font>
      <b/>
      <vertAlign val="superscript"/>
      <sz val="11"/>
      <color theme="1"/>
      <name val="Calibri"/>
      <family val="2"/>
      <scheme val="minor"/>
    </font>
    <font>
      <b/>
      <i/>
      <vertAlign val="superscript"/>
      <sz val="11"/>
      <color theme="1"/>
      <name val="Calibri"/>
      <family val="2"/>
      <scheme val="minor"/>
    </font>
    <font>
      <b/>
      <sz val="11"/>
      <color rgb="FF7030A0"/>
      <name val="Charter"/>
    </font>
    <font>
      <sz val="12"/>
      <color theme="1"/>
      <name val="Calibri"/>
      <family val="2"/>
      <scheme val="minor"/>
    </font>
    <font>
      <b/>
      <sz val="12"/>
      <color theme="1"/>
      <name val="Calibri"/>
      <family val="2"/>
      <scheme val="minor"/>
    </font>
    <font>
      <sz val="12"/>
      <name val="Calibri"/>
      <family val="2"/>
      <scheme val="minor"/>
    </font>
    <font>
      <sz val="11"/>
      <color theme="1"/>
      <name val="Cambria"/>
      <family val="1"/>
    </font>
    <font>
      <b/>
      <sz val="14"/>
      <color rgb="FF7030A0"/>
      <name val="Charter"/>
    </font>
    <font>
      <b/>
      <sz val="10"/>
      <color theme="1"/>
      <name val="Calibri"/>
      <family val="2"/>
      <scheme val="minor"/>
    </font>
    <font>
      <b/>
      <sz val="14"/>
      <color rgb="FF7030A0"/>
      <name val="Calibri"/>
      <family val="2"/>
      <scheme val="minor"/>
    </font>
    <font>
      <i/>
      <sz val="11"/>
      <color theme="1"/>
      <name val="Calibri"/>
      <family val="2"/>
      <scheme val="minor"/>
    </font>
    <font>
      <b/>
      <vertAlign val="subscript"/>
      <sz val="14"/>
      <color rgb="FF7030A0"/>
      <name val="Charter"/>
    </font>
    <font>
      <sz val="14"/>
      <color theme="1"/>
      <name val="Cambria"/>
      <family val="1"/>
    </font>
    <font>
      <b/>
      <i/>
      <sz val="14"/>
      <color rgb="FF7030A0"/>
      <name val="Charter"/>
    </font>
  </fonts>
  <fills count="25">
    <fill>
      <patternFill patternType="none"/>
    </fill>
    <fill>
      <patternFill patternType="gray125"/>
    </fill>
    <fill>
      <patternFill patternType="solid">
        <fgColor rgb="FFF2F2F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BEE4C8"/>
        <bgColor indexed="64"/>
      </patternFill>
    </fill>
    <fill>
      <patternFill patternType="solid">
        <fgColor rgb="FFFFF7CD"/>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8"/>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rgb="FFFFF8E5"/>
        <bgColor indexed="64"/>
      </patternFill>
    </fill>
    <fill>
      <patternFill patternType="solid">
        <fgColor rgb="FFEFF6EA"/>
        <bgColor indexed="64"/>
      </patternFill>
    </fill>
    <fill>
      <patternFill patternType="solid">
        <fgColor rgb="FFFFA401"/>
        <bgColor indexed="64"/>
      </patternFill>
    </fill>
    <fill>
      <patternFill patternType="solid">
        <fgColor rgb="FFE3E6E2"/>
        <bgColor indexed="64"/>
      </patternFill>
    </fill>
  </fills>
  <borders count="97">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auto="1"/>
      </right>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auto="1"/>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medium">
        <color indexed="64"/>
      </top>
      <bottom style="double">
        <color indexed="64"/>
      </bottom>
      <diagonal/>
    </border>
    <border>
      <left style="dashDot">
        <color indexed="64"/>
      </left>
      <right style="medium">
        <color indexed="64"/>
      </right>
      <top style="medium">
        <color indexed="64"/>
      </top>
      <bottom style="medium">
        <color indexed="64"/>
      </bottom>
      <diagonal/>
    </border>
    <border>
      <left style="dashDot">
        <color indexed="64"/>
      </left>
      <right style="medium">
        <color indexed="64"/>
      </right>
      <top style="medium">
        <color indexed="64"/>
      </top>
      <bottom/>
      <diagonal/>
    </border>
    <border>
      <left style="dashDot">
        <color indexed="64"/>
      </left>
      <right style="medium">
        <color indexed="64"/>
      </right>
      <top/>
      <bottom style="thin">
        <color indexed="64"/>
      </bottom>
      <diagonal/>
    </border>
    <border>
      <left style="dashDot">
        <color indexed="64"/>
      </left>
      <right style="medium">
        <color indexed="64"/>
      </right>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style="dashed">
        <color indexed="64"/>
      </right>
      <top style="medium">
        <color indexed="64"/>
      </top>
      <bottom style="medium">
        <color indexed="64"/>
      </bottom>
      <diagonal/>
    </border>
    <border diagonalDown="1">
      <left/>
      <right style="medium">
        <color indexed="64"/>
      </right>
      <top/>
      <bottom style="medium">
        <color indexed="64"/>
      </bottom>
      <diagonal style="thin">
        <color auto="1"/>
      </diagonal>
    </border>
    <border diagonalDown="1">
      <left style="medium">
        <color indexed="64"/>
      </left>
      <right/>
      <top/>
      <bottom/>
      <diagonal style="thin">
        <color auto="1"/>
      </diagonal>
    </border>
    <border>
      <left style="medium">
        <color indexed="64"/>
      </left>
      <right style="medium">
        <color indexed="64"/>
      </right>
      <top style="medium">
        <color indexed="64"/>
      </top>
      <bottom style="dashed">
        <color indexed="64"/>
      </bottom>
      <diagonal/>
    </border>
    <border>
      <left style="medium">
        <color indexed="64"/>
      </left>
      <right style="thin">
        <color indexed="64"/>
      </right>
      <top style="medium">
        <color indexed="64"/>
      </top>
      <bottom style="dashDot">
        <color indexed="64"/>
      </bottom>
      <diagonal/>
    </border>
    <border>
      <left style="thin">
        <color indexed="64"/>
      </left>
      <right style="thin">
        <color indexed="64"/>
      </right>
      <top style="medium">
        <color indexed="64"/>
      </top>
      <bottom style="dashDot">
        <color indexed="64"/>
      </bottom>
      <diagonal/>
    </border>
    <border>
      <left style="thin">
        <color indexed="64"/>
      </left>
      <right style="medium">
        <color indexed="64"/>
      </right>
      <top style="medium">
        <color indexed="64"/>
      </top>
      <bottom style="dashDot">
        <color indexed="64"/>
      </bottom>
      <diagonal/>
    </border>
  </borders>
  <cellStyleXfs count="8">
    <xf numFmtId="0" fontId="0" fillId="0" borderId="0"/>
    <xf numFmtId="0" fontId="1" fillId="0" borderId="0" applyNumberFormat="0" applyFill="0" applyBorder="0" applyAlignment="0" applyProtection="0"/>
    <xf numFmtId="0" fontId="5" fillId="0" borderId="0"/>
    <xf numFmtId="43" fontId="24" fillId="0" borderId="0" applyFont="0" applyFill="0" applyBorder="0" applyAlignment="0" applyProtection="0"/>
    <xf numFmtId="0" fontId="25" fillId="0" borderId="73" applyNumberFormat="0" applyFill="0" applyAlignment="0" applyProtection="0"/>
    <xf numFmtId="0" fontId="26" fillId="0" borderId="74" applyNumberFormat="0" applyFill="0" applyAlignment="0" applyProtection="0"/>
    <xf numFmtId="0" fontId="2" fillId="0" borderId="75" applyNumberFormat="0" applyFill="0" applyAlignment="0" applyProtection="0"/>
    <xf numFmtId="0" fontId="5" fillId="0" borderId="0"/>
  </cellStyleXfs>
  <cellXfs count="1156">
    <xf numFmtId="0" fontId="0" fillId="0" borderId="0" xfId="0"/>
    <xf numFmtId="0" fontId="1" fillId="0" borderId="0" xfId="1"/>
    <xf numFmtId="0" fontId="3" fillId="0" borderId="0" xfId="0" applyFont="1" applyAlignment="1">
      <alignment horizontal="left" vertical="center" wrapText="1"/>
    </xf>
    <xf numFmtId="0" fontId="3" fillId="0" borderId="0" xfId="0" applyFont="1" applyAlignment="1">
      <alignment horizontal="left" vertical="center"/>
    </xf>
    <xf numFmtId="0" fontId="0" fillId="0" borderId="0" xfId="2" applyFont="1" applyAlignment="1">
      <alignment horizontal="left" vertical="center" wrapText="1"/>
    </xf>
    <xf numFmtId="0" fontId="0" fillId="0" borderId="0" xfId="2" applyFont="1" applyAlignment="1">
      <alignment horizontal="right" vertical="center"/>
    </xf>
    <xf numFmtId="0" fontId="0" fillId="0" borderId="0" xfId="2" applyFont="1" applyAlignment="1">
      <alignment horizontal="left" vertical="center"/>
    </xf>
    <xf numFmtId="0" fontId="6" fillId="0" borderId="0" xfId="2" applyFont="1" applyAlignment="1">
      <alignment horizontal="left" vertical="center"/>
    </xf>
    <xf numFmtId="0" fontId="7" fillId="0" borderId="0" xfId="2" applyFont="1"/>
    <xf numFmtId="0" fontId="8" fillId="0" borderId="0" xfId="2" applyFont="1" applyAlignment="1">
      <alignment horizontal="left" vertical="center"/>
    </xf>
    <xf numFmtId="0" fontId="0" fillId="0" borderId="2" xfId="0" applyBorder="1"/>
    <xf numFmtId="0" fontId="8" fillId="0" borderId="0" xfId="2" applyFont="1" applyAlignment="1">
      <alignment horizontal="left" vertical="center" wrapText="1"/>
    </xf>
    <xf numFmtId="0" fontId="0" fillId="0" borderId="0" xfId="0" applyAlignment="1">
      <alignment wrapText="1"/>
    </xf>
    <xf numFmtId="0" fontId="0" fillId="3" borderId="0" xfId="0" applyFill="1"/>
    <xf numFmtId="0" fontId="2" fillId="0" borderId="0" xfId="0" applyFont="1"/>
    <xf numFmtId="0" fontId="0" fillId="0" borderId="0" xfId="0" applyAlignment="1">
      <alignment horizontal="center"/>
    </xf>
    <xf numFmtId="0" fontId="4" fillId="2" borderId="4" xfId="0" applyFont="1" applyFill="1" applyBorder="1" applyAlignment="1">
      <alignment horizontal="left" vertical="center"/>
    </xf>
    <xf numFmtId="0" fontId="4" fillId="2" borderId="4" xfId="0" applyFont="1" applyFill="1" applyBorder="1" applyAlignment="1">
      <alignment horizontal="center" vertical="center"/>
    </xf>
    <xf numFmtId="0" fontId="3" fillId="0" borderId="0" xfId="0" applyFont="1"/>
    <xf numFmtId="0" fontId="15" fillId="0" borderId="0" xfId="0" applyFont="1"/>
    <xf numFmtId="0" fontId="3" fillId="0" borderId="0" xfId="0" applyFont="1" applyAlignment="1">
      <alignment horizontal="center" vertical="center"/>
    </xf>
    <xf numFmtId="0" fontId="15" fillId="0" borderId="0" xfId="0" applyFont="1" applyAlignment="1">
      <alignment horizontal="left" vertical="center"/>
    </xf>
    <xf numFmtId="0" fontId="3" fillId="0" borderId="4" xfId="0" applyFont="1" applyBorder="1"/>
    <xf numFmtId="164"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xf>
    <xf numFmtId="0" fontId="15" fillId="0" borderId="0" xfId="0" applyFont="1" applyAlignment="1">
      <alignment horizontal="left"/>
    </xf>
    <xf numFmtId="165" fontId="3" fillId="0" borderId="0" xfId="0" applyNumberFormat="1" applyFont="1" applyAlignment="1">
      <alignment horizontal="center" vertical="center"/>
    </xf>
    <xf numFmtId="0" fontId="3" fillId="0" borderId="0" xfId="0" applyFont="1" applyAlignment="1">
      <alignment horizontal="center"/>
    </xf>
    <xf numFmtId="0" fontId="3" fillId="0" borderId="6" xfId="0" applyFont="1" applyBorder="1" applyAlignment="1">
      <alignment horizontal="left" vertical="center"/>
    </xf>
    <xf numFmtId="165" fontId="3" fillId="0" borderId="6" xfId="0" applyNumberFormat="1" applyFont="1" applyBorder="1" applyAlignment="1">
      <alignment horizontal="center" vertical="center"/>
    </xf>
    <xf numFmtId="2" fontId="3" fillId="0" borderId="0" xfId="0" applyNumberFormat="1" applyFont="1" applyAlignment="1">
      <alignment horizontal="center"/>
    </xf>
    <xf numFmtId="0" fontId="9" fillId="0" borderId="0" xfId="0" applyFont="1" applyAlignment="1">
      <alignment horizontal="left"/>
    </xf>
    <xf numFmtId="0" fontId="17" fillId="0" borderId="0" xfId="1" applyFont="1" applyBorder="1" applyAlignment="1">
      <alignment horizontal="left" vertical="center"/>
    </xf>
    <xf numFmtId="164" fontId="3" fillId="0" borderId="0" xfId="0" applyNumberFormat="1" applyFont="1"/>
    <xf numFmtId="0" fontId="15" fillId="0" borderId="2" xfId="0" applyFont="1" applyBorder="1"/>
    <xf numFmtId="0" fontId="3" fillId="0" borderId="0" xfId="0" applyFont="1" applyAlignment="1">
      <alignment wrapText="1"/>
    </xf>
    <xf numFmtId="0" fontId="0" fillId="0" borderId="3" xfId="0" applyBorder="1"/>
    <xf numFmtId="0" fontId="4" fillId="2" borderId="4" xfId="0" applyFont="1" applyFill="1" applyBorder="1" applyAlignment="1">
      <alignment horizontal="left" vertical="center" wrapText="1"/>
    </xf>
    <xf numFmtId="0" fontId="9" fillId="0" borderId="0" xfId="0" applyFont="1" applyAlignment="1">
      <alignment horizontal="left" wrapText="1"/>
    </xf>
    <xf numFmtId="164" fontId="15" fillId="0" borderId="0" xfId="0" applyNumberFormat="1" applyFont="1" applyAlignment="1">
      <alignment horizontal="center"/>
    </xf>
    <xf numFmtId="0" fontId="3" fillId="0" borderId="30" xfId="0" applyFont="1" applyBorder="1"/>
    <xf numFmtId="0" fontId="3" fillId="0" borderId="31" xfId="0" applyFont="1" applyBorder="1"/>
    <xf numFmtId="164" fontId="3" fillId="0" borderId="32" xfId="0" applyNumberFormat="1" applyFont="1" applyBorder="1" applyAlignment="1">
      <alignment horizontal="center"/>
    </xf>
    <xf numFmtId="0" fontId="3" fillId="0" borderId="27" xfId="0" applyFont="1" applyBorder="1"/>
    <xf numFmtId="0" fontId="3" fillId="0" borderId="28" xfId="0" applyFont="1" applyBorder="1"/>
    <xf numFmtId="164" fontId="3" fillId="0" borderId="14" xfId="0" applyNumberFormat="1" applyFont="1" applyBorder="1"/>
    <xf numFmtId="0" fontId="3" fillId="0" borderId="29" xfId="0" applyFont="1" applyBorder="1"/>
    <xf numFmtId="2" fontId="3" fillId="0" borderId="29" xfId="0" applyNumberFormat="1" applyFont="1" applyBorder="1"/>
    <xf numFmtId="0" fontId="3" fillId="0" borderId="44" xfId="0" applyFont="1" applyBorder="1"/>
    <xf numFmtId="0" fontId="3" fillId="0" borderId="23" xfId="0" applyFont="1" applyBorder="1"/>
    <xf numFmtId="0" fontId="3" fillId="0" borderId="21" xfId="0" applyFont="1" applyBorder="1"/>
    <xf numFmtId="164" fontId="3" fillId="0" borderId="24" xfId="0" applyNumberFormat="1" applyFont="1" applyBorder="1" applyAlignment="1">
      <alignment horizontal="center"/>
    </xf>
    <xf numFmtId="2" fontId="3" fillId="0" borderId="21" xfId="0" applyNumberFormat="1" applyFont="1" applyBorder="1"/>
    <xf numFmtId="164" fontId="3" fillId="0" borderId="21" xfId="0" applyNumberFormat="1" applyFont="1" applyBorder="1" applyAlignment="1">
      <alignment horizontal="left"/>
    </xf>
    <xf numFmtId="164" fontId="3" fillId="0" borderId="24" xfId="0" applyNumberFormat="1" applyFont="1" applyBorder="1" applyAlignment="1">
      <alignment horizontal="left"/>
    </xf>
    <xf numFmtId="0" fontId="3" fillId="0" borderId="22" xfId="0" applyFont="1" applyBorder="1"/>
    <xf numFmtId="0" fontId="3" fillId="0" borderId="7" xfId="0" applyFont="1" applyBorder="1"/>
    <xf numFmtId="0" fontId="3" fillId="0" borderId="1" xfId="0" applyFont="1" applyBorder="1"/>
    <xf numFmtId="0" fontId="3" fillId="0" borderId="35" xfId="0" applyFont="1" applyBorder="1"/>
    <xf numFmtId="0" fontId="3" fillId="0" borderId="24" xfId="0" applyFont="1" applyBorder="1"/>
    <xf numFmtId="164" fontId="3" fillId="0" borderId="10" xfId="0" applyNumberFormat="1" applyFont="1" applyBorder="1"/>
    <xf numFmtId="0" fontId="3" fillId="0" borderId="25" xfId="0" applyFont="1" applyBorder="1"/>
    <xf numFmtId="0" fontId="3" fillId="0" borderId="33" xfId="0" applyFont="1" applyBorder="1"/>
    <xf numFmtId="164" fontId="3" fillId="0" borderId="26" xfId="0" applyNumberFormat="1" applyFont="1" applyBorder="1" applyAlignment="1">
      <alignment horizontal="center"/>
    </xf>
    <xf numFmtId="0" fontId="3" fillId="0" borderId="26" xfId="0" applyFont="1" applyBorder="1"/>
    <xf numFmtId="164" fontId="3" fillId="0" borderId="39" xfId="0" applyNumberFormat="1" applyFont="1" applyBorder="1"/>
    <xf numFmtId="0" fontId="3" fillId="0" borderId="46" xfId="0" applyFont="1" applyBorder="1"/>
    <xf numFmtId="2" fontId="3" fillId="0" borderId="46" xfId="0" applyNumberFormat="1" applyFont="1" applyBorder="1"/>
    <xf numFmtId="0" fontId="3" fillId="0" borderId="48" xfId="0" applyFont="1" applyBorder="1"/>
    <xf numFmtId="2" fontId="3" fillId="0" borderId="31" xfId="0" applyNumberFormat="1" applyFont="1" applyBorder="1"/>
    <xf numFmtId="164" fontId="3" fillId="0" borderId="31" xfId="0" applyNumberFormat="1" applyFont="1" applyBorder="1" applyAlignment="1">
      <alignment horizontal="left"/>
    </xf>
    <xf numFmtId="164" fontId="3" fillId="0" borderId="32" xfId="0" applyNumberFormat="1" applyFont="1" applyBorder="1" applyAlignment="1">
      <alignment horizontal="left"/>
    </xf>
    <xf numFmtId="0" fontId="3" fillId="0" borderId="34" xfId="0" applyFont="1" applyBorder="1"/>
    <xf numFmtId="0" fontId="15" fillId="0" borderId="1" xfId="0" applyFont="1" applyBorder="1"/>
    <xf numFmtId="0" fontId="3" fillId="0" borderId="16" xfId="0" applyFont="1" applyBorder="1"/>
    <xf numFmtId="0" fontId="3" fillId="0" borderId="2" xfId="0" applyFont="1" applyBorder="1"/>
    <xf numFmtId="0" fontId="3" fillId="0" borderId="17" xfId="0" applyFont="1" applyBorder="1"/>
    <xf numFmtId="2" fontId="3" fillId="0" borderId="33" xfId="0" applyNumberFormat="1" applyFont="1" applyBorder="1"/>
    <xf numFmtId="164" fontId="3" fillId="0" borderId="33" xfId="0" applyNumberFormat="1" applyFont="1" applyBorder="1" applyAlignment="1">
      <alignment horizontal="left"/>
    </xf>
    <xf numFmtId="164" fontId="3" fillId="0" borderId="26" xfId="0" applyNumberFormat="1" applyFont="1" applyBorder="1" applyAlignment="1">
      <alignment horizontal="left"/>
    </xf>
    <xf numFmtId="0" fontId="3" fillId="0" borderId="49" xfId="0" applyFont="1" applyBorder="1"/>
    <xf numFmtId="0" fontId="3" fillId="0" borderId="37" xfId="0" applyFont="1" applyBorder="1"/>
    <xf numFmtId="0" fontId="3" fillId="0" borderId="14" xfId="0" applyFont="1" applyBorder="1"/>
    <xf numFmtId="0" fontId="3" fillId="0" borderId="5" xfId="0" applyFont="1" applyBorder="1"/>
    <xf numFmtId="0" fontId="3" fillId="0" borderId="15" xfId="0" applyFont="1" applyBorder="1"/>
    <xf numFmtId="0" fontId="3" fillId="0" borderId="10" xfId="0" applyFont="1" applyBorder="1"/>
    <xf numFmtId="0" fontId="3" fillId="0" borderId="11" xfId="0" applyFont="1" applyBorder="1"/>
    <xf numFmtId="164" fontId="3" fillId="0" borderId="0" xfId="0" applyNumberFormat="1" applyFont="1" applyAlignment="1">
      <alignment horizontal="left"/>
    </xf>
    <xf numFmtId="0" fontId="18" fillId="0" borderId="0" xfId="0" quotePrefix="1" applyFont="1"/>
    <xf numFmtId="10" fontId="3" fillId="0" borderId="0" xfId="0" applyNumberFormat="1" applyFont="1" applyAlignment="1">
      <alignment horizontal="left"/>
    </xf>
    <xf numFmtId="0" fontId="15" fillId="4" borderId="18" xfId="0" applyFont="1" applyFill="1" applyBorder="1"/>
    <xf numFmtId="0" fontId="15" fillId="4" borderId="19" xfId="0" applyFont="1" applyFill="1" applyBorder="1"/>
    <xf numFmtId="0" fontId="15" fillId="4" borderId="20" xfId="0" applyFont="1" applyFill="1" applyBorder="1"/>
    <xf numFmtId="0" fontId="15" fillId="4" borderId="7" xfId="0" applyFont="1" applyFill="1" applyBorder="1"/>
    <xf numFmtId="0" fontId="15" fillId="4" borderId="18" xfId="0" applyFont="1" applyFill="1" applyBorder="1" applyAlignment="1">
      <alignment horizontal="center"/>
    </xf>
    <xf numFmtId="0" fontId="15" fillId="4" borderId="38" xfId="0" applyFont="1" applyFill="1" applyBorder="1" applyAlignment="1">
      <alignment horizontal="center"/>
    </xf>
    <xf numFmtId="0" fontId="15" fillId="4" borderId="34" xfId="0" applyFont="1" applyFill="1" applyBorder="1" applyAlignment="1">
      <alignment horizontal="center"/>
    </xf>
    <xf numFmtId="164" fontId="3" fillId="0" borderId="50" xfId="0" applyNumberFormat="1" applyFont="1" applyBorder="1"/>
    <xf numFmtId="164" fontId="3" fillId="0" borderId="51" xfId="0" applyNumberFormat="1" applyFont="1" applyBorder="1"/>
    <xf numFmtId="0" fontId="3" fillId="0" borderId="50" xfId="0" applyFont="1" applyBorder="1"/>
    <xf numFmtId="0" fontId="3" fillId="0" borderId="51" xfId="0" applyFont="1" applyBorder="1"/>
    <xf numFmtId="0" fontId="3" fillId="0" borderId="52" xfId="0" applyFont="1" applyBorder="1"/>
    <xf numFmtId="164" fontId="3" fillId="0" borderId="53" xfId="0" applyNumberFormat="1" applyFont="1" applyBorder="1"/>
    <xf numFmtId="0" fontId="3" fillId="0" borderId="53" xfId="0" applyFont="1" applyBorder="1"/>
    <xf numFmtId="0" fontId="3" fillId="5" borderId="23" xfId="0" applyFont="1" applyFill="1" applyBorder="1"/>
    <xf numFmtId="0" fontId="3" fillId="5" borderId="24" xfId="0" applyFont="1" applyFill="1" applyBorder="1"/>
    <xf numFmtId="164" fontId="3" fillId="5" borderId="10" xfId="0" applyNumberFormat="1" applyFont="1" applyFill="1" applyBorder="1"/>
    <xf numFmtId="0" fontId="3" fillId="6" borderId="25" xfId="0" applyFont="1" applyFill="1" applyBorder="1"/>
    <xf numFmtId="0" fontId="3" fillId="6" borderId="26" xfId="0" applyFont="1" applyFill="1" applyBorder="1"/>
    <xf numFmtId="164" fontId="3" fillId="6" borderId="39" xfId="0" applyNumberFormat="1" applyFont="1" applyFill="1" applyBorder="1"/>
    <xf numFmtId="164" fontId="15" fillId="4" borderId="54" xfId="0" applyNumberFormat="1" applyFont="1" applyFill="1" applyBorder="1" applyAlignment="1">
      <alignment horizontal="center"/>
    </xf>
    <xf numFmtId="0" fontId="15" fillId="4" borderId="54" xfId="0" applyFont="1" applyFill="1" applyBorder="1" applyAlignment="1">
      <alignment horizontal="center"/>
    </xf>
    <xf numFmtId="0" fontId="15" fillId="4" borderId="49" xfId="0" applyFont="1" applyFill="1" applyBorder="1" applyAlignment="1">
      <alignment horizontal="center"/>
    </xf>
    <xf numFmtId="0" fontId="15" fillId="4" borderId="54" xfId="0" applyFont="1" applyFill="1" applyBorder="1"/>
    <xf numFmtId="164" fontId="3" fillId="0" borderId="53" xfId="0" applyNumberFormat="1" applyFont="1" applyBorder="1" applyAlignment="1">
      <alignment horizontal="left"/>
    </xf>
    <xf numFmtId="164" fontId="3" fillId="0" borderId="50" xfId="0" applyNumberFormat="1" applyFont="1" applyBorder="1" applyAlignment="1">
      <alignment horizontal="left"/>
    </xf>
    <xf numFmtId="164" fontId="3" fillId="0" borderId="51" xfId="0" applyNumberFormat="1" applyFont="1" applyBorder="1" applyAlignment="1">
      <alignment horizontal="left"/>
    </xf>
    <xf numFmtId="164" fontId="15" fillId="4" borderId="54" xfId="0" applyNumberFormat="1" applyFont="1" applyFill="1" applyBorder="1" applyAlignment="1">
      <alignment horizontal="left"/>
    </xf>
    <xf numFmtId="0" fontId="20" fillId="0" borderId="0" xfId="0" applyFont="1" applyAlignment="1">
      <alignment vertical="top"/>
    </xf>
    <xf numFmtId="0" fontId="15" fillId="0" borderId="40" xfId="0" applyFont="1" applyBorder="1" applyAlignment="1">
      <alignment horizontal="center"/>
    </xf>
    <xf numFmtId="0" fontId="15" fillId="0" borderId="23" xfId="0" applyFont="1" applyBorder="1" applyAlignment="1">
      <alignment horizontal="center"/>
    </xf>
    <xf numFmtId="0" fontId="15" fillId="0" borderId="25" xfId="0" applyFont="1" applyBorder="1" applyAlignment="1">
      <alignment horizontal="center"/>
    </xf>
    <xf numFmtId="0" fontId="15" fillId="0" borderId="30" xfId="0" applyFont="1" applyBorder="1" applyAlignment="1">
      <alignment horizontal="center"/>
    </xf>
    <xf numFmtId="0" fontId="15" fillId="0" borderId="27" xfId="0" applyFont="1" applyBorder="1" applyAlignment="1">
      <alignment horizontal="center"/>
    </xf>
    <xf numFmtId="0" fontId="15" fillId="5" borderId="23" xfId="0" applyFont="1" applyFill="1" applyBorder="1" applyAlignment="1">
      <alignment horizontal="center"/>
    </xf>
    <xf numFmtId="0" fontId="3" fillId="5" borderId="21" xfId="0" applyFont="1" applyFill="1" applyBorder="1"/>
    <xf numFmtId="164" fontId="3" fillId="5" borderId="24" xfId="0" applyNumberFormat="1" applyFont="1" applyFill="1" applyBorder="1" applyAlignment="1">
      <alignment horizontal="center"/>
    </xf>
    <xf numFmtId="0" fontId="15" fillId="6" borderId="25" xfId="0" applyFont="1" applyFill="1" applyBorder="1" applyAlignment="1">
      <alignment horizontal="center"/>
    </xf>
    <xf numFmtId="0" fontId="3" fillId="6" borderId="33" xfId="0" applyFont="1" applyFill="1" applyBorder="1"/>
    <xf numFmtId="164" fontId="3" fillId="6" borderId="26" xfId="0" applyNumberFormat="1" applyFont="1" applyFill="1" applyBorder="1" applyAlignment="1">
      <alignment horizontal="center"/>
    </xf>
    <xf numFmtId="0" fontId="3" fillId="0" borderId="43" xfId="0" applyFont="1" applyBorder="1"/>
    <xf numFmtId="0" fontId="3" fillId="0" borderId="57" xfId="0" applyFont="1" applyBorder="1"/>
    <xf numFmtId="0" fontId="3" fillId="0" borderId="1" xfId="0" applyFont="1" applyBorder="1" applyAlignment="1">
      <alignment horizontal="right"/>
    </xf>
    <xf numFmtId="166" fontId="3" fillId="0" borderId="21" xfId="0" applyNumberFormat="1" applyFont="1" applyBorder="1"/>
    <xf numFmtId="0" fontId="15" fillId="0" borderId="0" xfId="0" quotePrefix="1" applyFont="1" applyAlignment="1">
      <alignment horizontal="center"/>
    </xf>
    <xf numFmtId="0" fontId="15" fillId="4" borderId="7" xfId="0" applyFont="1" applyFill="1" applyBorder="1" applyAlignment="1">
      <alignment horizontal="center"/>
    </xf>
    <xf numFmtId="0" fontId="15" fillId="4" borderId="34" xfId="0" applyFont="1" applyFill="1" applyBorder="1"/>
    <xf numFmtId="0" fontId="3" fillId="4" borderId="1" xfId="0" applyFont="1" applyFill="1" applyBorder="1"/>
    <xf numFmtId="0" fontId="3" fillId="4" borderId="35" xfId="0" applyFont="1" applyFill="1" applyBorder="1"/>
    <xf numFmtId="0" fontId="0" fillId="0" borderId="5" xfId="0" applyBorder="1"/>
    <xf numFmtId="0" fontId="0" fillId="0" borderId="60" xfId="0" applyBorder="1"/>
    <xf numFmtId="0" fontId="0" fillId="0" borderId="48" xfId="0" applyBorder="1"/>
    <xf numFmtId="0" fontId="0" fillId="0" borderId="46" xfId="0" applyBorder="1"/>
    <xf numFmtId="0" fontId="6" fillId="0" borderId="61" xfId="0" applyFont="1" applyBorder="1"/>
    <xf numFmtId="0" fontId="0" fillId="0" borderId="58" xfId="0" applyBorder="1"/>
    <xf numFmtId="0" fontId="0" fillId="0" borderId="59" xfId="0" applyBorder="1"/>
    <xf numFmtId="0" fontId="0" fillId="0" borderId="61" xfId="0" applyBorder="1"/>
    <xf numFmtId="3" fontId="5" fillId="0" borderId="59" xfId="0" applyNumberFormat="1" applyFont="1" applyBorder="1" applyAlignment="1">
      <alignment horizontal="center"/>
    </xf>
    <xf numFmtId="2" fontId="5" fillId="0" borderId="59" xfId="0" applyNumberFormat="1" applyFont="1" applyBorder="1" applyAlignment="1">
      <alignment horizontal="center"/>
    </xf>
    <xf numFmtId="2" fontId="0" fillId="0" borderId="59" xfId="0" applyNumberFormat="1" applyBorder="1" applyAlignment="1">
      <alignment horizontal="center"/>
    </xf>
    <xf numFmtId="3" fontId="0" fillId="0" borderId="59" xfId="0" applyNumberFormat="1" applyBorder="1" applyAlignment="1">
      <alignment horizontal="center"/>
    </xf>
    <xf numFmtId="0" fontId="0" fillId="0" borderId="59" xfId="0" applyBorder="1" applyAlignment="1">
      <alignment horizontal="center"/>
    </xf>
    <xf numFmtId="4" fontId="0" fillId="0" borderId="59" xfId="0" applyNumberFormat="1" applyBorder="1" applyAlignment="1">
      <alignment horizontal="center"/>
    </xf>
    <xf numFmtId="3" fontId="0" fillId="0" borderId="29" xfId="0" applyNumberFormat="1" applyBorder="1" applyAlignment="1">
      <alignment horizontal="center"/>
    </xf>
    <xf numFmtId="2" fontId="0" fillId="0" borderId="29" xfId="0" applyNumberFormat="1" applyBorder="1" applyAlignment="1">
      <alignment horizontal="center"/>
    </xf>
    <xf numFmtId="2" fontId="0" fillId="0" borderId="0" xfId="0" applyNumberFormat="1"/>
    <xf numFmtId="0" fontId="3" fillId="0" borderId="62" xfId="0" applyFont="1" applyBorder="1"/>
    <xf numFmtId="0" fontId="3" fillId="0" borderId="21" xfId="0" applyFont="1" applyBorder="1" applyAlignment="1">
      <alignment horizontal="center" vertical="center"/>
    </xf>
    <xf numFmtId="0" fontId="15" fillId="0" borderId="30" xfId="0" applyFont="1" applyBorder="1" applyAlignment="1">
      <alignment vertical="center" wrapText="1"/>
    </xf>
    <xf numFmtId="0" fontId="3" fillId="0" borderId="31" xfId="0" applyFont="1" applyBorder="1" applyAlignment="1">
      <alignment horizontal="center" vertical="center"/>
    </xf>
    <xf numFmtId="0" fontId="15" fillId="0" borderId="23" xfId="0" applyFont="1" applyBorder="1" applyAlignment="1">
      <alignment horizontal="left" vertical="center" wrapText="1"/>
    </xf>
    <xf numFmtId="0" fontId="21" fillId="0" borderId="23" xfId="0" applyFont="1" applyBorder="1" applyAlignment="1">
      <alignment vertical="center" wrapText="1"/>
    </xf>
    <xf numFmtId="0" fontId="3" fillId="0" borderId="33" xfId="0" applyFont="1" applyBorder="1" applyAlignment="1">
      <alignment horizontal="center" vertical="center"/>
    </xf>
    <xf numFmtId="0" fontId="3" fillId="0" borderId="29" xfId="0" applyFont="1" applyBorder="1" applyAlignment="1">
      <alignment horizontal="center" vertical="center"/>
    </xf>
    <xf numFmtId="2" fontId="15" fillId="0" borderId="31" xfId="0" applyNumberFormat="1" applyFont="1" applyBorder="1" applyAlignment="1">
      <alignment horizontal="left" vertical="center"/>
    </xf>
    <xf numFmtId="2" fontId="15" fillId="0" borderId="32" xfId="0" applyNumberFormat="1" applyFont="1" applyBorder="1" applyAlignment="1">
      <alignment horizontal="left" vertical="center"/>
    </xf>
    <xf numFmtId="2" fontId="15" fillId="0" borderId="21" xfId="0" applyNumberFormat="1" applyFont="1" applyBorder="1" applyAlignment="1">
      <alignment horizontal="left" vertical="center"/>
    </xf>
    <xf numFmtId="2" fontId="15" fillId="0" borderId="24" xfId="0" applyNumberFormat="1" applyFont="1" applyBorder="1" applyAlignment="1">
      <alignment horizontal="left" vertical="center"/>
    </xf>
    <xf numFmtId="2" fontId="15" fillId="0" borderId="33" xfId="0" applyNumberFormat="1" applyFont="1" applyBorder="1" applyAlignment="1">
      <alignment horizontal="left" vertical="center"/>
    </xf>
    <xf numFmtId="2" fontId="15" fillId="0" borderId="26" xfId="0" applyNumberFormat="1" applyFont="1" applyBorder="1" applyAlignment="1">
      <alignment horizontal="left" vertical="center"/>
    </xf>
    <xf numFmtId="2" fontId="15" fillId="0" borderId="29" xfId="0" applyNumberFormat="1" applyFont="1" applyBorder="1" applyAlignment="1">
      <alignment horizontal="left" vertical="center"/>
    </xf>
    <xf numFmtId="2" fontId="15" fillId="0" borderId="28" xfId="0" applyNumberFormat="1" applyFont="1" applyBorder="1" applyAlignment="1">
      <alignment horizontal="left" vertical="center"/>
    </xf>
    <xf numFmtId="0" fontId="3" fillId="0" borderId="63" xfId="0" applyFont="1" applyBorder="1" applyAlignment="1">
      <alignment horizontal="center" vertical="center"/>
    </xf>
    <xf numFmtId="2" fontId="15" fillId="0" borderId="63" xfId="0" applyNumberFormat="1" applyFont="1" applyBorder="1" applyAlignment="1">
      <alignment horizontal="left" vertical="center"/>
    </xf>
    <xf numFmtId="2" fontId="15" fillId="0" borderId="64" xfId="0" applyNumberFormat="1" applyFont="1" applyBorder="1" applyAlignment="1">
      <alignment horizontal="left" vertical="center"/>
    </xf>
    <xf numFmtId="0" fontId="3" fillId="0" borderId="46" xfId="0" applyFont="1" applyBorder="1" applyAlignment="1">
      <alignment horizontal="center" vertical="center"/>
    </xf>
    <xf numFmtId="2" fontId="15" fillId="0" borderId="46" xfId="0" applyNumberFormat="1" applyFont="1" applyBorder="1" applyAlignment="1">
      <alignment horizontal="left" vertical="center"/>
    </xf>
    <xf numFmtId="2" fontId="15" fillId="0" borderId="47" xfId="0" applyNumberFormat="1" applyFont="1" applyBorder="1" applyAlignment="1">
      <alignment horizontal="left" vertical="center"/>
    </xf>
    <xf numFmtId="0" fontId="3" fillId="0" borderId="19" xfId="0" applyFont="1" applyBorder="1" applyAlignment="1">
      <alignment horizontal="center" vertical="center"/>
    </xf>
    <xf numFmtId="0" fontId="21" fillId="0" borderId="45" xfId="0" applyFont="1" applyBorder="1" applyAlignment="1">
      <alignment vertical="center" wrapText="1"/>
    </xf>
    <xf numFmtId="0" fontId="15" fillId="0" borderId="27" xfId="0" applyFont="1" applyBorder="1" applyAlignment="1">
      <alignment horizontal="left" vertical="center" wrapText="1"/>
    </xf>
    <xf numFmtId="0" fontId="15" fillId="0" borderId="18" xfId="0" applyFont="1" applyBorder="1" applyAlignment="1">
      <alignment vertical="center" wrapText="1"/>
    </xf>
    <xf numFmtId="0" fontId="3" fillId="5" borderId="22" xfId="0" applyFont="1" applyFill="1" applyBorder="1"/>
    <xf numFmtId="2" fontId="3" fillId="5" borderId="21" xfId="0" applyNumberFormat="1" applyFont="1" applyFill="1" applyBorder="1"/>
    <xf numFmtId="0" fontId="3" fillId="6" borderId="57" xfId="0" applyFont="1" applyFill="1" applyBorder="1"/>
    <xf numFmtId="2" fontId="3" fillId="6" borderId="33" xfId="0" applyNumberFormat="1" applyFont="1" applyFill="1" applyBorder="1"/>
    <xf numFmtId="0" fontId="15" fillId="0" borderId="4" xfId="0" applyFont="1" applyBorder="1"/>
    <xf numFmtId="165" fontId="3" fillId="0" borderId="0" xfId="0" applyNumberFormat="1" applyFont="1" applyAlignment="1">
      <alignment horizontal="right" vertical="center"/>
    </xf>
    <xf numFmtId="165" fontId="3" fillId="0" borderId="6" xfId="0" applyNumberFormat="1" applyFont="1" applyBorder="1" applyAlignment="1">
      <alignment horizontal="right" vertical="center"/>
    </xf>
    <xf numFmtId="2" fontId="3" fillId="0" borderId="0" xfId="0" applyNumberFormat="1" applyFont="1"/>
    <xf numFmtId="0" fontId="3" fillId="6" borderId="45" xfId="0" applyFont="1" applyFill="1" applyBorder="1"/>
    <xf numFmtId="0" fontId="3" fillId="6" borderId="46" xfId="0" applyFont="1" applyFill="1" applyBorder="1"/>
    <xf numFmtId="2" fontId="3" fillId="6" borderId="46" xfId="0" applyNumberFormat="1" applyFont="1" applyFill="1" applyBorder="1"/>
    <xf numFmtId="164" fontId="3" fillId="0" borderId="46" xfId="0" applyNumberFormat="1" applyFont="1" applyBorder="1" applyAlignment="1">
      <alignment horizontal="left"/>
    </xf>
    <xf numFmtId="164" fontId="3" fillId="0" borderId="47" xfId="0" applyNumberFormat="1" applyFont="1" applyBorder="1" applyAlignment="1">
      <alignment horizontal="left"/>
    </xf>
    <xf numFmtId="0" fontId="15" fillId="0" borderId="45" xfId="0" applyFont="1" applyBorder="1" applyAlignment="1">
      <alignment horizontal="left" vertical="center" wrapText="1"/>
    </xf>
    <xf numFmtId="0" fontId="15" fillId="0" borderId="18" xfId="0" applyFont="1" applyBorder="1" applyAlignment="1">
      <alignment horizontal="left" vertical="center" wrapText="1"/>
    </xf>
    <xf numFmtId="0" fontId="3" fillId="0" borderId="19" xfId="0" applyFont="1" applyBorder="1"/>
    <xf numFmtId="0" fontId="15" fillId="4" borderId="18" xfId="0" applyFont="1" applyFill="1" applyBorder="1" applyAlignment="1">
      <alignment horizontal="left" vertical="center"/>
    </xf>
    <xf numFmtId="0" fontId="15" fillId="4" borderId="19" xfId="0" applyFont="1" applyFill="1" applyBorder="1" applyAlignment="1">
      <alignment horizontal="left" vertical="center"/>
    </xf>
    <xf numFmtId="0" fontId="3" fillId="0" borderId="30" xfId="0" applyFont="1" applyBorder="1" applyAlignment="1">
      <alignment horizontal="center" vertical="center"/>
    </xf>
    <xf numFmtId="0" fontId="3" fillId="0" borderId="23" xfId="0" applyFont="1" applyBorder="1" applyAlignment="1">
      <alignment horizontal="center" vertical="center"/>
    </xf>
    <xf numFmtId="0" fontId="3" fillId="0" borderId="25" xfId="0" applyFont="1" applyBorder="1" applyAlignment="1">
      <alignment horizontal="center" vertical="center"/>
    </xf>
    <xf numFmtId="0" fontId="3" fillId="0" borderId="68" xfId="0" applyFont="1" applyBorder="1" applyAlignment="1">
      <alignment horizontal="center" vertical="center"/>
    </xf>
    <xf numFmtId="0" fontId="3" fillId="0" borderId="27" xfId="0" applyFont="1" applyBorder="1" applyAlignment="1">
      <alignment horizontal="center" vertical="center"/>
    </xf>
    <xf numFmtId="0" fontId="3" fillId="0" borderId="45" xfId="0" applyFont="1" applyBorder="1" applyAlignment="1">
      <alignment horizontal="center" vertical="center"/>
    </xf>
    <xf numFmtId="0" fontId="3" fillId="0" borderId="5" xfId="0" applyFont="1" applyBorder="1" applyAlignment="1">
      <alignment horizontal="left" vertical="center"/>
    </xf>
    <xf numFmtId="165" fontId="3" fillId="0" borderId="5" xfId="0" applyNumberFormat="1" applyFont="1" applyBorder="1" applyAlignment="1">
      <alignment horizontal="center" vertical="center"/>
    </xf>
    <xf numFmtId="165" fontId="3" fillId="0" borderId="5" xfId="0" applyNumberFormat="1" applyFont="1" applyBorder="1" applyAlignment="1">
      <alignment horizontal="right"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2" fontId="15" fillId="0" borderId="41" xfId="0" applyNumberFormat="1" applyFont="1" applyBorder="1" applyAlignment="1">
      <alignment horizontal="left" vertical="center"/>
    </xf>
    <xf numFmtId="2" fontId="15" fillId="0" borderId="42" xfId="0" applyNumberFormat="1" applyFont="1" applyBorder="1" applyAlignment="1">
      <alignment horizontal="left" vertical="center"/>
    </xf>
    <xf numFmtId="0" fontId="0" fillId="0" borderId="0" xfId="0" applyAlignment="1">
      <alignment horizontal="right"/>
    </xf>
    <xf numFmtId="0" fontId="2" fillId="0" borderId="0" xfId="0" applyFont="1" applyAlignment="1">
      <alignment horizontal="left"/>
    </xf>
    <xf numFmtId="10" fontId="0" fillId="0" borderId="0" xfId="0" applyNumberFormat="1"/>
    <xf numFmtId="0" fontId="15" fillId="0" borderId="0" xfId="0" applyFont="1" applyAlignment="1">
      <alignment horizontal="center"/>
    </xf>
    <xf numFmtId="0" fontId="3" fillId="0" borderId="36" xfId="0" applyFont="1" applyBorder="1"/>
    <xf numFmtId="164" fontId="3" fillId="0" borderId="30" xfId="0" applyNumberFormat="1" applyFont="1" applyBorder="1"/>
    <xf numFmtId="164" fontId="3" fillId="0" borderId="31" xfId="0" applyNumberFormat="1" applyFont="1" applyBorder="1"/>
    <xf numFmtId="164" fontId="3" fillId="0" borderId="32" xfId="0" applyNumberFormat="1" applyFont="1" applyBorder="1"/>
    <xf numFmtId="164" fontId="3" fillId="0" borderId="23" xfId="0" applyNumberFormat="1" applyFont="1" applyBorder="1"/>
    <xf numFmtId="164" fontId="3" fillId="0" borderId="21" xfId="0" applyNumberFormat="1" applyFont="1" applyBorder="1"/>
    <xf numFmtId="164" fontId="3" fillId="0" borderId="24" xfId="0" applyNumberFormat="1" applyFont="1" applyBorder="1"/>
    <xf numFmtId="0" fontId="3" fillId="0" borderId="39" xfId="0" applyFont="1" applyBorder="1"/>
    <xf numFmtId="164" fontId="3" fillId="0" borderId="25" xfId="0" applyNumberFormat="1" applyFont="1" applyBorder="1"/>
    <xf numFmtId="164" fontId="3" fillId="0" borderId="33" xfId="0" applyNumberFormat="1" applyFont="1" applyBorder="1"/>
    <xf numFmtId="164" fontId="3" fillId="0" borderId="26" xfId="0" applyNumberFormat="1" applyFont="1" applyBorder="1"/>
    <xf numFmtId="2" fontId="3" fillId="0" borderId="30" xfId="0" applyNumberFormat="1" applyFont="1" applyBorder="1"/>
    <xf numFmtId="2" fontId="3" fillId="0" borderId="32" xfId="0" applyNumberFormat="1" applyFont="1" applyBorder="1"/>
    <xf numFmtId="166" fontId="3" fillId="0" borderId="30" xfId="0" applyNumberFormat="1" applyFont="1" applyBorder="1"/>
    <xf numFmtId="166" fontId="3" fillId="0" borderId="31" xfId="0" applyNumberFormat="1" applyFont="1" applyBorder="1"/>
    <xf numFmtId="166" fontId="3" fillId="0" borderId="32" xfId="0" applyNumberFormat="1" applyFont="1" applyBorder="1"/>
    <xf numFmtId="2" fontId="3" fillId="0" borderId="23" xfId="0" applyNumberFormat="1" applyFont="1" applyBorder="1"/>
    <xf numFmtId="2" fontId="3" fillId="0" borderId="24" xfId="0" applyNumberFormat="1" applyFont="1" applyBorder="1"/>
    <xf numFmtId="166" fontId="3" fillId="0" borderId="23" xfId="0" applyNumberFormat="1" applyFont="1" applyBorder="1"/>
    <xf numFmtId="166" fontId="3" fillId="0" borderId="24" xfId="0" applyNumberFormat="1" applyFont="1" applyBorder="1"/>
    <xf numFmtId="2" fontId="3" fillId="0" borderId="25" xfId="0" applyNumberFormat="1" applyFont="1" applyBorder="1"/>
    <xf numFmtId="2" fontId="3" fillId="0" borderId="26" xfId="0" applyNumberFormat="1" applyFont="1" applyBorder="1"/>
    <xf numFmtId="166" fontId="3" fillId="0" borderId="25" xfId="0" applyNumberFormat="1" applyFont="1" applyBorder="1"/>
    <xf numFmtId="166" fontId="3" fillId="0" borderId="33" xfId="0" applyNumberFormat="1" applyFont="1" applyBorder="1"/>
    <xf numFmtId="166" fontId="3" fillId="0" borderId="26" xfId="0" applyNumberFormat="1" applyFont="1" applyBorder="1"/>
    <xf numFmtId="166" fontId="3" fillId="0" borderId="0" xfId="0" applyNumberFormat="1" applyFont="1"/>
    <xf numFmtId="0" fontId="3" fillId="4" borderId="8" xfId="0" applyFont="1" applyFill="1" applyBorder="1"/>
    <xf numFmtId="0" fontId="15" fillId="4" borderId="3" xfId="0" applyFont="1" applyFill="1" applyBorder="1"/>
    <xf numFmtId="0" fontId="15" fillId="4" borderId="9" xfId="0" applyFont="1" applyFill="1" applyBorder="1"/>
    <xf numFmtId="0" fontId="15" fillId="4" borderId="45" xfId="0" applyFont="1" applyFill="1" applyBorder="1"/>
    <xf numFmtId="0" fontId="15" fillId="4" borderId="46" xfId="0" applyFont="1" applyFill="1" applyBorder="1"/>
    <xf numFmtId="0" fontId="15" fillId="4" borderId="47" xfId="0" applyFont="1" applyFill="1" applyBorder="1"/>
    <xf numFmtId="0" fontId="3" fillId="0" borderId="0" xfId="0" applyFont="1" applyAlignment="1">
      <alignment horizontal="right"/>
    </xf>
    <xf numFmtId="167" fontId="3" fillId="0" borderId="0" xfId="0" applyNumberFormat="1" applyFont="1"/>
    <xf numFmtId="0" fontId="3" fillId="0" borderId="8" xfId="0" applyFont="1" applyBorder="1" applyAlignment="1">
      <alignment horizontal="left" vertical="center"/>
    </xf>
    <xf numFmtId="0" fontId="15" fillId="0" borderId="3" xfId="0" applyFont="1" applyBorder="1" applyAlignment="1">
      <alignment horizontal="left" vertical="center"/>
    </xf>
    <xf numFmtId="0" fontId="15" fillId="0" borderId="9" xfId="0" applyFont="1" applyBorder="1" applyAlignment="1">
      <alignment horizontal="left" vertical="center"/>
    </xf>
    <xf numFmtId="0" fontId="3" fillId="0" borderId="12" xfId="0" applyFont="1" applyBorder="1"/>
    <xf numFmtId="0" fontId="15" fillId="0" borderId="13" xfId="0" applyFont="1" applyBorder="1" applyAlignment="1">
      <alignment horizontal="left"/>
    </xf>
    <xf numFmtId="0" fontId="4" fillId="2" borderId="10" xfId="0" applyFont="1" applyFill="1" applyBorder="1" applyAlignment="1">
      <alignment horizontal="left" vertical="center"/>
    </xf>
    <xf numFmtId="0" fontId="4" fillId="2" borderId="11" xfId="0" applyFont="1" applyFill="1" applyBorder="1" applyAlignment="1">
      <alignment horizontal="center" vertical="center"/>
    </xf>
    <xf numFmtId="0" fontId="3" fillId="0" borderId="12" xfId="0" applyFont="1" applyBorder="1" applyAlignment="1">
      <alignment horizontal="left"/>
    </xf>
    <xf numFmtId="0" fontId="3" fillId="0" borderId="13" xfId="0" applyFont="1" applyBorder="1" applyAlignment="1">
      <alignment horizontal="center"/>
    </xf>
    <xf numFmtId="0" fontId="3" fillId="0" borderId="16" xfId="0" applyFont="1" applyBorder="1" applyAlignment="1">
      <alignment horizontal="left"/>
    </xf>
    <xf numFmtId="2" fontId="3" fillId="0" borderId="2" xfId="0" applyNumberFormat="1" applyFont="1" applyBorder="1" applyAlignment="1">
      <alignment horizontal="center"/>
    </xf>
    <xf numFmtId="2" fontId="3" fillId="0" borderId="17" xfId="0" applyNumberFormat="1" applyFont="1" applyBorder="1" applyAlignment="1">
      <alignment horizontal="center"/>
    </xf>
    <xf numFmtId="0" fontId="3" fillId="0" borderId="23" xfId="0" applyFont="1" applyBorder="1" applyAlignment="1">
      <alignment horizontal="left"/>
    </xf>
    <xf numFmtId="0" fontId="3" fillId="0" borderId="24" xfId="0" applyFont="1" applyBorder="1" applyAlignment="1">
      <alignment horizontal="center"/>
    </xf>
    <xf numFmtId="0" fontId="3" fillId="0" borderId="25" xfId="0" applyFont="1" applyBorder="1" applyAlignment="1">
      <alignment horizontal="left"/>
    </xf>
    <xf numFmtId="2" fontId="3" fillId="0" borderId="26" xfId="0" applyNumberFormat="1" applyFont="1" applyBorder="1" applyAlignment="1">
      <alignment horizontal="center"/>
    </xf>
    <xf numFmtId="0" fontId="3" fillId="0" borderId="47" xfId="0" applyFont="1" applyBorder="1"/>
    <xf numFmtId="0" fontId="4" fillId="2" borderId="30" xfId="0" applyFont="1" applyFill="1" applyBorder="1" applyAlignment="1">
      <alignment horizontal="left" vertical="center"/>
    </xf>
    <xf numFmtId="0" fontId="4" fillId="2" borderId="32" xfId="0" applyFont="1" applyFill="1" applyBorder="1" applyAlignment="1">
      <alignment horizontal="center" vertical="center"/>
    </xf>
    <xf numFmtId="0" fontId="4" fillId="2" borderId="72" xfId="0" applyFont="1" applyFill="1" applyBorder="1" applyAlignment="1">
      <alignment horizontal="left" vertical="center"/>
    </xf>
    <xf numFmtId="0" fontId="3" fillId="0" borderId="66" xfId="0" applyFont="1" applyBorder="1"/>
    <xf numFmtId="0" fontId="4" fillId="2" borderId="43" xfId="0" applyFont="1" applyFill="1" applyBorder="1" applyAlignment="1">
      <alignment horizontal="center" vertical="center"/>
    </xf>
    <xf numFmtId="0" fontId="3" fillId="0" borderId="22" xfId="0" applyFont="1" applyBorder="1" applyAlignment="1">
      <alignment horizontal="center"/>
    </xf>
    <xf numFmtId="2" fontId="3" fillId="0" borderId="57" xfId="0" applyNumberFormat="1" applyFont="1" applyBorder="1" applyAlignment="1">
      <alignment horizontal="center"/>
    </xf>
    <xf numFmtId="0" fontId="15" fillId="0" borderId="45" xfId="0" applyFont="1" applyBorder="1" applyAlignment="1">
      <alignment horizontal="left"/>
    </xf>
    <xf numFmtId="0" fontId="15" fillId="0" borderId="47" xfId="0" applyFont="1" applyBorder="1" applyAlignment="1">
      <alignment horizontal="left"/>
    </xf>
    <xf numFmtId="0" fontId="4" fillId="2" borderId="32" xfId="0" applyFont="1" applyFill="1" applyBorder="1" applyAlignment="1">
      <alignment horizontal="left" vertical="center"/>
    </xf>
    <xf numFmtId="0" fontId="3" fillId="0" borderId="23" xfId="0" applyFont="1" applyBorder="1" applyAlignment="1">
      <alignment horizontal="center"/>
    </xf>
    <xf numFmtId="2" fontId="3" fillId="0" borderId="25" xfId="0" applyNumberFormat="1" applyFont="1" applyBorder="1" applyAlignment="1">
      <alignment horizontal="center"/>
    </xf>
    <xf numFmtId="0" fontId="0" fillId="0" borderId="19" xfId="0" applyBorder="1" applyAlignment="1">
      <alignment horizontal="left"/>
    </xf>
    <xf numFmtId="0" fontId="6" fillId="0" borderId="0" xfId="2" applyFont="1" applyAlignment="1">
      <alignment horizontal="left" vertical="center" wrapText="1"/>
    </xf>
    <xf numFmtId="0" fontId="0" fillId="0" borderId="0" xfId="2" applyFont="1" applyAlignment="1">
      <alignment horizontal="center" vertical="top" wrapText="1"/>
    </xf>
    <xf numFmtId="43" fontId="0" fillId="0" borderId="21" xfId="3" applyFont="1" applyBorder="1"/>
    <xf numFmtId="0" fontId="0" fillId="0" borderId="32" xfId="0" applyBorder="1"/>
    <xf numFmtId="0" fontId="0" fillId="0" borderId="26" xfId="0" applyBorder="1"/>
    <xf numFmtId="0" fontId="0" fillId="0" borderId="0" xfId="2" applyFont="1" applyAlignment="1">
      <alignment vertical="top" wrapText="1"/>
    </xf>
    <xf numFmtId="4" fontId="0" fillId="0" borderId="21" xfId="2" applyNumberFormat="1" applyFont="1" applyBorder="1" applyAlignment="1">
      <alignment horizontal="right" vertical="center"/>
    </xf>
    <xf numFmtId="0" fontId="0" fillId="0" borderId="21" xfId="2" applyFont="1" applyBorder="1" applyAlignment="1">
      <alignment horizontal="right" vertical="center"/>
    </xf>
    <xf numFmtId="3" fontId="0" fillId="0" borderId="21" xfId="2" applyNumberFormat="1" applyFont="1" applyBorder="1" applyAlignment="1">
      <alignment horizontal="right" vertical="center"/>
    </xf>
    <xf numFmtId="0" fontId="0" fillId="0" borderId="30" xfId="2" applyFont="1" applyBorder="1" applyAlignment="1">
      <alignment horizontal="left" vertical="center"/>
    </xf>
    <xf numFmtId="4" fontId="0" fillId="0" borderId="31" xfId="2" applyNumberFormat="1" applyFont="1" applyBorder="1" applyAlignment="1">
      <alignment horizontal="right" vertical="center"/>
    </xf>
    <xf numFmtId="0" fontId="0" fillId="0" borderId="31" xfId="2" applyFont="1" applyBorder="1" applyAlignment="1">
      <alignment horizontal="right" vertical="center"/>
    </xf>
    <xf numFmtId="4" fontId="0" fillId="0" borderId="32" xfId="0" applyNumberFormat="1" applyBorder="1"/>
    <xf numFmtId="0" fontId="0" fillId="0" borderId="23" xfId="2" applyFont="1" applyBorder="1" applyAlignment="1">
      <alignment horizontal="left" vertical="center"/>
    </xf>
    <xf numFmtId="4" fontId="0" fillId="0" borderId="24" xfId="0" applyNumberFormat="1" applyBorder="1"/>
    <xf numFmtId="0" fontId="0" fillId="0" borderId="25" xfId="2" applyFont="1" applyBorder="1" applyAlignment="1">
      <alignment horizontal="left" vertical="center"/>
    </xf>
    <xf numFmtId="4" fontId="0" fillId="0" borderId="33" xfId="2" applyNumberFormat="1" applyFont="1" applyBorder="1" applyAlignment="1">
      <alignment horizontal="right" vertical="center"/>
    </xf>
    <xf numFmtId="4" fontId="0" fillId="0" borderId="26" xfId="0" applyNumberFormat="1" applyBorder="1"/>
    <xf numFmtId="0" fontId="0" fillId="13" borderId="0" xfId="0" applyFill="1"/>
    <xf numFmtId="0" fontId="27" fillId="13" borderId="0" xfId="0" applyFont="1" applyFill="1"/>
    <xf numFmtId="0" fontId="28" fillId="14" borderId="0" xfId="4" applyFont="1" applyFill="1" applyBorder="1" applyAlignment="1">
      <alignment horizontal="centerContinuous"/>
    </xf>
    <xf numFmtId="0" fontId="22" fillId="14" borderId="0" xfId="0" applyFont="1" applyFill="1" applyAlignment="1">
      <alignment horizontal="centerContinuous"/>
    </xf>
    <xf numFmtId="0" fontId="28" fillId="15" borderId="0" xfId="4" applyFont="1" applyFill="1" applyBorder="1" applyAlignment="1">
      <alignment horizontal="centerContinuous"/>
    </xf>
    <xf numFmtId="0" fontId="22" fillId="15" borderId="0" xfId="0" applyFont="1" applyFill="1" applyAlignment="1">
      <alignment horizontal="centerContinuous"/>
    </xf>
    <xf numFmtId="0" fontId="28" fillId="16" borderId="0" xfId="4" applyFont="1" applyFill="1" applyBorder="1" applyAlignment="1">
      <alignment horizontal="centerContinuous"/>
    </xf>
    <xf numFmtId="0" fontId="22" fillId="16" borderId="0" xfId="0" applyFont="1" applyFill="1" applyAlignment="1">
      <alignment horizontal="centerContinuous"/>
    </xf>
    <xf numFmtId="0" fontId="25" fillId="13" borderId="73" xfId="4" applyFill="1"/>
    <xf numFmtId="0" fontId="26" fillId="13" borderId="74" xfId="5" applyFill="1"/>
    <xf numFmtId="166" fontId="0" fillId="13" borderId="0" xfId="0" applyNumberFormat="1" applyFill="1"/>
    <xf numFmtId="0" fontId="2" fillId="13" borderId="75" xfId="6" applyFill="1"/>
    <xf numFmtId="166" fontId="2" fillId="13" borderId="75" xfId="6" applyNumberFormat="1" applyFill="1"/>
    <xf numFmtId="0" fontId="0" fillId="17" borderId="0" xfId="0" applyFill="1"/>
    <xf numFmtId="167" fontId="0" fillId="13" borderId="0" xfId="0" applyNumberFormat="1" applyFill="1"/>
    <xf numFmtId="10" fontId="0" fillId="13" borderId="0" xfId="0" applyNumberFormat="1" applyFill="1"/>
    <xf numFmtId="169" fontId="0" fillId="13" borderId="0" xfId="0" applyNumberFormat="1" applyFill="1"/>
    <xf numFmtId="170" fontId="0" fillId="13" borderId="0" xfId="0" applyNumberFormat="1" applyFill="1"/>
    <xf numFmtId="0" fontId="1" fillId="13" borderId="0" xfId="1" applyFill="1"/>
    <xf numFmtId="0" fontId="0" fillId="0" borderId="16" xfId="0" applyBorder="1"/>
    <xf numFmtId="0" fontId="0" fillId="0" borderId="4" xfId="0" applyBorder="1" applyAlignment="1">
      <alignment horizontal="center" vertical="center"/>
    </xf>
    <xf numFmtId="0" fontId="0" fillId="0" borderId="52" xfId="0" applyBorder="1" applyAlignment="1">
      <alignment horizontal="center" vertical="center"/>
    </xf>
    <xf numFmtId="0" fontId="0" fillId="0" borderId="10" xfId="0" applyBorder="1"/>
    <xf numFmtId="0" fontId="0" fillId="0" borderId="22" xfId="0" applyBorder="1" applyAlignment="1">
      <alignment horizontal="center" vertical="center"/>
    </xf>
    <xf numFmtId="0" fontId="0" fillId="0" borderId="57" xfId="0" applyBorder="1" applyAlignment="1">
      <alignment horizontal="center" vertical="center"/>
    </xf>
    <xf numFmtId="0" fontId="2" fillId="0" borderId="34" xfId="0" applyFont="1" applyBorder="1" applyAlignment="1">
      <alignment vertical="center"/>
    </xf>
    <xf numFmtId="0" fontId="2" fillId="0" borderId="69" xfId="0" applyFont="1" applyBorder="1" applyAlignment="1">
      <alignment horizontal="center"/>
    </xf>
    <xf numFmtId="0" fontId="0" fillId="0" borderId="5" xfId="0" applyBorder="1" applyAlignment="1">
      <alignment horizontal="center" vertical="center"/>
    </xf>
    <xf numFmtId="0" fontId="2" fillId="0" borderId="34" xfId="0" applyFont="1" applyBorder="1" applyAlignment="1">
      <alignment horizontal="center" vertical="center"/>
    </xf>
    <xf numFmtId="0" fontId="2" fillId="0" borderId="0" xfId="0" applyFont="1" applyAlignment="1">
      <alignment horizontal="center"/>
    </xf>
    <xf numFmtId="0" fontId="0" fillId="0" borderId="11" xfId="0" applyBorder="1" applyAlignment="1">
      <alignment horizontal="center"/>
    </xf>
    <xf numFmtId="0" fontId="2" fillId="8" borderId="18" xfId="0" applyFont="1" applyFill="1" applyBorder="1" applyAlignment="1">
      <alignment horizontal="center"/>
    </xf>
    <xf numFmtId="0" fontId="2" fillId="8" borderId="19" xfId="0" applyFont="1" applyFill="1" applyBorder="1" applyAlignment="1">
      <alignment horizont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10" xfId="0" applyBorder="1" applyAlignment="1">
      <alignment horizontal="center" vertical="center"/>
    </xf>
    <xf numFmtId="0" fontId="0" fillId="0" borderId="39" xfId="0" applyBorder="1" applyAlignment="1">
      <alignment horizontal="center" vertical="center"/>
    </xf>
    <xf numFmtId="0" fontId="2" fillId="9" borderId="18" xfId="0" applyFont="1" applyFill="1" applyBorder="1" applyAlignment="1">
      <alignment horizontal="center"/>
    </xf>
    <xf numFmtId="0" fontId="2" fillId="9" borderId="35" xfId="0" applyFont="1" applyFill="1" applyBorder="1" applyAlignment="1">
      <alignment horizontal="center"/>
    </xf>
    <xf numFmtId="0" fontId="0" fillId="0" borderId="56" xfId="0" applyBorder="1" applyAlignment="1">
      <alignment horizontal="center"/>
    </xf>
    <xf numFmtId="0" fontId="2" fillId="11" borderId="7" xfId="0" applyFont="1" applyFill="1" applyBorder="1" applyAlignment="1">
      <alignment horizontal="center"/>
    </xf>
    <xf numFmtId="0" fontId="2" fillId="10" borderId="35" xfId="0" applyFont="1" applyFill="1" applyBorder="1" applyAlignment="1">
      <alignment horizontal="center"/>
    </xf>
    <xf numFmtId="0" fontId="0" fillId="0" borderId="11" xfId="0" applyBorder="1" applyAlignment="1">
      <alignment horizontal="center" vertical="center"/>
    </xf>
    <xf numFmtId="0" fontId="0" fillId="0" borderId="56"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14" xfId="0" applyBorder="1"/>
    <xf numFmtId="0" fontId="0" fillId="0" borderId="15" xfId="0" applyBorder="1" applyAlignment="1">
      <alignment horizontal="center"/>
    </xf>
    <xf numFmtId="0" fontId="0" fillId="0" borderId="44" xfId="0"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0" fontId="0" fillId="0" borderId="27" xfId="0" applyBorder="1" applyAlignment="1">
      <alignment horizontal="center" vertical="center"/>
    </xf>
    <xf numFmtId="0" fontId="0" fillId="0" borderId="15" xfId="0" applyBorder="1" applyAlignment="1">
      <alignment horizontal="center" vertical="center"/>
    </xf>
    <xf numFmtId="0" fontId="30" fillId="8" borderId="35" xfId="0" applyFont="1" applyFill="1" applyBorder="1" applyAlignment="1">
      <alignment horizontal="center"/>
    </xf>
    <xf numFmtId="0" fontId="2" fillId="10" borderId="18" xfId="0" applyFont="1" applyFill="1" applyBorder="1" applyAlignment="1">
      <alignment horizontal="center"/>
    </xf>
    <xf numFmtId="0" fontId="2" fillId="12" borderId="7" xfId="0" applyFont="1" applyFill="1" applyBorder="1" applyAlignment="1">
      <alignment horizontal="center"/>
    </xf>
    <xf numFmtId="10" fontId="0" fillId="0" borderId="0" xfId="0" applyNumberFormat="1" applyAlignment="1">
      <alignment horizontal="center"/>
    </xf>
    <xf numFmtId="2" fontId="0" fillId="0" borderId="54" xfId="0" applyNumberFormat="1" applyBorder="1" applyAlignment="1">
      <alignment horizontal="left" vertical="center"/>
    </xf>
    <xf numFmtId="2" fontId="0" fillId="0" borderId="50" xfId="0" applyNumberFormat="1" applyBorder="1" applyAlignment="1">
      <alignment horizontal="left" vertical="center"/>
    </xf>
    <xf numFmtId="2" fontId="0" fillId="0" borderId="51" xfId="0" applyNumberFormat="1" applyBorder="1" applyAlignment="1">
      <alignment horizontal="left" vertical="center"/>
    </xf>
    <xf numFmtId="0" fontId="35" fillId="0" borderId="53" xfId="0" applyFont="1" applyBorder="1" applyAlignment="1">
      <alignment horizontal="center" vertical="center"/>
    </xf>
    <xf numFmtId="0" fontId="35" fillId="0" borderId="50" xfId="0" applyFont="1" applyBorder="1" applyAlignment="1">
      <alignment horizontal="center" vertical="center"/>
    </xf>
    <xf numFmtId="0" fontId="35" fillId="0" borderId="51" xfId="0" applyFont="1" applyBorder="1" applyAlignment="1">
      <alignment horizontal="center" vertical="center"/>
    </xf>
    <xf numFmtId="0" fontId="33" fillId="11" borderId="69" xfId="0" applyFont="1" applyFill="1" applyBorder="1" applyAlignment="1">
      <alignment horizontal="center" vertical="center"/>
    </xf>
    <xf numFmtId="0" fontId="33" fillId="12" borderId="69" xfId="0" applyFont="1" applyFill="1" applyBorder="1" applyAlignment="1">
      <alignment horizontal="center" vertical="center"/>
    </xf>
    <xf numFmtId="0" fontId="0" fillId="0" borderId="44" xfId="0" applyBorder="1" applyAlignment="1">
      <alignment horizontal="center"/>
    </xf>
    <xf numFmtId="0" fontId="0" fillId="0" borderId="53" xfId="0" applyBorder="1" applyAlignment="1">
      <alignment horizontal="center"/>
    </xf>
    <xf numFmtId="0" fontId="0" fillId="0" borderId="22" xfId="0" applyBorder="1" applyAlignment="1">
      <alignment horizontal="center"/>
    </xf>
    <xf numFmtId="0" fontId="0" fillId="0" borderId="50" xfId="0" applyBorder="1" applyAlignment="1">
      <alignment horizontal="center"/>
    </xf>
    <xf numFmtId="0" fontId="0" fillId="0" borderId="57" xfId="0" applyBorder="1" applyAlignment="1">
      <alignment horizontal="center"/>
    </xf>
    <xf numFmtId="0" fontId="0" fillId="0" borderId="51" xfId="0" applyBorder="1" applyAlignment="1">
      <alignment horizontal="center"/>
    </xf>
    <xf numFmtId="2" fontId="0" fillId="0" borderId="53" xfId="0" applyNumberFormat="1" applyBorder="1" applyAlignment="1">
      <alignment horizontal="left" vertical="center"/>
    </xf>
    <xf numFmtId="2" fontId="0" fillId="0" borderId="77" xfId="0" applyNumberFormat="1" applyBorder="1" applyAlignment="1">
      <alignment horizontal="left" vertical="center"/>
    </xf>
    <xf numFmtId="2" fontId="0" fillId="0" borderId="0" xfId="0" applyNumberFormat="1" applyAlignment="1">
      <alignment horizontal="left" vertical="center"/>
    </xf>
    <xf numFmtId="0" fontId="36" fillId="0" borderId="16" xfId="0" applyFont="1" applyBorder="1" applyAlignment="1">
      <alignment vertical="center"/>
    </xf>
    <xf numFmtId="0" fontId="0" fillId="8" borderId="18" xfId="0" applyFill="1" applyBorder="1" applyAlignment="1">
      <alignment horizontal="center" vertical="center"/>
    </xf>
    <xf numFmtId="0" fontId="33" fillId="11" borderId="7" xfId="0" applyFont="1" applyFill="1" applyBorder="1" applyAlignment="1">
      <alignment horizontal="center" vertical="top"/>
    </xf>
    <xf numFmtId="0" fontId="33" fillId="12" borderId="7" xfId="0" applyFont="1" applyFill="1" applyBorder="1" applyAlignment="1">
      <alignment horizontal="center" vertical="top"/>
    </xf>
    <xf numFmtId="0" fontId="0" fillId="8" borderId="76" xfId="0" applyFill="1" applyBorder="1" applyAlignment="1">
      <alignment horizontal="center"/>
    </xf>
    <xf numFmtId="0" fontId="2" fillId="0" borderId="8" xfId="0" applyFont="1" applyBorder="1" applyAlignment="1">
      <alignment vertical="center"/>
    </xf>
    <xf numFmtId="0" fontId="37" fillId="0" borderId="0" xfId="0" applyFont="1" applyAlignment="1">
      <alignment horizontal="center"/>
    </xf>
    <xf numFmtId="0" fontId="0" fillId="0" borderId="8" xfId="0" applyBorder="1"/>
    <xf numFmtId="0" fontId="0" fillId="0" borderId="9" xfId="0" applyBorder="1"/>
    <xf numFmtId="0" fontId="0" fillId="0" borderId="12" xfId="0" applyBorder="1"/>
    <xf numFmtId="0" fontId="5" fillId="0" borderId="0" xfId="0" applyFont="1"/>
    <xf numFmtId="0" fontId="0" fillId="0" borderId="13" xfId="0" applyBorder="1"/>
    <xf numFmtId="3" fontId="0" fillId="0" borderId="0" xfId="0" applyNumberFormat="1" applyAlignment="1">
      <alignment horizontal="center"/>
    </xf>
    <xf numFmtId="2" fontId="0" fillId="0" borderId="0" xfId="0" applyNumberFormat="1" applyAlignment="1">
      <alignment horizontal="center"/>
    </xf>
    <xf numFmtId="2" fontId="0" fillId="0" borderId="2" xfId="0" applyNumberFormat="1" applyBorder="1"/>
    <xf numFmtId="0" fontId="0" fillId="0" borderId="17" xfId="0" applyBorder="1"/>
    <xf numFmtId="171" fontId="0" fillId="0" borderId="0" xfId="3" applyNumberFormat="1" applyFont="1"/>
    <xf numFmtId="171" fontId="0" fillId="0" borderId="0" xfId="0" applyNumberFormat="1"/>
    <xf numFmtId="171" fontId="0" fillId="3" borderId="0" xfId="3" applyNumberFormat="1" applyFont="1" applyFill="1"/>
    <xf numFmtId="2" fontId="15" fillId="0" borderId="21" xfId="0" applyNumberFormat="1" applyFont="1" applyBorder="1"/>
    <xf numFmtId="0" fontId="38" fillId="0" borderId="39" xfId="0" applyFont="1" applyBorder="1"/>
    <xf numFmtId="43" fontId="3" fillId="0" borderId="29" xfId="3" applyFont="1" applyBorder="1"/>
    <xf numFmtId="0" fontId="15" fillId="4" borderId="34" xfId="0" applyFont="1" applyFill="1" applyBorder="1" applyAlignment="1">
      <alignment vertical="center" wrapText="1"/>
    </xf>
    <xf numFmtId="0" fontId="15" fillId="4" borderId="1" xfId="0" applyFont="1" applyFill="1" applyBorder="1" applyAlignment="1">
      <alignment vertical="center" wrapText="1"/>
    </xf>
    <xf numFmtId="0" fontId="15" fillId="4" borderId="1" xfId="0" applyFont="1" applyFill="1" applyBorder="1" applyAlignment="1">
      <alignment horizontal="left" vertical="top" wrapText="1"/>
    </xf>
    <xf numFmtId="0" fontId="15" fillId="4" borderId="1" xfId="0" applyFont="1" applyFill="1" applyBorder="1" applyAlignment="1">
      <alignment vertical="top" wrapText="1"/>
    </xf>
    <xf numFmtId="0" fontId="15" fillId="4" borderId="35" xfId="0" applyFont="1" applyFill="1" applyBorder="1" applyAlignment="1">
      <alignment horizontal="left" vertical="top" wrapText="1"/>
    </xf>
    <xf numFmtId="171" fontId="3" fillId="0" borderId="21" xfId="3" applyNumberFormat="1" applyFont="1" applyBorder="1"/>
    <xf numFmtId="171" fontId="3" fillId="0" borderId="33" xfId="3" applyNumberFormat="1" applyFont="1" applyBorder="1"/>
    <xf numFmtId="171" fontId="3" fillId="0" borderId="29" xfId="3" applyNumberFormat="1" applyFont="1" applyBorder="1"/>
    <xf numFmtId="171" fontId="3" fillId="0" borderId="28" xfId="3" applyNumberFormat="1" applyFont="1" applyBorder="1"/>
    <xf numFmtId="171" fontId="3" fillId="0" borderId="24" xfId="3" applyNumberFormat="1" applyFont="1" applyBorder="1"/>
    <xf numFmtId="171" fontId="3" fillId="0" borderId="26" xfId="3" applyNumberFormat="1" applyFont="1" applyBorder="1"/>
    <xf numFmtId="171" fontId="15" fillId="0" borderId="21" xfId="3" applyNumberFormat="1" applyFont="1" applyBorder="1"/>
    <xf numFmtId="171" fontId="15" fillId="0" borderId="24" xfId="3" applyNumberFormat="1" applyFont="1" applyBorder="1"/>
    <xf numFmtId="172" fontId="0" fillId="0" borderId="0" xfId="0" applyNumberFormat="1"/>
    <xf numFmtId="0" fontId="0" fillId="0" borderId="21" xfId="0" applyBorder="1"/>
    <xf numFmtId="168" fontId="0" fillId="0" borderId="21" xfId="0" applyNumberFormat="1" applyBorder="1"/>
    <xf numFmtId="0" fontId="0" fillId="0" borderId="21" xfId="0" applyBorder="1" applyAlignment="1">
      <alignment horizontal="right"/>
    </xf>
    <xf numFmtId="171" fontId="0" fillId="0" borderId="21" xfId="3" applyNumberFormat="1" applyFont="1" applyBorder="1"/>
    <xf numFmtId="10" fontId="0" fillId="0" borderId="21" xfId="0" applyNumberFormat="1" applyBorder="1"/>
    <xf numFmtId="0" fontId="2" fillId="0" borderId="34" xfId="0" applyFont="1" applyBorder="1" applyAlignment="1">
      <alignment horizontal="center"/>
    </xf>
    <xf numFmtId="0" fontId="2" fillId="0" borderId="1" xfId="0" applyFont="1" applyBorder="1" applyAlignment="1">
      <alignment horizontal="center"/>
    </xf>
    <xf numFmtId="0" fontId="2" fillId="0" borderId="35" xfId="0" applyFont="1" applyBorder="1" applyAlignment="1">
      <alignment horizontal="center"/>
    </xf>
    <xf numFmtId="0" fontId="39" fillId="0" borderId="0" xfId="0" applyFont="1"/>
    <xf numFmtId="0" fontId="39" fillId="0" borderId="0" xfId="0" applyFont="1" applyAlignment="1">
      <alignment horizontal="right"/>
    </xf>
    <xf numFmtId="0" fontId="40" fillId="0" borderId="0" xfId="0" applyFont="1"/>
    <xf numFmtId="0" fontId="41" fillId="0" borderId="0" xfId="0" applyFont="1"/>
    <xf numFmtId="171" fontId="3" fillId="0" borderId="0" xfId="3" applyNumberFormat="1" applyFont="1" applyBorder="1"/>
    <xf numFmtId="0" fontId="36" fillId="0" borderId="14" xfId="0" applyFont="1" applyBorder="1" applyAlignment="1">
      <alignment vertical="center"/>
    </xf>
    <xf numFmtId="0" fontId="36" fillId="0" borderId="10" xfId="0" applyFont="1" applyBorder="1" applyAlignment="1">
      <alignment vertical="center"/>
    </xf>
    <xf numFmtId="0" fontId="36" fillId="0" borderId="39" xfId="0" applyFont="1" applyBorder="1" applyAlignment="1">
      <alignment vertical="center"/>
    </xf>
    <xf numFmtId="9" fontId="0" fillId="0" borderId="0" xfId="0" applyNumberFormat="1"/>
    <xf numFmtId="0" fontId="43" fillId="0" borderId="18" xfId="0" applyFont="1" applyBorder="1" applyAlignment="1">
      <alignment horizontal="center"/>
    </xf>
    <xf numFmtId="0" fontId="43" fillId="0" borderId="19" xfId="0" applyFont="1" applyBorder="1" applyAlignment="1">
      <alignment horizontal="center"/>
    </xf>
    <xf numFmtId="0" fontId="43" fillId="0" borderId="19" xfId="0" quotePrefix="1" applyFont="1" applyBorder="1" applyAlignment="1">
      <alignment horizontal="center"/>
    </xf>
    <xf numFmtId="0" fontId="43" fillId="0" borderId="20" xfId="0" quotePrefix="1" applyFont="1" applyBorder="1" applyAlignment="1">
      <alignment horizontal="center"/>
    </xf>
    <xf numFmtId="0" fontId="43" fillId="0" borderId="0" xfId="0" applyFont="1" applyAlignment="1">
      <alignment horizontal="left" wrapText="1"/>
    </xf>
    <xf numFmtId="0" fontId="43" fillId="0" borderId="6" xfId="0" applyFont="1" applyBorder="1" applyAlignment="1">
      <alignment horizontal="left" vertical="center"/>
    </xf>
    <xf numFmtId="0" fontId="43" fillId="0" borderId="5" xfId="0" applyFont="1" applyBorder="1" applyAlignment="1">
      <alignment horizontal="left" wrapText="1"/>
    </xf>
    <xf numFmtId="9" fontId="0" fillId="0" borderId="0" xfId="0" applyNumberFormat="1" applyAlignment="1">
      <alignment horizontal="right" vertical="center"/>
    </xf>
    <xf numFmtId="2" fontId="0" fillId="0" borderId="0" xfId="0" applyNumberFormat="1" applyAlignment="1">
      <alignment horizontal="right"/>
    </xf>
    <xf numFmtId="0" fontId="0" fillId="0" borderId="53" xfId="2" applyFont="1" applyBorder="1" applyAlignment="1">
      <alignment horizontal="left" vertical="center"/>
    </xf>
    <xf numFmtId="0" fontId="0" fillId="0" borderId="50" xfId="2" applyFont="1" applyBorder="1" applyAlignment="1">
      <alignment horizontal="left" vertical="center"/>
    </xf>
    <xf numFmtId="0" fontId="0" fillId="0" borderId="51" xfId="2" applyFont="1" applyBorder="1" applyAlignment="1">
      <alignment horizontal="left" vertical="center"/>
    </xf>
    <xf numFmtId="0" fontId="2" fillId="0" borderId="7" xfId="0" applyFont="1" applyBorder="1"/>
    <xf numFmtId="0" fontId="2" fillId="0" borderId="34" xfId="2" applyFont="1" applyBorder="1" applyAlignment="1">
      <alignment horizontal="center" vertical="center"/>
    </xf>
    <xf numFmtId="0" fontId="2" fillId="0" borderId="0" xfId="0" applyFont="1" applyAlignment="1">
      <alignment horizontal="center" vertical="center"/>
    </xf>
    <xf numFmtId="0" fontId="47" fillId="0" borderId="0" xfId="0" applyFont="1"/>
    <xf numFmtId="0" fontId="48" fillId="0" borderId="0" xfId="0" applyFont="1"/>
    <xf numFmtId="0" fontId="0" fillId="18" borderId="1" xfId="0" applyFill="1" applyBorder="1"/>
    <xf numFmtId="0" fontId="2" fillId="18" borderId="30" xfId="0" applyFont="1" applyFill="1" applyBorder="1"/>
    <xf numFmtId="0" fontId="0" fillId="18" borderId="32" xfId="0" applyFill="1" applyBorder="1"/>
    <xf numFmtId="0" fontId="0" fillId="18" borderId="27" xfId="0" applyFill="1" applyBorder="1"/>
    <xf numFmtId="43" fontId="0" fillId="18" borderId="29" xfId="3" applyFont="1" applyFill="1" applyBorder="1"/>
    <xf numFmtId="0" fontId="0" fillId="18" borderId="49" xfId="0" applyFill="1" applyBorder="1"/>
    <xf numFmtId="43" fontId="0" fillId="18" borderId="23" xfId="3" applyFont="1" applyFill="1" applyBorder="1"/>
    <xf numFmtId="0" fontId="0" fillId="18" borderId="24" xfId="0" applyFill="1" applyBorder="1"/>
    <xf numFmtId="0" fontId="0" fillId="18" borderId="23" xfId="0" applyFill="1" applyBorder="1"/>
    <xf numFmtId="43" fontId="0" fillId="18" borderId="21" xfId="3" applyFont="1" applyFill="1" applyBorder="1"/>
    <xf numFmtId="0" fontId="0" fillId="18" borderId="4" xfId="0" applyFill="1" applyBorder="1"/>
    <xf numFmtId="0" fontId="0" fillId="18" borderId="25" xfId="0" applyFill="1" applyBorder="1"/>
    <xf numFmtId="43" fontId="0" fillId="18" borderId="33" xfId="3" applyFont="1" applyFill="1" applyBorder="1"/>
    <xf numFmtId="0" fontId="0" fillId="18" borderId="26" xfId="0" applyFill="1" applyBorder="1"/>
    <xf numFmtId="0" fontId="0" fillId="18" borderId="52" xfId="0" applyFill="1" applyBorder="1"/>
    <xf numFmtId="43" fontId="0" fillId="18" borderId="25" xfId="3" applyFont="1" applyFill="1" applyBorder="1"/>
    <xf numFmtId="0" fontId="0" fillId="18" borderId="60" xfId="0" applyFill="1" applyBorder="1"/>
    <xf numFmtId="0" fontId="0" fillId="18" borderId="78" xfId="0" applyFill="1" applyBorder="1"/>
    <xf numFmtId="0" fontId="0" fillId="18" borderId="48" xfId="0" applyFill="1" applyBorder="1"/>
    <xf numFmtId="0" fontId="0" fillId="18" borderId="61" xfId="0" applyFill="1" applyBorder="1"/>
    <xf numFmtId="0" fontId="0" fillId="18" borderId="0" xfId="0" applyFill="1"/>
    <xf numFmtId="0" fontId="0" fillId="18" borderId="58" xfId="0" applyFill="1" applyBorder="1"/>
    <xf numFmtId="0" fontId="0" fillId="18" borderId="0" xfId="2" applyFont="1" applyFill="1" applyAlignment="1">
      <alignment horizontal="left" vertical="center"/>
    </xf>
    <xf numFmtId="9" fontId="0" fillId="18" borderId="58" xfId="0" applyNumberFormat="1" applyFill="1" applyBorder="1"/>
    <xf numFmtId="2" fontId="0" fillId="18" borderId="0" xfId="0" applyNumberFormat="1" applyFill="1"/>
    <xf numFmtId="168" fontId="0" fillId="18" borderId="0" xfId="0" applyNumberFormat="1" applyFill="1"/>
    <xf numFmtId="1" fontId="0" fillId="18" borderId="0" xfId="0" applyNumberFormat="1" applyFill="1"/>
    <xf numFmtId="1" fontId="0" fillId="18" borderId="0" xfId="3" applyNumberFormat="1" applyFont="1" applyFill="1" applyBorder="1"/>
    <xf numFmtId="0" fontId="0" fillId="18" borderId="79" xfId="0" applyFill="1" applyBorder="1"/>
    <xf numFmtId="0" fontId="0" fillId="18" borderId="5" xfId="0" applyFill="1" applyBorder="1"/>
    <xf numFmtId="0" fontId="0" fillId="18" borderId="44" xfId="0" applyFill="1" applyBorder="1"/>
    <xf numFmtId="0" fontId="2" fillId="4" borderId="69" xfId="0" applyFont="1" applyFill="1" applyBorder="1" applyAlignment="1">
      <alignment horizontal="center"/>
    </xf>
    <xf numFmtId="0" fontId="2" fillId="12" borderId="1" xfId="0" applyFont="1" applyFill="1" applyBorder="1" applyAlignment="1">
      <alignment horizontal="center"/>
    </xf>
    <xf numFmtId="0" fontId="2" fillId="7" borderId="7" xfId="0" applyFont="1" applyFill="1" applyBorder="1" applyAlignment="1">
      <alignment horizontal="center"/>
    </xf>
    <xf numFmtId="0" fontId="2" fillId="19" borderId="7" xfId="0" applyFont="1" applyFill="1" applyBorder="1" applyAlignment="1">
      <alignment horizontal="center"/>
    </xf>
    <xf numFmtId="2" fontId="0" fillId="0" borderId="21" xfId="0" applyNumberFormat="1" applyBorder="1"/>
    <xf numFmtId="0" fontId="2" fillId="0" borderId="20" xfId="0" applyFont="1" applyBorder="1" applyAlignment="1">
      <alignment horizontal="center"/>
    </xf>
    <xf numFmtId="2" fontId="0" fillId="0" borderId="32" xfId="0" applyNumberFormat="1" applyBorder="1" applyAlignment="1">
      <alignment horizontal="center"/>
    </xf>
    <xf numFmtId="2" fontId="0" fillId="0" borderId="26" xfId="0" applyNumberFormat="1" applyBorder="1" applyAlignment="1">
      <alignment horizontal="center"/>
    </xf>
    <xf numFmtId="0" fontId="0" fillId="0" borderId="29" xfId="0" applyBorder="1"/>
    <xf numFmtId="168" fontId="0" fillId="0" borderId="0" xfId="0" applyNumberFormat="1"/>
    <xf numFmtId="173" fontId="2" fillId="0" borderId="63" xfId="0" applyNumberFormat="1" applyFont="1" applyBorder="1" applyAlignment="1">
      <alignment horizontal="center"/>
    </xf>
    <xf numFmtId="173" fontId="2" fillId="0" borderId="64" xfId="0" applyNumberFormat="1" applyFont="1" applyBorder="1" applyAlignment="1">
      <alignment horizontal="center"/>
    </xf>
    <xf numFmtId="0" fontId="2" fillId="12" borderId="16" xfId="0" applyFont="1" applyFill="1" applyBorder="1" applyAlignment="1">
      <alignment horizontal="center"/>
    </xf>
    <xf numFmtId="173" fontId="2" fillId="0" borderId="76" xfId="0" applyNumberFormat="1" applyFont="1" applyBorder="1" applyAlignment="1">
      <alignment horizontal="center"/>
    </xf>
    <xf numFmtId="10" fontId="0" fillId="0" borderId="28" xfId="0" applyNumberFormat="1" applyBorder="1"/>
    <xf numFmtId="10" fontId="0" fillId="0" borderId="24" xfId="0" applyNumberFormat="1" applyBorder="1"/>
    <xf numFmtId="10" fontId="0" fillId="0" borderId="26" xfId="0" applyNumberFormat="1" applyBorder="1"/>
    <xf numFmtId="43" fontId="0" fillId="0" borderId="14" xfId="3" applyFont="1" applyBorder="1" applyAlignment="1">
      <alignment horizontal="center"/>
    </xf>
    <xf numFmtId="43" fontId="0" fillId="0" borderId="53" xfId="3" applyFont="1" applyBorder="1" applyAlignment="1">
      <alignment horizontal="center"/>
    </xf>
    <xf numFmtId="43" fontId="0" fillId="0" borderId="5" xfId="3" applyFont="1" applyBorder="1" applyAlignment="1">
      <alignment horizontal="center"/>
    </xf>
    <xf numFmtId="43" fontId="0" fillId="0" borderId="54" xfId="3" applyFont="1" applyBorder="1" applyAlignment="1">
      <alignment horizontal="center"/>
    </xf>
    <xf numFmtId="43" fontId="0" fillId="0" borderId="10" xfId="3" applyFont="1" applyBorder="1" applyAlignment="1">
      <alignment horizontal="center"/>
    </xf>
    <xf numFmtId="43" fontId="0" fillId="0" borderId="50" xfId="3" applyFont="1" applyBorder="1" applyAlignment="1">
      <alignment horizontal="center"/>
    </xf>
    <xf numFmtId="43" fontId="0" fillId="0" borderId="4" xfId="3" applyFont="1" applyBorder="1" applyAlignment="1">
      <alignment horizontal="center"/>
    </xf>
    <xf numFmtId="43" fontId="0" fillId="0" borderId="39" xfId="3" applyFont="1" applyBorder="1" applyAlignment="1">
      <alignment horizontal="center"/>
    </xf>
    <xf numFmtId="43" fontId="0" fillId="0" borderId="51" xfId="3" applyFont="1" applyBorder="1" applyAlignment="1">
      <alignment horizontal="center"/>
    </xf>
    <xf numFmtId="43" fontId="0" fillId="0" borderId="52" xfId="3" applyFont="1" applyBorder="1" applyAlignment="1">
      <alignment horizontal="center"/>
    </xf>
    <xf numFmtId="0" fontId="2" fillId="0" borderId="16" xfId="0" applyFont="1" applyBorder="1" applyAlignment="1">
      <alignment horizontal="right"/>
    </xf>
    <xf numFmtId="0" fontId="2" fillId="0" borderId="71" xfId="0" applyFont="1" applyBorder="1" applyAlignment="1">
      <alignment horizontal="right"/>
    </xf>
    <xf numFmtId="0" fontId="2" fillId="0" borderId="70" xfId="0" applyFont="1" applyBorder="1" applyAlignment="1">
      <alignment horizontal="right"/>
    </xf>
    <xf numFmtId="0" fontId="43" fillId="0" borderId="65" xfId="0" applyFont="1" applyBorder="1" applyAlignment="1">
      <alignment horizontal="center"/>
    </xf>
    <xf numFmtId="0" fontId="43" fillId="0" borderId="0" xfId="0" applyFont="1" applyAlignment="1">
      <alignment horizontal="left"/>
    </xf>
    <xf numFmtId="0" fontId="43" fillId="0" borderId="6" xfId="0" applyFont="1" applyBorder="1" applyAlignment="1">
      <alignment horizontal="left"/>
    </xf>
    <xf numFmtId="0" fontId="43" fillId="0" borderId="5" xfId="0" applyFont="1" applyBorder="1" applyAlignment="1">
      <alignment horizontal="left"/>
    </xf>
    <xf numFmtId="0" fontId="49" fillId="0" borderId="0" xfId="0" applyFont="1" applyAlignment="1">
      <alignment horizontal="center"/>
    </xf>
    <xf numFmtId="0" fontId="49" fillId="0" borderId="0" xfId="0" applyFont="1"/>
    <xf numFmtId="0" fontId="49" fillId="0" borderId="0" xfId="0" applyFont="1" applyAlignment="1">
      <alignment horizontal="right"/>
    </xf>
    <xf numFmtId="2" fontId="0" fillId="0" borderId="54" xfId="0" applyNumberFormat="1" applyBorder="1" applyAlignment="1">
      <alignment horizontal="center"/>
    </xf>
    <xf numFmtId="2" fontId="0" fillId="0" borderId="50" xfId="0" applyNumberFormat="1" applyBorder="1" applyAlignment="1">
      <alignment horizontal="center"/>
    </xf>
    <xf numFmtId="2" fontId="0" fillId="0" borderId="51" xfId="0" applyNumberFormat="1" applyBorder="1" applyAlignment="1">
      <alignment horizontal="center"/>
    </xf>
    <xf numFmtId="0" fontId="0" fillId="0" borderId="36" xfId="3" applyNumberFormat="1" applyFont="1" applyBorder="1" applyAlignment="1">
      <alignment horizontal="left"/>
    </xf>
    <xf numFmtId="0" fontId="0" fillId="0" borderId="10" xfId="3" applyNumberFormat="1" applyFont="1" applyBorder="1" applyAlignment="1">
      <alignment horizontal="left"/>
    </xf>
    <xf numFmtId="0" fontId="0" fillId="0" borderId="39" xfId="3" applyNumberFormat="1" applyFont="1" applyBorder="1" applyAlignment="1">
      <alignment horizontal="left"/>
    </xf>
    <xf numFmtId="0" fontId="13" fillId="0" borderId="0" xfId="0" applyFont="1"/>
    <xf numFmtId="43" fontId="52" fillId="0" borderId="51" xfId="3" applyFont="1" applyFill="1" applyBorder="1" applyAlignment="1">
      <alignment horizontal="center"/>
    </xf>
    <xf numFmtId="0" fontId="0" fillId="0" borderId="0" xfId="0" applyAlignment="1">
      <alignment horizontal="center" vertical="center"/>
    </xf>
    <xf numFmtId="0" fontId="36" fillId="0" borderId="0" xfId="0" applyFont="1" applyAlignment="1">
      <alignment vertical="center"/>
    </xf>
    <xf numFmtId="0" fontId="37" fillId="0" borderId="0" xfId="0" applyFont="1" applyAlignment="1">
      <alignment horizontal="left" vertical="top"/>
    </xf>
    <xf numFmtId="0" fontId="37" fillId="0" borderId="0" xfId="0" applyFont="1" applyAlignment="1">
      <alignment horizontal="left"/>
    </xf>
    <xf numFmtId="0" fontId="0" fillId="8" borderId="38" xfId="0" applyFill="1" applyBorder="1" applyAlignment="1">
      <alignment horizontal="center" vertical="center"/>
    </xf>
    <xf numFmtId="0" fontId="0" fillId="9" borderId="34" xfId="0" applyFill="1" applyBorder="1" applyAlignment="1">
      <alignment horizontal="center" vertical="center"/>
    </xf>
    <xf numFmtId="0" fontId="0" fillId="10" borderId="34" xfId="0" applyFill="1" applyBorder="1" applyAlignment="1">
      <alignment horizontal="center" vertical="center"/>
    </xf>
    <xf numFmtId="9" fontId="2" fillId="22" borderId="54" xfId="0" applyNumberFormat="1" applyFont="1" applyFill="1" applyBorder="1" applyAlignment="1">
      <alignment horizontal="center"/>
    </xf>
    <xf numFmtId="9" fontId="2" fillId="22" borderId="50" xfId="0" applyNumberFormat="1" applyFont="1" applyFill="1" applyBorder="1" applyAlignment="1">
      <alignment horizontal="center"/>
    </xf>
    <xf numFmtId="9" fontId="2" fillId="22" borderId="51" xfId="0" applyNumberFormat="1" applyFont="1" applyFill="1" applyBorder="1" applyAlignment="1">
      <alignment horizontal="center"/>
    </xf>
    <xf numFmtId="9" fontId="2" fillId="4" borderId="37" xfId="0" applyNumberFormat="1" applyFont="1" applyFill="1" applyBorder="1" applyAlignment="1">
      <alignment horizontal="center"/>
    </xf>
    <xf numFmtId="9" fontId="2" fillId="4" borderId="11" xfId="0" applyNumberFormat="1" applyFont="1" applyFill="1" applyBorder="1" applyAlignment="1">
      <alignment horizontal="center"/>
    </xf>
    <xf numFmtId="9" fontId="2" fillId="4" borderId="56" xfId="0" applyNumberFormat="1" applyFont="1" applyFill="1" applyBorder="1" applyAlignment="1">
      <alignment horizontal="center"/>
    </xf>
    <xf numFmtId="0" fontId="33" fillId="8" borderId="83" xfId="0" applyFont="1" applyFill="1" applyBorder="1" applyAlignment="1">
      <alignment horizontal="center" vertical="top"/>
    </xf>
    <xf numFmtId="0" fontId="33" fillId="9" borderId="83" xfId="0" applyFont="1" applyFill="1" applyBorder="1" applyAlignment="1">
      <alignment horizontal="center" vertical="top"/>
    </xf>
    <xf numFmtId="0" fontId="33" fillId="10" borderId="83" xfId="0" applyFont="1" applyFill="1" applyBorder="1" applyAlignment="1">
      <alignment horizontal="center" vertical="top"/>
    </xf>
    <xf numFmtId="0" fontId="2" fillId="0" borderId="0" xfId="0" applyFont="1" applyAlignment="1">
      <alignment horizontal="center" vertical="center" wrapText="1"/>
    </xf>
    <xf numFmtId="0" fontId="2" fillId="0" borderId="0" xfId="0" applyFont="1" applyAlignment="1">
      <alignment vertical="center" wrapText="1"/>
    </xf>
    <xf numFmtId="0" fontId="0" fillId="0" borderId="21" xfId="0" applyBorder="1" applyAlignment="1">
      <alignment vertical="center" wrapText="1"/>
    </xf>
    <xf numFmtId="3" fontId="0" fillId="0" borderId="21" xfId="0" applyNumberFormat="1" applyBorder="1" applyAlignment="1">
      <alignment vertical="center" wrapText="1"/>
    </xf>
    <xf numFmtId="4" fontId="0" fillId="0" borderId="21" xfId="0" applyNumberFormat="1" applyBorder="1" applyAlignment="1">
      <alignment vertical="center" wrapText="1"/>
    </xf>
    <xf numFmtId="0" fontId="56" fillId="0" borderId="10" xfId="0" applyFont="1" applyBorder="1"/>
    <xf numFmtId="0" fontId="48" fillId="0" borderId="10" xfId="0" applyFont="1" applyBorder="1"/>
    <xf numFmtId="0" fontId="48" fillId="0" borderId="14" xfId="0" applyFont="1" applyBorder="1"/>
    <xf numFmtId="0" fontId="48" fillId="0" borderId="39" xfId="0" applyFont="1" applyBorder="1"/>
    <xf numFmtId="3" fontId="0" fillId="0" borderId="31" xfId="0" applyNumberFormat="1" applyBorder="1" applyAlignment="1">
      <alignment vertical="center" wrapText="1"/>
    </xf>
    <xf numFmtId="4" fontId="0" fillId="0" borderId="31" xfId="0" applyNumberFormat="1" applyBorder="1" applyAlignment="1">
      <alignment vertical="center" wrapText="1"/>
    </xf>
    <xf numFmtId="0" fontId="0" fillId="0" borderId="31" xfId="0" applyBorder="1" applyAlignment="1">
      <alignment vertical="center" wrapText="1"/>
    </xf>
    <xf numFmtId="0" fontId="0" fillId="0" borderId="24" xfId="0" applyBorder="1" applyAlignment="1">
      <alignment vertical="center" wrapText="1"/>
    </xf>
    <xf numFmtId="3" fontId="0" fillId="0" borderId="33" xfId="0" applyNumberFormat="1" applyBorder="1" applyAlignment="1">
      <alignment vertical="center" wrapText="1"/>
    </xf>
    <xf numFmtId="0" fontId="0" fillId="0" borderId="33" xfId="0" applyBorder="1" applyAlignment="1">
      <alignment vertical="center" wrapText="1"/>
    </xf>
    <xf numFmtId="4" fontId="0" fillId="0" borderId="33" xfId="0" applyNumberFormat="1" applyBorder="1" applyAlignment="1">
      <alignment vertical="center" wrapText="1"/>
    </xf>
    <xf numFmtId="4" fontId="0" fillId="0" borderId="29" xfId="0" applyNumberFormat="1" applyBorder="1" applyAlignment="1">
      <alignment vertical="center" wrapText="1"/>
    </xf>
    <xf numFmtId="0" fontId="2" fillId="0" borderId="18" xfId="0" applyFont="1" applyBorder="1" applyAlignment="1">
      <alignment horizontal="left" vertical="center"/>
    </xf>
    <xf numFmtId="0" fontId="2" fillId="0" borderId="65" xfId="0" applyFont="1" applyBorder="1" applyAlignment="1">
      <alignment horizontal="lef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7" xfId="0" applyFont="1" applyBorder="1" applyAlignment="1">
      <alignment vertical="center"/>
    </xf>
    <xf numFmtId="0" fontId="0" fillId="0" borderId="23" xfId="0" applyBorder="1" applyAlignment="1">
      <alignment vertical="center" wrapText="1"/>
    </xf>
    <xf numFmtId="0" fontId="2" fillId="20" borderId="23" xfId="0" applyFont="1" applyFill="1" applyBorder="1" applyAlignment="1">
      <alignment vertical="center" wrapText="1"/>
    </xf>
    <xf numFmtId="0" fontId="2" fillId="20" borderId="21" xfId="0" applyFont="1" applyFill="1" applyBorder="1" applyAlignment="1">
      <alignment vertical="center" wrapText="1"/>
    </xf>
    <xf numFmtId="0" fontId="2" fillId="20" borderId="24" xfId="0" applyFont="1" applyFill="1" applyBorder="1" applyAlignment="1">
      <alignment vertical="center" wrapText="1"/>
    </xf>
    <xf numFmtId="0" fontId="0" fillId="0" borderId="25" xfId="0" applyBorder="1" applyAlignment="1">
      <alignment vertical="center" wrapText="1"/>
    </xf>
    <xf numFmtId="0" fontId="2" fillId="0" borderId="7" xfId="0" applyFont="1" applyBorder="1" applyAlignment="1">
      <alignment horizontal="left" vertical="center"/>
    </xf>
    <xf numFmtId="0" fontId="2" fillId="0" borderId="7" xfId="0" quotePrefix="1" applyFont="1" applyBorder="1" applyAlignment="1">
      <alignment horizontal="left" vertical="center"/>
    </xf>
    <xf numFmtId="4" fontId="0" fillId="0" borderId="0" xfId="0" applyNumberFormat="1" applyAlignment="1">
      <alignment wrapText="1"/>
    </xf>
    <xf numFmtId="0" fontId="0" fillId="0" borderId="30" xfId="0" applyBorder="1" applyAlignment="1">
      <alignment vertical="center" wrapText="1"/>
    </xf>
    <xf numFmtId="4" fontId="0" fillId="0" borderId="63" xfId="0" applyNumberFormat="1" applyBorder="1" applyAlignment="1">
      <alignment vertical="center" wrapText="1"/>
    </xf>
    <xf numFmtId="0" fontId="0" fillId="0" borderId="32" xfId="0" applyBorder="1" applyAlignment="1">
      <alignment vertical="center" wrapText="1"/>
    </xf>
    <xf numFmtId="0" fontId="0" fillId="0" borderId="26" xfId="0" applyBorder="1" applyAlignment="1">
      <alignment vertical="center" wrapText="1"/>
    </xf>
    <xf numFmtId="0" fontId="2" fillId="0" borderId="68" xfId="0" applyFont="1" applyBorder="1" applyAlignment="1">
      <alignment wrapText="1"/>
    </xf>
    <xf numFmtId="4" fontId="0" fillId="0" borderId="63" xfId="0" applyNumberFormat="1" applyBorder="1" applyAlignment="1">
      <alignment wrapText="1"/>
    </xf>
    <xf numFmtId="4" fontId="0" fillId="0" borderId="64" xfId="0" applyNumberFormat="1" applyBorder="1" applyAlignment="1">
      <alignment wrapText="1"/>
    </xf>
    <xf numFmtId="0" fontId="2" fillId="0" borderId="18" xfId="0" applyFont="1" applyBorder="1" applyAlignment="1">
      <alignment wrapText="1"/>
    </xf>
    <xf numFmtId="4" fontId="0" fillId="0" borderId="19" xfId="0" applyNumberFormat="1" applyBorder="1" applyAlignment="1">
      <alignment wrapText="1"/>
    </xf>
    <xf numFmtId="4" fontId="0" fillId="0" borderId="20" xfId="0" applyNumberFormat="1" applyBorder="1" applyAlignment="1">
      <alignment wrapText="1"/>
    </xf>
    <xf numFmtId="4" fontId="2" fillId="20" borderId="29" xfId="0" applyNumberFormat="1" applyFont="1" applyFill="1" applyBorder="1" applyAlignment="1">
      <alignment vertical="center" wrapText="1"/>
    </xf>
    <xf numFmtId="0" fontId="2" fillId="20" borderId="18" xfId="0" applyFont="1" applyFill="1" applyBorder="1" applyAlignment="1">
      <alignment wrapText="1"/>
    </xf>
    <xf numFmtId="0" fontId="13" fillId="0" borderId="30" xfId="0" applyFont="1" applyBorder="1" applyAlignment="1">
      <alignment horizontal="center" vertical="center" wrapText="1"/>
    </xf>
    <xf numFmtId="0" fontId="13" fillId="0" borderId="23" xfId="0" applyFont="1" applyBorder="1" applyAlignment="1">
      <alignment horizontal="center" vertical="center" wrapText="1"/>
    </xf>
    <xf numFmtId="0" fontId="52" fillId="20" borderId="23" xfId="0" applyFont="1" applyFill="1" applyBorder="1" applyAlignment="1">
      <alignment horizontal="center" vertical="center" wrapText="1"/>
    </xf>
    <xf numFmtId="0" fontId="13" fillId="0" borderId="25" xfId="0" applyFont="1" applyBorder="1" applyAlignment="1">
      <alignment horizontal="center" vertical="center" wrapText="1"/>
    </xf>
    <xf numFmtId="3" fontId="0" fillId="0" borderId="31" xfId="0" applyNumberFormat="1" applyBorder="1" applyAlignment="1">
      <alignment horizontal="right" vertical="center" wrapText="1"/>
    </xf>
    <xf numFmtId="3" fontId="0" fillId="0" borderId="21" xfId="0" applyNumberFormat="1" applyBorder="1" applyAlignment="1">
      <alignment horizontal="right" vertical="center" wrapText="1"/>
    </xf>
    <xf numFmtId="3" fontId="0" fillId="0" borderId="33" xfId="0" applyNumberFormat="1" applyBorder="1" applyAlignment="1">
      <alignment horizontal="right" vertical="center" wrapText="1"/>
    </xf>
    <xf numFmtId="3" fontId="2" fillId="20" borderId="21" xfId="0" applyNumberFormat="1" applyFont="1" applyFill="1" applyBorder="1" applyAlignment="1">
      <alignment horizontal="right" vertical="center" wrapText="1"/>
    </xf>
    <xf numFmtId="0" fontId="2" fillId="0" borderId="38" xfId="0" applyFont="1" applyBorder="1" applyAlignment="1">
      <alignment vertical="center"/>
    </xf>
    <xf numFmtId="3" fontId="0" fillId="0" borderId="72" xfId="0" applyNumberFormat="1" applyBorder="1" applyAlignment="1">
      <alignment horizontal="right" vertical="center" wrapText="1"/>
    </xf>
    <xf numFmtId="3" fontId="0" fillId="0" borderId="62" xfId="0" applyNumberFormat="1" applyBorder="1" applyAlignment="1">
      <alignment horizontal="right" vertical="center" wrapText="1"/>
    </xf>
    <xf numFmtId="3" fontId="2" fillId="20" borderId="62" xfId="0" applyNumberFormat="1" applyFont="1" applyFill="1" applyBorder="1" applyAlignment="1">
      <alignment horizontal="right" vertical="center" wrapText="1"/>
    </xf>
    <xf numFmtId="3" fontId="0" fillId="0" borderId="66" xfId="0" applyNumberFormat="1" applyBorder="1" applyAlignment="1">
      <alignment horizontal="right" vertical="center" wrapText="1"/>
    </xf>
    <xf numFmtId="3" fontId="0" fillId="0" borderId="62" xfId="0" applyNumberFormat="1" applyBorder="1" applyAlignment="1">
      <alignment vertical="center" wrapText="1"/>
    </xf>
    <xf numFmtId="3" fontId="0" fillId="0" borderId="66" xfId="0" applyNumberFormat="1" applyBorder="1" applyAlignment="1">
      <alignment vertical="center" wrapText="1"/>
    </xf>
    <xf numFmtId="0" fontId="2" fillId="0" borderId="18" xfId="0" applyFont="1" applyBorder="1" applyAlignment="1">
      <alignment vertical="center"/>
    </xf>
    <xf numFmtId="0" fontId="2" fillId="20" borderId="68" xfId="0" applyFont="1" applyFill="1" applyBorder="1" applyAlignment="1">
      <alignment wrapText="1"/>
    </xf>
    <xf numFmtId="4" fontId="0" fillId="20" borderId="63" xfId="0" applyNumberFormat="1" applyFill="1" applyBorder="1" applyAlignment="1">
      <alignment wrapText="1"/>
    </xf>
    <xf numFmtId="0" fontId="2" fillId="0" borderId="87" xfId="0" applyFont="1" applyBorder="1" applyAlignment="1">
      <alignment vertical="center"/>
    </xf>
    <xf numFmtId="0" fontId="2" fillId="0" borderId="88" xfId="0" applyFont="1" applyBorder="1" applyAlignment="1">
      <alignment vertical="center"/>
    </xf>
    <xf numFmtId="3" fontId="0" fillId="20" borderId="63" xfId="0" applyNumberFormat="1" applyFill="1" applyBorder="1" applyAlignment="1">
      <alignment wrapText="1"/>
    </xf>
    <xf numFmtId="174" fontId="0" fillId="0" borderId="30" xfId="0" applyNumberFormat="1" applyBorder="1" applyAlignment="1">
      <alignment horizontal="right" vertical="center" wrapText="1"/>
    </xf>
    <xf numFmtId="174" fontId="0" fillId="0" borderId="32" xfId="0" applyNumberFormat="1" applyBorder="1" applyAlignment="1">
      <alignment horizontal="right" vertical="center" wrapText="1"/>
    </xf>
    <xf numFmtId="174" fontId="0" fillId="0" borderId="27" xfId="0" applyNumberFormat="1" applyBorder="1" applyAlignment="1">
      <alignment horizontal="right" vertical="center" wrapText="1"/>
    </xf>
    <xf numFmtId="174" fontId="0" fillId="0" borderId="24" xfId="0" applyNumberFormat="1" applyBorder="1" applyAlignment="1">
      <alignment horizontal="right" vertical="center" wrapText="1"/>
    </xf>
    <xf numFmtId="174" fontId="2" fillId="20" borderId="27" xfId="0" applyNumberFormat="1" applyFont="1" applyFill="1" applyBorder="1" applyAlignment="1">
      <alignment horizontal="right" vertical="center" wrapText="1"/>
    </xf>
    <xf numFmtId="174" fontId="2" fillId="20" borderId="24" xfId="0" applyNumberFormat="1" applyFont="1" applyFill="1" applyBorder="1" applyAlignment="1">
      <alignment horizontal="right" vertical="center" wrapText="1"/>
    </xf>
    <xf numFmtId="174" fontId="0" fillId="0" borderId="25" xfId="0" applyNumberFormat="1" applyBorder="1" applyAlignment="1">
      <alignment horizontal="right" vertical="center" wrapText="1"/>
    </xf>
    <xf numFmtId="174" fontId="0" fillId="0" borderId="26" xfId="0" applyNumberFormat="1" applyBorder="1" applyAlignment="1">
      <alignment horizontal="right" vertical="center" wrapText="1"/>
    </xf>
    <xf numFmtId="174" fontId="2" fillId="0" borderId="0" xfId="0" applyNumberFormat="1" applyFont="1" applyAlignment="1">
      <alignment horizontal="center" vertical="center" wrapText="1"/>
    </xf>
    <xf numFmtId="174" fontId="0" fillId="0" borderId="27" xfId="0" applyNumberFormat="1" applyBorder="1" applyAlignment="1">
      <alignment vertical="center" wrapText="1"/>
    </xf>
    <xf numFmtId="174" fontId="0" fillId="0" borderId="24" xfId="0" applyNumberFormat="1" applyBorder="1" applyAlignment="1">
      <alignment vertical="center" wrapText="1"/>
    </xf>
    <xf numFmtId="174" fontId="0" fillId="0" borderId="68" xfId="0" applyNumberFormat="1" applyBorder="1" applyAlignment="1">
      <alignment vertical="center" wrapText="1"/>
    </xf>
    <xf numFmtId="174" fontId="0" fillId="0" borderId="26" xfId="0" applyNumberFormat="1" applyBorder="1" applyAlignment="1">
      <alignment vertical="center" wrapText="1"/>
    </xf>
    <xf numFmtId="4" fontId="0" fillId="20" borderId="64" xfId="0" applyNumberFormat="1" applyFill="1" applyBorder="1" applyAlignment="1">
      <alignment wrapText="1"/>
    </xf>
    <xf numFmtId="2" fontId="0" fillId="20" borderId="19" xfId="0" applyNumberFormat="1" applyFill="1" applyBorder="1" applyAlignment="1">
      <alignment wrapText="1"/>
    </xf>
    <xf numFmtId="2" fontId="0" fillId="20" borderId="19" xfId="3" applyNumberFormat="1" applyFont="1" applyFill="1" applyBorder="1" applyAlignment="1">
      <alignment wrapText="1"/>
    </xf>
    <xf numFmtId="2" fontId="0" fillId="20" borderId="20" xfId="0" applyNumberFormat="1" applyFill="1" applyBorder="1" applyAlignment="1">
      <alignment wrapText="1"/>
    </xf>
    <xf numFmtId="171" fontId="3" fillId="0" borderId="24" xfId="3" applyNumberFormat="1" applyFont="1" applyBorder="1" applyAlignment="1">
      <alignment horizontal="center" vertical="center"/>
    </xf>
    <xf numFmtId="2" fontId="3" fillId="0" borderId="28" xfId="3" applyNumberFormat="1" applyFont="1" applyBorder="1" applyAlignment="1">
      <alignment horizontal="center" vertical="center"/>
    </xf>
    <xf numFmtId="0" fontId="15" fillId="4" borderId="34"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0" fillId="0" borderId="0" xfId="0" applyAlignment="1">
      <alignment horizontal="right" wrapText="1"/>
    </xf>
    <xf numFmtId="0" fontId="49" fillId="0" borderId="0" xfId="0" applyFont="1" applyAlignment="1">
      <alignment horizontal="left"/>
    </xf>
    <xf numFmtId="168" fontId="0" fillId="0" borderId="30" xfId="0" applyNumberFormat="1" applyBorder="1"/>
    <xf numFmtId="168" fontId="0" fillId="0" borderId="31" xfId="0" applyNumberFormat="1" applyBorder="1"/>
    <xf numFmtId="168" fontId="0" fillId="0" borderId="32" xfId="0" applyNumberFormat="1" applyBorder="1"/>
    <xf numFmtId="168" fontId="0" fillId="0" borderId="23" xfId="0" applyNumberFormat="1" applyBorder="1"/>
    <xf numFmtId="168" fontId="0" fillId="0" borderId="24" xfId="0" applyNumberFormat="1" applyBorder="1"/>
    <xf numFmtId="168" fontId="52" fillId="0" borderId="24" xfId="0" applyNumberFormat="1" applyFont="1" applyBorder="1"/>
    <xf numFmtId="168" fontId="0" fillId="0" borderId="25" xfId="0" applyNumberFormat="1" applyBorder="1"/>
    <xf numFmtId="168" fontId="0" fillId="0" borderId="33" xfId="0" applyNumberFormat="1" applyBorder="1"/>
    <xf numFmtId="168" fontId="0" fillId="0" borderId="26" xfId="0" applyNumberFormat="1" applyBorder="1"/>
    <xf numFmtId="9" fontId="0" fillId="0" borderId="16" xfId="0" applyNumberFormat="1" applyBorder="1" applyAlignment="1">
      <alignment horizontal="center"/>
    </xf>
    <xf numFmtId="9" fontId="0" fillId="0" borderId="63" xfId="0" applyNumberFormat="1" applyBorder="1" applyAlignment="1">
      <alignment horizontal="center"/>
    </xf>
    <xf numFmtId="9" fontId="0" fillId="0" borderId="64" xfId="0" applyNumberFormat="1" applyBorder="1" applyAlignment="1">
      <alignment horizontal="center"/>
    </xf>
    <xf numFmtId="0" fontId="2" fillId="0" borderId="89" xfId="0" applyFont="1" applyBorder="1" applyAlignment="1">
      <alignment horizontal="center" vertical="center"/>
    </xf>
    <xf numFmtId="9" fontId="0" fillId="0" borderId="89" xfId="0" applyNumberFormat="1" applyBorder="1" applyAlignment="1">
      <alignment horizontal="center"/>
    </xf>
    <xf numFmtId="9" fontId="0" fillId="0" borderId="88" xfId="0" applyNumberFormat="1" applyBorder="1" applyAlignment="1">
      <alignment horizontal="center"/>
    </xf>
    <xf numFmtId="9" fontId="0" fillId="0" borderId="82" xfId="0" applyNumberFormat="1" applyBorder="1" applyAlignment="1">
      <alignment horizontal="center"/>
    </xf>
    <xf numFmtId="0" fontId="2" fillId="0" borderId="16" xfId="0" applyFont="1" applyBorder="1" applyAlignment="1">
      <alignment horizontal="center" vertical="center"/>
    </xf>
    <xf numFmtId="0" fontId="49" fillId="0" borderId="3" xfId="0" applyFont="1" applyBorder="1" applyAlignment="1">
      <alignment horizontal="left" vertical="center"/>
    </xf>
    <xf numFmtId="0" fontId="49" fillId="0" borderId="0" xfId="0" applyFont="1" applyAlignment="1">
      <alignment horizontal="right" vertical="center"/>
    </xf>
    <xf numFmtId="0" fontId="0" fillId="0" borderId="19" xfId="0" applyBorder="1" applyAlignment="1">
      <alignment vertical="center"/>
    </xf>
    <xf numFmtId="167" fontId="0" fillId="0" borderId="20" xfId="0" applyNumberFormat="1" applyBorder="1" applyAlignment="1">
      <alignment horizontal="center" vertical="center"/>
    </xf>
    <xf numFmtId="43" fontId="24" fillId="0" borderId="0" xfId="3" applyFont="1" applyFill="1" applyBorder="1"/>
    <xf numFmtId="168" fontId="0" fillId="0" borderId="0" xfId="0" applyNumberFormat="1" applyAlignment="1">
      <alignment horizontal="center"/>
    </xf>
    <xf numFmtId="43" fontId="0" fillId="0" borderId="0" xfId="0" applyNumberFormat="1" applyAlignment="1">
      <alignment horizontal="center"/>
    </xf>
    <xf numFmtId="43" fontId="24" fillId="0" borderId="18" xfId="3" applyFont="1" applyFill="1" applyBorder="1" applyAlignment="1">
      <alignment vertical="center"/>
    </xf>
    <xf numFmtId="168" fontId="0" fillId="0" borderId="19" xfId="0" applyNumberFormat="1" applyBorder="1" applyAlignment="1">
      <alignment horizontal="center" vertical="center"/>
    </xf>
    <xf numFmtId="43" fontId="0" fillId="0" borderId="19" xfId="0" applyNumberFormat="1" applyBorder="1" applyAlignment="1">
      <alignment horizontal="center" vertical="center"/>
    </xf>
    <xf numFmtId="43" fontId="0" fillId="0" borderId="20" xfId="0" applyNumberFormat="1" applyBorder="1" applyAlignment="1">
      <alignment horizontal="center" vertical="center"/>
    </xf>
    <xf numFmtId="0" fontId="2" fillId="0" borderId="65"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53" fillId="23" borderId="7" xfId="0" quotePrefix="1" applyFont="1" applyFill="1" applyBorder="1" applyAlignment="1">
      <alignment horizontal="center" vertical="center"/>
    </xf>
    <xf numFmtId="0" fontId="53" fillId="23" borderId="88" xfId="0" quotePrefix="1" applyFont="1" applyFill="1" applyBorder="1" applyAlignment="1">
      <alignment horizontal="center" vertical="center"/>
    </xf>
    <xf numFmtId="0" fontId="53" fillId="23" borderId="82" xfId="0" quotePrefix="1" applyFont="1" applyFill="1" applyBorder="1" applyAlignment="1">
      <alignment horizontal="center" vertical="center"/>
    </xf>
    <xf numFmtId="0" fontId="0" fillId="0" borderId="29" xfId="0" applyBorder="1" applyAlignment="1">
      <alignment horizontal="center" vertical="center"/>
    </xf>
    <xf numFmtId="0" fontId="0" fillId="0" borderId="68" xfId="0" applyBorder="1" applyAlignment="1">
      <alignment horizontal="center" vertical="center"/>
    </xf>
    <xf numFmtId="0" fontId="0" fillId="10" borderId="90" xfId="0" applyFill="1" applyBorder="1" applyAlignment="1">
      <alignment horizontal="center"/>
    </xf>
    <xf numFmtId="168" fontId="0" fillId="10" borderId="35" xfId="0" applyNumberFormat="1" applyFill="1" applyBorder="1" applyAlignment="1">
      <alignment horizontal="center"/>
    </xf>
    <xf numFmtId="2" fontId="0" fillId="0" borderId="28" xfId="0" applyNumberFormat="1" applyBorder="1" applyAlignment="1">
      <alignment horizontal="center"/>
    </xf>
    <xf numFmtId="0" fontId="0" fillId="0" borderId="21" xfId="0" applyBorder="1" applyAlignment="1">
      <alignment horizontal="center" vertical="center"/>
    </xf>
    <xf numFmtId="0" fontId="35" fillId="0" borderId="21" xfId="0" applyFont="1" applyBorder="1" applyAlignment="1">
      <alignment horizontal="center" vertical="center"/>
    </xf>
    <xf numFmtId="0" fontId="35" fillId="0" borderId="22" xfId="0" applyFont="1" applyBorder="1" applyAlignment="1">
      <alignment horizontal="center" vertical="center"/>
    </xf>
    <xf numFmtId="0" fontId="0" fillId="0" borderId="33" xfId="0" applyBorder="1" applyAlignment="1">
      <alignment horizontal="center" vertical="center"/>
    </xf>
    <xf numFmtId="0" fontId="35" fillId="0" borderId="29" xfId="0" applyFont="1" applyBorder="1" applyAlignment="1">
      <alignment horizontal="center" vertical="center"/>
    </xf>
    <xf numFmtId="0" fontId="35" fillId="0" borderId="28" xfId="0" applyFont="1" applyBorder="1" applyAlignment="1">
      <alignment horizontal="center" vertical="center"/>
    </xf>
    <xf numFmtId="0" fontId="30" fillId="8" borderId="20" xfId="0" applyFont="1" applyFill="1" applyBorder="1" applyAlignment="1">
      <alignment horizontal="center"/>
    </xf>
    <xf numFmtId="0" fontId="2" fillId="9" borderId="19" xfId="0" applyFont="1" applyFill="1" applyBorder="1" applyAlignment="1">
      <alignment horizontal="center"/>
    </xf>
    <xf numFmtId="0" fontId="2" fillId="9" borderId="20" xfId="0" applyFont="1" applyFill="1" applyBorder="1" applyAlignment="1">
      <alignment horizontal="center"/>
    </xf>
    <xf numFmtId="0" fontId="2" fillId="10" borderId="19" xfId="0" applyFont="1" applyFill="1" applyBorder="1" applyAlignment="1">
      <alignment horizontal="center"/>
    </xf>
    <xf numFmtId="0" fontId="2" fillId="11" borderId="19" xfId="0" applyFont="1" applyFill="1" applyBorder="1" applyAlignment="1">
      <alignment horizontal="center"/>
    </xf>
    <xf numFmtId="0" fontId="33" fillId="12" borderId="19" xfId="0" applyFont="1" applyFill="1" applyBorder="1" applyAlignment="1">
      <alignment horizontal="center" vertical="center"/>
    </xf>
    <xf numFmtId="0" fontId="33" fillId="12" borderId="20" xfId="0" applyFont="1" applyFill="1" applyBorder="1" applyAlignment="1">
      <alignment horizontal="center" vertical="center"/>
    </xf>
    <xf numFmtId="0" fontId="0" fillId="0" borderId="63" xfId="0" applyBorder="1" applyAlignment="1">
      <alignment horizontal="center" vertical="center"/>
    </xf>
    <xf numFmtId="0" fontId="35" fillId="0" borderId="63" xfId="0" applyFont="1" applyBorder="1" applyAlignment="1">
      <alignment horizontal="center" vertical="center"/>
    </xf>
    <xf numFmtId="0" fontId="35" fillId="0" borderId="64" xfId="0" applyFont="1" applyBorder="1" applyAlignment="1">
      <alignment horizontal="center" vertical="center"/>
    </xf>
    <xf numFmtId="0" fontId="33" fillId="12" borderId="18" xfId="0" applyFont="1" applyFill="1" applyBorder="1" applyAlignment="1">
      <alignment horizontal="center" vertical="center"/>
    </xf>
    <xf numFmtId="0" fontId="35" fillId="0" borderId="27" xfId="0" applyFont="1" applyBorder="1" applyAlignment="1">
      <alignment horizontal="center" vertical="center"/>
    </xf>
    <xf numFmtId="0" fontId="35" fillId="0" borderId="68" xfId="0" applyFont="1" applyBorder="1" applyAlignment="1">
      <alignment horizontal="center" vertical="center"/>
    </xf>
    <xf numFmtId="0" fontId="2" fillId="11" borderId="18" xfId="0" applyFont="1" applyFill="1" applyBorder="1" applyAlignment="1">
      <alignment horizontal="center"/>
    </xf>
    <xf numFmtId="0" fontId="2" fillId="11" borderId="20" xfId="0" applyFont="1" applyFill="1" applyBorder="1" applyAlignment="1">
      <alignment horizontal="center"/>
    </xf>
    <xf numFmtId="0" fontId="2" fillId="10" borderId="20" xfId="0" applyFont="1" applyFill="1" applyBorder="1" applyAlignment="1">
      <alignment horizontal="center"/>
    </xf>
    <xf numFmtId="0" fontId="0" fillId="0" borderId="64" xfId="0" applyBorder="1" applyAlignment="1">
      <alignment horizontal="center" vertical="center"/>
    </xf>
    <xf numFmtId="0" fontId="0" fillId="0" borderId="31" xfId="0" applyBorder="1"/>
    <xf numFmtId="0" fontId="0" fillId="0" borderId="33" xfId="0" applyBorder="1"/>
    <xf numFmtId="0" fontId="0" fillId="0" borderId="57" xfId="0" applyBorder="1"/>
    <xf numFmtId="0" fontId="0" fillId="0" borderId="44" xfId="0" applyBorder="1"/>
    <xf numFmtId="0" fontId="0" fillId="0" borderId="22" xfId="0" applyBorder="1"/>
    <xf numFmtId="0" fontId="0" fillId="0" borderId="43" xfId="0" applyBorder="1"/>
    <xf numFmtId="0" fontId="0" fillId="0" borderId="54" xfId="0" applyBorder="1"/>
    <xf numFmtId="0" fontId="0" fillId="0" borderId="51" xfId="0" applyBorder="1"/>
    <xf numFmtId="0" fontId="0" fillId="0" borderId="53" xfId="0" applyBorder="1"/>
    <xf numFmtId="0" fontId="0" fillId="0" borderId="50" xfId="0" applyBorder="1"/>
    <xf numFmtId="0" fontId="0" fillId="0" borderId="77" xfId="0" applyBorder="1"/>
    <xf numFmtId="2" fontId="0" fillId="0" borderId="33" xfId="0" applyNumberFormat="1" applyBorder="1"/>
    <xf numFmtId="0" fontId="2" fillId="0" borderId="35" xfId="0" applyFont="1" applyBorder="1" applyAlignment="1">
      <alignment horizontal="center" vertical="center"/>
    </xf>
    <xf numFmtId="0" fontId="57" fillId="0" borderId="27" xfId="0" applyFont="1" applyBorder="1" applyAlignment="1">
      <alignment horizontal="center" vertical="center"/>
    </xf>
    <xf numFmtId="0" fontId="57" fillId="0" borderId="14" xfId="0" applyFont="1" applyBorder="1" applyAlignment="1">
      <alignment horizontal="center" vertical="center"/>
    </xf>
    <xf numFmtId="9" fontId="58" fillId="22" borderId="54" xfId="0" applyNumberFormat="1" applyFont="1" applyFill="1" applyBorder="1" applyAlignment="1">
      <alignment horizontal="center" vertical="center"/>
    </xf>
    <xf numFmtId="9" fontId="58" fillId="4" borderId="37" xfId="0" applyNumberFormat="1" applyFont="1" applyFill="1" applyBorder="1" applyAlignment="1">
      <alignment horizontal="center" vertical="center"/>
    </xf>
    <xf numFmtId="9" fontId="58" fillId="22" borderId="50" xfId="0" applyNumberFormat="1" applyFont="1" applyFill="1" applyBorder="1" applyAlignment="1">
      <alignment horizontal="center" vertical="center"/>
    </xf>
    <xf numFmtId="9" fontId="58" fillId="4" borderId="11" xfId="0" applyNumberFormat="1" applyFont="1" applyFill="1" applyBorder="1" applyAlignment="1">
      <alignment horizontal="center" vertical="center"/>
    </xf>
    <xf numFmtId="9" fontId="58" fillId="22" borderId="51" xfId="0" applyNumberFormat="1" applyFont="1" applyFill="1" applyBorder="1" applyAlignment="1">
      <alignment horizontal="center" vertical="center"/>
    </xf>
    <xf numFmtId="9" fontId="58" fillId="4" borderId="56" xfId="0" applyNumberFormat="1" applyFont="1" applyFill="1" applyBorder="1" applyAlignment="1">
      <alignment horizontal="center" vertical="center"/>
    </xf>
    <xf numFmtId="0" fontId="57" fillId="0" borderId="44" xfId="0" applyFont="1" applyBorder="1" applyAlignment="1">
      <alignment horizontal="center" vertical="center"/>
    </xf>
    <xf numFmtId="0" fontId="57" fillId="0" borderId="5" xfId="0" applyFont="1" applyBorder="1" applyAlignment="1">
      <alignment horizontal="center" vertical="center"/>
    </xf>
    <xf numFmtId="0" fontId="57" fillId="0" borderId="28" xfId="0" applyFont="1" applyBorder="1" applyAlignment="1">
      <alignment horizontal="center" vertical="center"/>
    </xf>
    <xf numFmtId="0" fontId="57" fillId="0" borderId="15" xfId="0" applyFont="1" applyBorder="1" applyAlignment="1">
      <alignment horizontal="center" vertical="center"/>
    </xf>
    <xf numFmtId="0" fontId="59" fillId="0" borderId="53" xfId="0" applyFont="1" applyBorder="1" applyAlignment="1">
      <alignment horizontal="center" vertical="center"/>
    </xf>
    <xf numFmtId="0" fontId="57" fillId="0" borderId="22" xfId="0" applyFont="1" applyBorder="1" applyAlignment="1">
      <alignment horizontal="center" vertical="center"/>
    </xf>
    <xf numFmtId="0" fontId="57" fillId="0" borderId="4" xfId="0" applyFont="1" applyBorder="1" applyAlignment="1">
      <alignment horizontal="center" vertical="center"/>
    </xf>
    <xf numFmtId="0" fontId="57" fillId="0" borderId="24" xfId="0" applyFont="1" applyBorder="1" applyAlignment="1">
      <alignment horizontal="center" vertical="center"/>
    </xf>
    <xf numFmtId="0" fontId="57" fillId="0" borderId="10" xfId="0" applyFont="1" applyBorder="1" applyAlignment="1">
      <alignment horizontal="center" vertical="center"/>
    </xf>
    <xf numFmtId="0" fontId="57" fillId="0" borderId="23" xfId="0" applyFont="1" applyBorder="1" applyAlignment="1">
      <alignment horizontal="center" vertical="center"/>
    </xf>
    <xf numFmtId="0" fontId="57" fillId="0" borderId="11" xfId="0" applyFont="1" applyBorder="1" applyAlignment="1">
      <alignment horizontal="center" vertical="center"/>
    </xf>
    <xf numFmtId="0" fontId="59" fillId="0" borderId="50" xfId="0" applyFont="1" applyBorder="1" applyAlignment="1">
      <alignment horizontal="center" vertical="center"/>
    </xf>
    <xf numFmtId="0" fontId="57" fillId="0" borderId="57" xfId="0" applyFont="1" applyBorder="1" applyAlignment="1">
      <alignment horizontal="center" vertical="center"/>
    </xf>
    <xf numFmtId="0" fontId="57" fillId="0" borderId="52" xfId="0" applyFont="1" applyBorder="1" applyAlignment="1">
      <alignment horizontal="center" vertical="center"/>
    </xf>
    <xf numFmtId="0" fontId="57" fillId="0" borderId="26" xfId="0" applyFont="1" applyBorder="1" applyAlignment="1">
      <alignment horizontal="center" vertical="center"/>
    </xf>
    <xf numFmtId="0" fontId="57" fillId="0" borderId="39" xfId="0" applyFont="1" applyBorder="1" applyAlignment="1">
      <alignment horizontal="center" vertical="center"/>
    </xf>
    <xf numFmtId="0" fontId="57" fillId="0" borderId="25" xfId="0" applyFont="1" applyBorder="1" applyAlignment="1">
      <alignment horizontal="center" vertical="center"/>
    </xf>
    <xf numFmtId="0" fontId="57" fillId="0" borderId="56" xfId="0" applyFont="1" applyBorder="1" applyAlignment="1">
      <alignment horizontal="center" vertical="center"/>
    </xf>
    <xf numFmtId="0" fontId="59" fillId="0" borderId="51" xfId="0" applyFont="1" applyBorder="1" applyAlignment="1">
      <alignment horizontal="center" vertical="center"/>
    </xf>
    <xf numFmtId="0" fontId="57" fillId="0" borderId="29" xfId="0" applyFont="1" applyBorder="1" applyAlignment="1">
      <alignment horizontal="center" vertical="center"/>
    </xf>
    <xf numFmtId="0" fontId="59" fillId="0" borderId="29" xfId="0" applyFont="1" applyBorder="1" applyAlignment="1">
      <alignment horizontal="center" vertical="center"/>
    </xf>
    <xf numFmtId="0" fontId="59" fillId="0" borderId="28" xfId="0" applyFont="1" applyBorder="1" applyAlignment="1">
      <alignment horizontal="center" vertical="center"/>
    </xf>
    <xf numFmtId="0" fontId="57" fillId="0" borderId="21" xfId="0" applyFont="1" applyBorder="1" applyAlignment="1">
      <alignment horizontal="center" vertical="center"/>
    </xf>
    <xf numFmtId="0" fontId="59" fillId="0" borderId="21" xfId="0" applyFont="1" applyBorder="1" applyAlignment="1">
      <alignment horizontal="center" vertical="center"/>
    </xf>
    <xf numFmtId="0" fontId="59" fillId="0" borderId="24" xfId="0" applyFont="1" applyBorder="1" applyAlignment="1">
      <alignment horizontal="center" vertical="center"/>
    </xf>
    <xf numFmtId="0" fontId="57" fillId="0" borderId="33" xfId="0" applyFont="1" applyBorder="1" applyAlignment="1">
      <alignment horizontal="center" vertical="center"/>
    </xf>
    <xf numFmtId="0" fontId="59" fillId="0" borderId="33" xfId="0" applyFont="1" applyBorder="1" applyAlignment="1">
      <alignment horizontal="center" vertical="center"/>
    </xf>
    <xf numFmtId="0" fontId="59" fillId="0" borderId="26" xfId="0" applyFont="1" applyBorder="1" applyAlignment="1">
      <alignment horizontal="center" vertical="center"/>
    </xf>
    <xf numFmtId="0" fontId="57" fillId="0" borderId="0" xfId="0" applyFont="1" applyAlignment="1">
      <alignment horizontal="center" vertical="center"/>
    </xf>
    <xf numFmtId="0" fontId="59" fillId="0" borderId="0" xfId="0" applyFont="1" applyAlignment="1">
      <alignment horizontal="center" vertical="center"/>
    </xf>
    <xf numFmtId="0" fontId="57" fillId="0" borderId="53" xfId="0" applyFont="1" applyBorder="1" applyAlignment="1">
      <alignment horizontal="center" vertical="center"/>
    </xf>
    <xf numFmtId="0" fontId="57" fillId="0" borderId="30" xfId="0" applyFont="1" applyBorder="1" applyAlignment="1">
      <alignment horizontal="center" vertical="center"/>
    </xf>
    <xf numFmtId="0" fontId="57" fillId="0" borderId="31" xfId="0" applyFont="1" applyBorder="1" applyAlignment="1">
      <alignment horizontal="center" vertical="center"/>
    </xf>
    <xf numFmtId="0" fontId="57" fillId="0" borderId="32" xfId="0" applyFont="1" applyBorder="1" applyAlignment="1">
      <alignment horizontal="center" vertical="center"/>
    </xf>
    <xf numFmtId="0" fontId="57" fillId="0" borderId="72" xfId="0" applyFont="1" applyBorder="1" applyAlignment="1">
      <alignment horizontal="center" vertical="center"/>
    </xf>
    <xf numFmtId="0" fontId="57" fillId="0" borderId="62" xfId="0" applyFont="1" applyBorder="1" applyAlignment="1">
      <alignment horizontal="center" vertical="center"/>
    </xf>
    <xf numFmtId="0" fontId="57" fillId="0" borderId="66" xfId="0" applyFont="1" applyBorder="1" applyAlignment="1">
      <alignment horizontal="center" vertical="center"/>
    </xf>
    <xf numFmtId="0" fontId="60" fillId="24" borderId="7" xfId="0" applyFont="1" applyFill="1" applyBorder="1" applyAlignment="1">
      <alignment horizontal="center" vertical="center"/>
    </xf>
    <xf numFmtId="2" fontId="58" fillId="0" borderId="53" xfId="0" applyNumberFormat="1" applyFont="1" applyBorder="1" applyAlignment="1">
      <alignment horizontal="left" vertical="center"/>
    </xf>
    <xf numFmtId="2" fontId="58" fillId="0" borderId="50" xfId="0" applyNumberFormat="1" applyFont="1" applyBorder="1" applyAlignment="1">
      <alignment horizontal="left" vertical="center"/>
    </xf>
    <xf numFmtId="2" fontId="58" fillId="0" borderId="51" xfId="0" applyNumberFormat="1" applyFont="1" applyBorder="1" applyAlignment="1">
      <alignment horizontal="left" vertical="center"/>
    </xf>
    <xf numFmtId="0" fontId="57" fillId="0" borderId="50" xfId="0" applyFont="1" applyBorder="1" applyAlignment="1">
      <alignment horizontal="center" vertical="center"/>
    </xf>
    <xf numFmtId="0" fontId="57" fillId="0" borderId="51" xfId="0" applyFont="1" applyBorder="1" applyAlignment="1">
      <alignment horizontal="center" vertical="center"/>
    </xf>
    <xf numFmtId="2" fontId="58" fillId="0" borderId="54" xfId="0" applyNumberFormat="1" applyFont="1" applyBorder="1" applyAlignment="1">
      <alignment horizontal="left" vertical="center"/>
    </xf>
    <xf numFmtId="0" fontId="57" fillId="0" borderId="68" xfId="0" applyFont="1" applyBorder="1" applyAlignment="1">
      <alignment horizontal="center" vertical="center"/>
    </xf>
    <xf numFmtId="2" fontId="0" fillId="0" borderId="21" xfId="0" applyNumberFormat="1" applyBorder="1" applyAlignment="1">
      <alignment horizontal="left" vertical="center"/>
    </xf>
    <xf numFmtId="2" fontId="0" fillId="0" borderId="23" xfId="0" applyNumberFormat="1" applyBorder="1" applyAlignment="1">
      <alignment horizontal="left" vertical="center"/>
    </xf>
    <xf numFmtId="2" fontId="0" fillId="0" borderId="24" xfId="0" applyNumberFormat="1" applyBorder="1" applyAlignment="1">
      <alignment horizontal="left" vertical="center"/>
    </xf>
    <xf numFmtId="2" fontId="0" fillId="0" borderId="25" xfId="0" applyNumberFormat="1" applyBorder="1" applyAlignment="1">
      <alignment horizontal="left" vertical="center"/>
    </xf>
    <xf numFmtId="2" fontId="0" fillId="0" borderId="33" xfId="0" applyNumberFormat="1" applyBorder="1" applyAlignment="1">
      <alignment horizontal="left" vertical="center"/>
    </xf>
    <xf numFmtId="2" fontId="0" fillId="0" borderId="26" xfId="0" applyNumberFormat="1" applyBorder="1" applyAlignment="1">
      <alignment horizontal="left" vertical="center"/>
    </xf>
    <xf numFmtId="2" fontId="0" fillId="0" borderId="27" xfId="0" applyNumberFormat="1" applyBorder="1" applyAlignment="1">
      <alignment horizontal="left" vertical="center"/>
    </xf>
    <xf numFmtId="2" fontId="0" fillId="0" borderId="29" xfId="0" applyNumberFormat="1" applyBorder="1" applyAlignment="1">
      <alignment horizontal="left" vertical="center"/>
    </xf>
    <xf numFmtId="2" fontId="0" fillId="0" borderId="28" xfId="0" applyNumberFormat="1" applyBorder="1" applyAlignment="1">
      <alignment horizontal="left" vertical="center"/>
    </xf>
    <xf numFmtId="0" fontId="2" fillId="8" borderId="65" xfId="0" applyFont="1" applyFill="1" applyBorder="1" applyAlignment="1">
      <alignment horizontal="center"/>
    </xf>
    <xf numFmtId="0" fontId="0" fillId="0" borderId="15" xfId="0" applyBorder="1"/>
    <xf numFmtId="0" fontId="0" fillId="0" borderId="11" xfId="0" applyBorder="1"/>
    <xf numFmtId="0" fontId="0" fillId="0" borderId="56" xfId="0" applyBorder="1"/>
    <xf numFmtId="164" fontId="63" fillId="0" borderId="0" xfId="0" applyNumberFormat="1" applyFont="1"/>
    <xf numFmtId="0" fontId="63" fillId="0" borderId="0" xfId="0" applyFont="1"/>
    <xf numFmtId="0" fontId="0" fillId="0" borderId="0" xfId="0" applyAlignment="1">
      <alignment horizontal="left"/>
    </xf>
    <xf numFmtId="2" fontId="0" fillId="0" borderId="0" xfId="0" applyNumberFormat="1" applyAlignment="1">
      <alignment horizontal="left"/>
    </xf>
    <xf numFmtId="0" fontId="64" fillId="0" borderId="0" xfId="0" applyFont="1"/>
    <xf numFmtId="0" fontId="0" fillId="0" borderId="6" xfId="0" applyBorder="1"/>
    <xf numFmtId="0" fontId="0" fillId="0" borderId="6" xfId="0" applyBorder="1" applyAlignment="1">
      <alignment horizontal="left"/>
    </xf>
    <xf numFmtId="2" fontId="0" fillId="0" borderId="6" xfId="0" applyNumberFormat="1" applyBorder="1" applyAlignment="1">
      <alignment horizontal="left"/>
    </xf>
    <xf numFmtId="43" fontId="0" fillId="0" borderId="0" xfId="3" applyFont="1"/>
    <xf numFmtId="43" fontId="0" fillId="0" borderId="6" xfId="3" applyFont="1" applyBorder="1"/>
    <xf numFmtId="43" fontId="0" fillId="0" borderId="0" xfId="3" applyFont="1" applyAlignment="1">
      <alignment horizontal="left"/>
    </xf>
    <xf numFmtId="43" fontId="2" fillId="0" borderId="0" xfId="3" applyFont="1"/>
    <xf numFmtId="43" fontId="0" fillId="0" borderId="0" xfId="3" applyFont="1" applyBorder="1"/>
    <xf numFmtId="0" fontId="2" fillId="0" borderId="0" xfId="0" quotePrefix="1" applyFont="1"/>
    <xf numFmtId="43" fontId="2" fillId="0" borderId="0" xfId="3" applyFont="1" applyBorder="1"/>
    <xf numFmtId="0" fontId="0" fillId="0" borderId="78" xfId="0" applyBorder="1"/>
    <xf numFmtId="43" fontId="0" fillId="0" borderId="78" xfId="3" applyFont="1" applyBorder="1"/>
    <xf numFmtId="175" fontId="0" fillId="0" borderId="0" xfId="3" applyNumberFormat="1" applyFont="1"/>
    <xf numFmtId="0" fontId="2" fillId="0" borderId="5" xfId="0" applyFont="1" applyBorder="1"/>
    <xf numFmtId="43" fontId="2" fillId="0" borderId="5" xfId="3" applyFont="1" applyBorder="1"/>
    <xf numFmtId="175" fontId="2" fillId="0" borderId="0" xfId="3" applyNumberFormat="1" applyFont="1"/>
    <xf numFmtId="175" fontId="2" fillId="0" borderId="0" xfId="3" applyNumberFormat="1" applyFont="1" applyBorder="1"/>
    <xf numFmtId="167" fontId="2" fillId="13" borderId="75" xfId="6" applyNumberFormat="1" applyFill="1"/>
    <xf numFmtId="0" fontId="2" fillId="24" borderId="8" xfId="0" applyFont="1" applyFill="1" applyBorder="1" applyAlignment="1">
      <alignment vertical="center"/>
    </xf>
    <xf numFmtId="0" fontId="36" fillId="24" borderId="16" xfId="0" applyFont="1" applyFill="1" applyBorder="1" applyAlignment="1">
      <alignment vertical="center"/>
    </xf>
    <xf numFmtId="0" fontId="2" fillId="24" borderId="91" xfId="0" applyFont="1" applyFill="1" applyBorder="1" applyAlignment="1">
      <alignment horizontal="center" vertical="center"/>
    </xf>
    <xf numFmtId="0" fontId="2" fillId="24" borderId="9" xfId="0" applyFont="1" applyFill="1" applyBorder="1" applyAlignment="1">
      <alignment horizontal="right"/>
    </xf>
    <xf numFmtId="0" fontId="2" fillId="24" borderId="16" xfId="0" applyFont="1" applyFill="1" applyBorder="1" applyAlignment="1">
      <alignment vertical="top"/>
    </xf>
    <xf numFmtId="0" fontId="59" fillId="0" borderId="31" xfId="0" applyFont="1" applyBorder="1" applyAlignment="1">
      <alignment horizontal="center" vertical="center"/>
    </xf>
    <xf numFmtId="0" fontId="59" fillId="0" borderId="32" xfId="0" applyFont="1" applyBorder="1" applyAlignment="1">
      <alignment horizontal="center" vertical="center"/>
    </xf>
    <xf numFmtId="0" fontId="33" fillId="8" borderId="68" xfId="0" applyFont="1" applyFill="1" applyBorder="1" applyAlignment="1">
      <alignment horizontal="center" vertical="top"/>
    </xf>
    <xf numFmtId="0" fontId="33" fillId="9" borderId="63" xfId="0" applyFont="1" applyFill="1" applyBorder="1" applyAlignment="1">
      <alignment horizontal="center" vertical="top"/>
    </xf>
    <xf numFmtId="0" fontId="33" fillId="10" borderId="63" xfId="0" applyFont="1" applyFill="1" applyBorder="1" applyAlignment="1">
      <alignment horizontal="center" vertical="top"/>
    </xf>
    <xf numFmtId="0" fontId="33" fillId="11" borderId="63" xfId="0" applyFont="1" applyFill="1" applyBorder="1" applyAlignment="1">
      <alignment horizontal="center" vertical="top"/>
    </xf>
    <xf numFmtId="0" fontId="33" fillId="12" borderId="81" xfId="0" applyFont="1" applyFill="1" applyBorder="1" applyAlignment="1">
      <alignment horizontal="center" vertical="top"/>
    </xf>
    <xf numFmtId="0" fontId="61" fillId="24" borderId="92" xfId="0" applyFont="1" applyFill="1" applyBorder="1" applyAlignment="1">
      <alignment horizontal="center"/>
    </xf>
    <xf numFmtId="0" fontId="61" fillId="24" borderId="93" xfId="0" applyFont="1" applyFill="1" applyBorder="1" applyAlignment="1">
      <alignment horizontal="center"/>
    </xf>
    <xf numFmtId="9" fontId="33" fillId="8" borderId="94" xfId="0" applyNumberFormat="1" applyFont="1" applyFill="1" applyBorder="1" applyAlignment="1">
      <alignment horizontal="center" vertical="center"/>
    </xf>
    <xf numFmtId="9" fontId="33" fillId="9" borderId="95" xfId="0" applyNumberFormat="1" applyFont="1" applyFill="1" applyBorder="1" applyAlignment="1">
      <alignment horizontal="center" vertical="center"/>
    </xf>
    <xf numFmtId="9" fontId="33" fillId="10" borderId="95" xfId="0" applyNumberFormat="1" applyFont="1" applyFill="1" applyBorder="1" applyAlignment="1">
      <alignment horizontal="center" vertical="center"/>
    </xf>
    <xf numFmtId="9" fontId="33" fillId="11" borderId="95" xfId="0" applyNumberFormat="1" applyFont="1" applyFill="1" applyBorder="1" applyAlignment="1">
      <alignment horizontal="center" vertical="center"/>
    </xf>
    <xf numFmtId="9" fontId="33" fillId="12" borderId="96" xfId="0" applyNumberFormat="1" applyFont="1" applyFill="1" applyBorder="1" applyAlignment="1">
      <alignment horizontal="center" vertical="center"/>
    </xf>
    <xf numFmtId="0" fontId="5" fillId="0" borderId="0" xfId="7"/>
    <xf numFmtId="4" fontId="0" fillId="0" borderId="0" xfId="2" applyNumberFormat="1" applyFont="1" applyAlignment="1">
      <alignment horizontal="right" vertical="center"/>
    </xf>
    <xf numFmtId="174" fontId="0" fillId="0" borderId="0" xfId="2" applyNumberFormat="1" applyFont="1" applyAlignment="1">
      <alignment horizontal="right" vertical="center"/>
    </xf>
    <xf numFmtId="4" fontId="5" fillId="0" borderId="0" xfId="7" applyNumberFormat="1"/>
    <xf numFmtId="174" fontId="5" fillId="0" borderId="0" xfId="7" applyNumberFormat="1"/>
    <xf numFmtId="174" fontId="5" fillId="16" borderId="0" xfId="7" applyNumberFormat="1" applyFill="1" applyAlignment="1">
      <alignment horizontal="center" vertical="center"/>
    </xf>
    <xf numFmtId="173" fontId="0" fillId="0" borderId="0" xfId="2" applyNumberFormat="1" applyFont="1" applyAlignment="1">
      <alignment horizontal="left" vertical="center"/>
    </xf>
    <xf numFmtId="176" fontId="0" fillId="0" borderId="0" xfId="2" applyNumberFormat="1" applyFont="1" applyAlignment="1">
      <alignment horizontal="right" vertical="center"/>
    </xf>
    <xf numFmtId="166" fontId="5" fillId="0" borderId="0" xfId="7" applyNumberFormat="1"/>
    <xf numFmtId="0" fontId="1" fillId="0" borderId="0" xfId="1" applyAlignment="1">
      <alignment horizontal="center"/>
    </xf>
    <xf numFmtId="0" fontId="6" fillId="0" borderId="0" xfId="0" applyFont="1" applyAlignment="1">
      <alignment horizontal="left" vertical="center"/>
    </xf>
    <xf numFmtId="0" fontId="6" fillId="0" borderId="58" xfId="0" applyFont="1" applyBorder="1" applyAlignment="1">
      <alignment horizontal="left" vertical="center"/>
    </xf>
    <xf numFmtId="0" fontId="6" fillId="0" borderId="5" xfId="0" applyFont="1" applyBorder="1" applyAlignment="1">
      <alignment horizontal="left" vertical="center"/>
    </xf>
    <xf numFmtId="0" fontId="6" fillId="0" borderId="44" xfId="0" applyFont="1" applyBorder="1" applyAlignment="1">
      <alignment horizontal="left" vertical="center"/>
    </xf>
    <xf numFmtId="0" fontId="6" fillId="7" borderId="46" xfId="0" applyFont="1" applyFill="1" applyBorder="1" applyAlignment="1">
      <alignment horizontal="center" vertical="center" wrapText="1"/>
    </xf>
    <xf numFmtId="0" fontId="6" fillId="7" borderId="29" xfId="0" applyFont="1" applyFill="1" applyBorder="1" applyAlignment="1">
      <alignment horizontal="center" vertical="center" wrapText="1"/>
    </xf>
    <xf numFmtId="0" fontId="6" fillId="7" borderId="46" xfId="0" applyFont="1" applyFill="1" applyBorder="1" applyAlignment="1">
      <alignment horizontal="center" vertical="center"/>
    </xf>
    <xf numFmtId="0" fontId="6" fillId="7" borderId="29" xfId="0" applyFont="1" applyFill="1" applyBorder="1" applyAlignment="1">
      <alignment horizontal="center" vertical="center"/>
    </xf>
    <xf numFmtId="0" fontId="6" fillId="7" borderId="46" xfId="0" applyFont="1" applyFill="1" applyBorder="1" applyAlignment="1">
      <alignment horizontal="center" wrapText="1"/>
    </xf>
    <xf numFmtId="0" fontId="6" fillId="7" borderId="29" xfId="0" applyFont="1" applyFill="1" applyBorder="1" applyAlignment="1">
      <alignment horizontal="center" wrapText="1"/>
    </xf>
    <xf numFmtId="0" fontId="0" fillId="0" borderId="46" xfId="0" applyBorder="1" applyAlignment="1">
      <alignment horizontal="center" vertical="center"/>
    </xf>
    <xf numFmtId="0" fontId="0" fillId="0" borderId="59" xfId="0" applyBorder="1" applyAlignment="1">
      <alignment horizontal="center" vertical="center"/>
    </xf>
    <xf numFmtId="0" fontId="0" fillId="0" borderId="29" xfId="0" applyBorder="1" applyAlignment="1">
      <alignment horizontal="center" vertical="center"/>
    </xf>
    <xf numFmtId="0" fontId="3" fillId="4" borderId="36" xfId="0" applyFont="1" applyFill="1" applyBorder="1" applyAlignment="1">
      <alignment horizontal="left"/>
    </xf>
    <xf numFmtId="0" fontId="3" fillId="4" borderId="49" xfId="0" applyFont="1" applyFill="1" applyBorder="1" applyAlignment="1">
      <alignment horizontal="left"/>
    </xf>
    <xf numFmtId="0" fontId="3" fillId="4" borderId="37" xfId="0" applyFont="1" applyFill="1" applyBorder="1" applyAlignment="1">
      <alignment horizontal="left"/>
    </xf>
    <xf numFmtId="0" fontId="11" fillId="0" borderId="3" xfId="0" applyFont="1" applyBorder="1" applyAlignment="1">
      <alignment horizontal="center"/>
    </xf>
    <xf numFmtId="0" fontId="15" fillId="4" borderId="69" xfId="0" applyFont="1" applyFill="1" applyBorder="1" applyAlignment="1">
      <alignment horizontal="center" vertical="center"/>
    </xf>
    <xf numFmtId="0" fontId="15" fillId="4" borderId="70" xfId="0" applyFont="1" applyFill="1" applyBorder="1" applyAlignment="1">
      <alignment horizontal="center" vertical="center"/>
    </xf>
    <xf numFmtId="0" fontId="15" fillId="4" borderId="71" xfId="0" applyFont="1" applyFill="1" applyBorder="1" applyAlignment="1">
      <alignment horizontal="center" vertical="center"/>
    </xf>
    <xf numFmtId="0" fontId="15" fillId="4" borderId="34" xfId="0" applyFont="1" applyFill="1" applyBorder="1" applyAlignment="1">
      <alignment horizontal="center"/>
    </xf>
    <xf numFmtId="0" fontId="15" fillId="4" borderId="1" xfId="0" applyFont="1" applyFill="1" applyBorder="1" applyAlignment="1">
      <alignment horizontal="center"/>
    </xf>
    <xf numFmtId="0" fontId="15" fillId="4" borderId="35" xfId="0" applyFont="1" applyFill="1" applyBorder="1" applyAlignment="1">
      <alignment horizontal="center"/>
    </xf>
    <xf numFmtId="0" fontId="15" fillId="4" borderId="23" xfId="0" applyFont="1" applyFill="1" applyBorder="1" applyAlignment="1">
      <alignment horizontal="center"/>
    </xf>
    <xf numFmtId="0" fontId="15" fillId="4" borderId="21" xfId="0" applyFont="1" applyFill="1" applyBorder="1" applyAlignment="1">
      <alignment horizontal="center"/>
    </xf>
    <xf numFmtId="0" fontId="15" fillId="4" borderId="24" xfId="0" applyFont="1" applyFill="1" applyBorder="1" applyAlignment="1">
      <alignment horizontal="center"/>
    </xf>
    <xf numFmtId="0" fontId="15" fillId="0" borderId="34" xfId="0" applyFont="1" applyBorder="1" applyAlignment="1">
      <alignment horizontal="center"/>
    </xf>
    <xf numFmtId="0" fontId="15" fillId="0" borderId="1" xfId="0" applyFont="1" applyBorder="1" applyAlignment="1">
      <alignment horizontal="center"/>
    </xf>
    <xf numFmtId="0" fontId="15" fillId="0" borderId="35" xfId="0" applyFont="1" applyBorder="1" applyAlignment="1">
      <alignment horizontal="center"/>
    </xf>
    <xf numFmtId="0" fontId="19" fillId="2" borderId="31" xfId="0" applyFont="1" applyFill="1" applyBorder="1" applyAlignment="1">
      <alignment horizontal="center" textRotation="90"/>
    </xf>
    <xf numFmtId="0" fontId="19" fillId="2" borderId="21" xfId="0" applyFont="1" applyFill="1" applyBorder="1" applyAlignment="1">
      <alignment horizontal="center" textRotation="90"/>
    </xf>
    <xf numFmtId="0" fontId="19" fillId="2" borderId="46" xfId="0" applyFont="1" applyFill="1" applyBorder="1" applyAlignment="1">
      <alignment horizontal="center" textRotation="90"/>
    </xf>
    <xf numFmtId="0" fontId="15" fillId="4" borderId="34" xfId="0" applyFont="1" applyFill="1" applyBorder="1" applyAlignment="1">
      <alignment horizontal="left"/>
    </xf>
    <xf numFmtId="0" fontId="15" fillId="4" borderId="1" xfId="0" applyFont="1" applyFill="1" applyBorder="1" applyAlignment="1">
      <alignment horizontal="left"/>
    </xf>
    <xf numFmtId="0" fontId="15" fillId="4" borderId="35" xfId="0" applyFont="1" applyFill="1" applyBorder="1" applyAlignment="1">
      <alignment horizontal="left"/>
    </xf>
    <xf numFmtId="0" fontId="15" fillId="0" borderId="10" xfId="0" applyFont="1" applyBorder="1"/>
    <xf numFmtId="0" fontId="15" fillId="0" borderId="11" xfId="0" applyFont="1" applyBorder="1"/>
    <xf numFmtId="0" fontId="15" fillId="0" borderId="39" xfId="0" applyFont="1" applyBorder="1"/>
    <xf numFmtId="0" fontId="15" fillId="0" borderId="56" xfId="0" applyFont="1" applyBorder="1"/>
    <xf numFmtId="0" fontId="15" fillId="0" borderId="0" xfId="0" applyFont="1" applyAlignment="1">
      <alignment horizontal="center"/>
    </xf>
    <xf numFmtId="0" fontId="19" fillId="2" borderId="40" xfId="0" applyFont="1" applyFill="1" applyBorder="1" applyAlignment="1">
      <alignment horizontal="center" textRotation="90"/>
    </xf>
    <xf numFmtId="0" fontId="19" fillId="2" borderId="67" xfId="0" applyFont="1" applyFill="1" applyBorder="1" applyAlignment="1">
      <alignment horizontal="center" textRotation="90"/>
    </xf>
    <xf numFmtId="0" fontId="19" fillId="2" borderId="68" xfId="0" applyFont="1" applyFill="1" applyBorder="1" applyAlignment="1">
      <alignment horizontal="center" textRotation="90"/>
    </xf>
    <xf numFmtId="0" fontId="15" fillId="0" borderId="55" xfId="0" applyFont="1" applyBorder="1" applyAlignment="1">
      <alignment horizontal="center"/>
    </xf>
    <xf numFmtId="0" fontId="15" fillId="0" borderId="41" xfId="0" applyFont="1" applyBorder="1" applyAlignment="1">
      <alignment horizontal="center"/>
    </xf>
    <xf numFmtId="0" fontId="15" fillId="0" borderId="42" xfId="0" applyFont="1" applyBorder="1" applyAlignment="1">
      <alignment horizontal="center"/>
    </xf>
    <xf numFmtId="0" fontId="15" fillId="0" borderId="39" xfId="0" applyFont="1" applyBorder="1" applyAlignment="1">
      <alignment horizontal="left"/>
    </xf>
    <xf numFmtId="0" fontId="15" fillId="0" borderId="56" xfId="0" applyFont="1" applyBorder="1" applyAlignment="1">
      <alignment horizontal="left"/>
    </xf>
    <xf numFmtId="0" fontId="15" fillId="4" borderId="36" xfId="0" applyFont="1" applyFill="1" applyBorder="1"/>
    <xf numFmtId="0" fontId="15" fillId="4" borderId="37" xfId="0" applyFont="1" applyFill="1" applyBorder="1"/>
    <xf numFmtId="0" fontId="4" fillId="2" borderId="31" xfId="0" applyFont="1" applyFill="1" applyBorder="1" applyAlignment="1">
      <alignment horizontal="center" textRotation="90"/>
    </xf>
    <xf numFmtId="0" fontId="4" fillId="2" borderId="21" xfId="0" applyFont="1" applyFill="1" applyBorder="1" applyAlignment="1">
      <alignment horizontal="center" textRotation="90"/>
    </xf>
    <xf numFmtId="0" fontId="4" fillId="2" borderId="46" xfId="0" applyFont="1" applyFill="1" applyBorder="1" applyAlignment="1">
      <alignment horizontal="center" textRotation="90"/>
    </xf>
    <xf numFmtId="0" fontId="4" fillId="2" borderId="32" xfId="0" applyFont="1" applyFill="1" applyBorder="1" applyAlignment="1">
      <alignment horizontal="center" textRotation="90"/>
    </xf>
    <xf numFmtId="0" fontId="4" fillId="2" borderId="24" xfId="0" applyFont="1" applyFill="1" applyBorder="1" applyAlignment="1">
      <alignment horizontal="center" textRotation="90"/>
    </xf>
    <xf numFmtId="0" fontId="4" fillId="2" borderId="47" xfId="0" applyFont="1" applyFill="1" applyBorder="1" applyAlignment="1">
      <alignment horizontal="center" textRotation="90"/>
    </xf>
    <xf numFmtId="0" fontId="19" fillId="2" borderId="43" xfId="0" applyFont="1" applyFill="1" applyBorder="1" applyAlignment="1">
      <alignment horizontal="center" textRotation="90"/>
    </xf>
    <xf numFmtId="0" fontId="19" fillId="2" borderId="22" xfId="0" applyFont="1" applyFill="1" applyBorder="1" applyAlignment="1">
      <alignment horizontal="center" textRotation="90"/>
    </xf>
    <xf numFmtId="0" fontId="19" fillId="2" borderId="48" xfId="0" applyFont="1" applyFill="1" applyBorder="1" applyAlignment="1">
      <alignment horizontal="center" textRotation="90"/>
    </xf>
    <xf numFmtId="0" fontId="3" fillId="0" borderId="0" xfId="0" applyFont="1" applyAlignment="1">
      <alignment horizontal="center"/>
    </xf>
    <xf numFmtId="0" fontId="15" fillId="0" borderId="30" xfId="0" applyFont="1" applyBorder="1" applyAlignment="1">
      <alignment horizontal="left" vertical="center"/>
    </xf>
    <xf numFmtId="0" fontId="15" fillId="0" borderId="32" xfId="0" applyFont="1" applyBorder="1" applyAlignment="1">
      <alignment horizontal="left" vertical="center"/>
    </xf>
    <xf numFmtId="0" fontId="15" fillId="0" borderId="49" xfId="0" applyFont="1" applyBorder="1" applyAlignment="1">
      <alignment horizontal="center" vertical="center"/>
    </xf>
    <xf numFmtId="0" fontId="15" fillId="0" borderId="37" xfId="0" applyFont="1" applyBorder="1" applyAlignment="1">
      <alignment horizontal="center" vertical="center"/>
    </xf>
    <xf numFmtId="0" fontId="4" fillId="2" borderId="31" xfId="0" applyFont="1" applyFill="1" applyBorder="1" applyAlignment="1">
      <alignment horizontal="center" textRotation="90" wrapText="1"/>
    </xf>
    <xf numFmtId="0" fontId="4" fillId="2" borderId="21" xfId="0" applyFont="1" applyFill="1" applyBorder="1" applyAlignment="1">
      <alignment horizontal="center" textRotation="90" wrapText="1"/>
    </xf>
    <xf numFmtId="0" fontId="4" fillId="2" borderId="33" xfId="0" applyFont="1" applyFill="1" applyBorder="1" applyAlignment="1">
      <alignment horizontal="center" textRotation="90" wrapText="1"/>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4" fillId="2" borderId="32" xfId="0" applyFont="1" applyFill="1" applyBorder="1" applyAlignment="1">
      <alignment horizontal="center" textRotation="90" wrapText="1"/>
    </xf>
    <xf numFmtId="0" fontId="4" fillId="2" borderId="24" xfId="0" applyFont="1" applyFill="1" applyBorder="1" applyAlignment="1">
      <alignment horizontal="center" textRotation="90" wrapText="1"/>
    </xf>
    <xf numFmtId="0" fontId="4" fillId="2" borderId="26" xfId="0" applyFont="1" applyFill="1" applyBorder="1" applyAlignment="1">
      <alignment horizontal="center" textRotation="90" wrapText="1"/>
    </xf>
    <xf numFmtId="0" fontId="15" fillId="0" borderId="23" xfId="0" applyFont="1" applyBorder="1" applyAlignment="1">
      <alignment horizontal="left" vertical="center" wrapText="1"/>
    </xf>
    <xf numFmtId="0" fontId="15" fillId="4" borderId="38" xfId="0" applyFont="1" applyFill="1" applyBorder="1" applyAlignment="1">
      <alignment horizontal="left" vertical="center"/>
    </xf>
    <xf numFmtId="0" fontId="15" fillId="4" borderId="1" xfId="0" applyFont="1" applyFill="1" applyBorder="1" applyAlignment="1">
      <alignment horizontal="left" vertical="center"/>
    </xf>
    <xf numFmtId="0" fontId="15" fillId="4" borderId="35" xfId="0" applyFont="1" applyFill="1" applyBorder="1" applyAlignment="1">
      <alignment horizontal="left"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4" fillId="2" borderId="30" xfId="0" applyFont="1" applyFill="1" applyBorder="1" applyAlignment="1">
      <alignment horizontal="center" textRotation="90" wrapText="1"/>
    </xf>
    <xf numFmtId="0" fontId="4" fillId="2" borderId="23" xfId="0" applyFont="1" applyFill="1" applyBorder="1" applyAlignment="1">
      <alignment horizontal="center" textRotation="90" wrapText="1"/>
    </xf>
    <xf numFmtId="0" fontId="4" fillId="2" borderId="25" xfId="0" applyFont="1" applyFill="1" applyBorder="1" applyAlignment="1">
      <alignment horizontal="center" textRotation="90" wrapText="1"/>
    </xf>
    <xf numFmtId="0" fontId="3" fillId="0" borderId="62" xfId="0" applyFont="1" applyBorder="1" applyAlignment="1">
      <alignment horizontal="center" vertical="center"/>
    </xf>
    <xf numFmtId="0" fontId="3" fillId="0" borderId="4" xfId="0" applyFont="1" applyBorder="1" applyAlignment="1">
      <alignment horizontal="center" vertical="center"/>
    </xf>
    <xf numFmtId="0" fontId="3" fillId="0" borderId="1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56" xfId="0" applyFont="1" applyBorder="1" applyAlignment="1">
      <alignment horizontal="center" vertical="center"/>
    </xf>
    <xf numFmtId="0" fontId="0" fillId="0" borderId="19" xfId="0" applyBorder="1" applyAlignment="1">
      <alignment horizontal="center"/>
    </xf>
    <xf numFmtId="0" fontId="0" fillId="0" borderId="20" xfId="0" applyBorder="1" applyAlignment="1">
      <alignment horizontal="center"/>
    </xf>
    <xf numFmtId="2" fontId="0" fillId="0" borderId="31" xfId="0" applyNumberFormat="1" applyBorder="1" applyAlignment="1">
      <alignment horizontal="left"/>
    </xf>
    <xf numFmtId="2" fontId="0" fillId="0" borderId="32" xfId="0" applyNumberFormat="1" applyBorder="1" applyAlignment="1">
      <alignment horizontal="left"/>
    </xf>
    <xf numFmtId="2" fontId="0" fillId="0" borderId="29" xfId="0" applyNumberFormat="1" applyBorder="1" applyAlignment="1">
      <alignment horizontal="left"/>
    </xf>
    <xf numFmtId="2" fontId="0" fillId="0" borderId="28" xfId="0" applyNumberFormat="1" applyBorder="1" applyAlignment="1">
      <alignment horizontal="left"/>
    </xf>
    <xf numFmtId="2" fontId="0" fillId="0" borderId="63" xfId="0" applyNumberFormat="1" applyBorder="1" applyAlignment="1">
      <alignment horizontal="left"/>
    </xf>
    <xf numFmtId="2" fontId="0" fillId="0" borderId="64" xfId="0" applyNumberFormat="1" applyBorder="1" applyAlignment="1">
      <alignment horizontal="left"/>
    </xf>
    <xf numFmtId="0" fontId="0" fillId="0" borderId="31" xfId="0" applyBorder="1" applyAlignment="1">
      <alignment horizontal="left"/>
    </xf>
    <xf numFmtId="0" fontId="0" fillId="0" borderId="21" xfId="0" applyBorder="1" applyAlignment="1">
      <alignment horizontal="left"/>
    </xf>
    <xf numFmtId="0" fontId="0" fillId="0" borderId="33" xfId="0" applyBorder="1" applyAlignment="1">
      <alignment horizontal="left"/>
    </xf>
    <xf numFmtId="0" fontId="0" fillId="0" borderId="0" xfId="0" applyAlignment="1">
      <alignment horizontal="center" vertical="center" textRotation="90"/>
    </xf>
    <xf numFmtId="167" fontId="3" fillId="0" borderId="0" xfId="0" applyNumberFormat="1" applyFont="1" applyAlignment="1">
      <alignment horizontal="center"/>
    </xf>
    <xf numFmtId="0" fontId="0" fillId="0" borderId="0" xfId="0" applyAlignment="1">
      <alignment horizontal="center" textRotation="90"/>
    </xf>
    <xf numFmtId="0" fontId="2" fillId="0" borderId="78" xfId="0" applyFont="1" applyBorder="1" applyAlignment="1">
      <alignment horizontal="center" vertical="center" textRotation="90"/>
    </xf>
    <xf numFmtId="0" fontId="2" fillId="0" borderId="0" xfId="0" applyFont="1" applyAlignment="1">
      <alignment horizontal="center" vertical="center" textRotation="90"/>
    </xf>
    <xf numFmtId="0" fontId="2" fillId="0" borderId="5" xfId="0" applyFont="1" applyBorder="1" applyAlignment="1">
      <alignment horizontal="center" vertical="center" textRotation="90"/>
    </xf>
    <xf numFmtId="0" fontId="0" fillId="0" borderId="18" xfId="0" applyBorder="1" applyAlignment="1">
      <alignment horizontal="left"/>
    </xf>
    <xf numFmtId="0" fontId="0" fillId="0" borderId="19" xfId="0" applyBorder="1" applyAlignment="1">
      <alignment horizontal="left"/>
    </xf>
    <xf numFmtId="0" fontId="0" fillId="0" borderId="30" xfId="0" applyBorder="1" applyAlignment="1">
      <alignment horizontal="left"/>
    </xf>
    <xf numFmtId="0" fontId="0" fillId="0" borderId="23" xfId="0" applyBorder="1" applyAlignment="1">
      <alignment horizontal="left"/>
    </xf>
    <xf numFmtId="0" fontId="0" fillId="0" borderId="25" xfId="0" applyBorder="1" applyAlignment="1">
      <alignment horizontal="left"/>
    </xf>
    <xf numFmtId="0" fontId="2" fillId="18" borderId="34" xfId="0" applyFont="1" applyFill="1" applyBorder="1" applyAlignment="1">
      <alignment horizontal="center"/>
    </xf>
    <xf numFmtId="0" fontId="2" fillId="18" borderId="1" xfId="0" applyFont="1" applyFill="1" applyBorder="1" applyAlignment="1">
      <alignment horizontal="center"/>
    </xf>
    <xf numFmtId="0" fontId="2" fillId="18" borderId="35" xfId="0" applyFont="1" applyFill="1" applyBorder="1" applyAlignment="1">
      <alignment horizontal="center"/>
    </xf>
    <xf numFmtId="0" fontId="0" fillId="0" borderId="0" xfId="2" applyFont="1" applyAlignment="1">
      <alignment horizontal="center" vertical="top" wrapText="1"/>
    </xf>
    <xf numFmtId="0" fontId="0" fillId="0" borderId="0" xfId="2" applyFont="1" applyAlignment="1">
      <alignment horizontal="center" vertical="center" wrapText="1"/>
    </xf>
    <xf numFmtId="0" fontId="6" fillId="0" borderId="0" xfId="2" applyFont="1" applyAlignment="1">
      <alignment horizontal="center" vertical="center" wrapText="1"/>
    </xf>
    <xf numFmtId="0" fontId="2" fillId="0" borderId="0" xfId="0" applyFont="1" applyAlignment="1">
      <alignment horizontal="center"/>
    </xf>
    <xf numFmtId="0" fontId="0" fillId="0" borderId="67" xfId="0" applyBorder="1" applyAlignment="1">
      <alignment horizontal="center" vertical="center" textRotation="90" wrapText="1"/>
    </xf>
    <xf numFmtId="0" fontId="0" fillId="0" borderId="68" xfId="0" applyBorder="1" applyAlignment="1">
      <alignment horizontal="center" vertical="center" textRotation="90" wrapText="1"/>
    </xf>
    <xf numFmtId="2" fontId="0" fillId="0" borderId="41" xfId="0" applyNumberFormat="1" applyBorder="1" applyAlignment="1">
      <alignment horizontal="center" vertical="center"/>
    </xf>
    <xf numFmtId="2" fontId="0" fillId="0" borderId="63" xfId="0" applyNumberFormat="1" applyBorder="1" applyAlignment="1">
      <alignment horizontal="center" vertical="center"/>
    </xf>
    <xf numFmtId="0" fontId="2" fillId="0" borderId="1" xfId="0" applyFont="1" applyBorder="1" applyAlignment="1">
      <alignment horizontal="center"/>
    </xf>
    <xf numFmtId="0" fontId="2" fillId="0" borderId="35" xfId="0" applyFont="1" applyBorder="1" applyAlignment="1">
      <alignment horizontal="center"/>
    </xf>
    <xf numFmtId="0" fontId="2" fillId="0" borderId="54" xfId="0" applyFont="1" applyBorder="1" applyAlignment="1">
      <alignment horizontal="center" vertical="center"/>
    </xf>
    <xf numFmtId="0" fontId="2" fillId="0" borderId="51" xfId="0" applyFont="1" applyBorder="1" applyAlignment="1">
      <alignment horizontal="center" vertical="center"/>
    </xf>
    <xf numFmtId="0" fontId="2" fillId="0" borderId="69" xfId="0" applyFont="1" applyBorder="1" applyAlignment="1">
      <alignment horizontal="center" vertical="center" wrapText="1"/>
    </xf>
    <xf numFmtId="0" fontId="2" fillId="0" borderId="71" xfId="0" applyFont="1" applyBorder="1" applyAlignment="1">
      <alignment horizontal="center" vertical="center" wrapText="1"/>
    </xf>
    <xf numFmtId="2" fontId="0" fillId="0" borderId="40" xfId="0" applyNumberFormat="1" applyBorder="1" applyAlignment="1">
      <alignment horizontal="center" vertical="center"/>
    </xf>
    <xf numFmtId="2" fontId="0" fillId="0" borderId="68" xfId="0" applyNumberFormat="1" applyBorder="1" applyAlignment="1">
      <alignment horizontal="center" vertical="center"/>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8" borderId="35" xfId="0" applyFont="1" applyFill="1" applyBorder="1" applyAlignment="1">
      <alignment horizontal="center"/>
    </xf>
    <xf numFmtId="0" fontId="2" fillId="4" borderId="34" xfId="0" applyFont="1" applyFill="1" applyBorder="1" applyAlignment="1">
      <alignment horizontal="center" vertical="center"/>
    </xf>
    <xf numFmtId="0" fontId="2" fillId="4" borderId="1" xfId="0" applyFont="1" applyFill="1" applyBorder="1" applyAlignment="1">
      <alignment horizontal="center" vertical="center"/>
    </xf>
    <xf numFmtId="0" fontId="49" fillId="0" borderId="12" xfId="0" applyFont="1" applyBorder="1" applyAlignment="1">
      <alignment horizontal="left" vertical="center"/>
    </xf>
    <xf numFmtId="0" fontId="2" fillId="0" borderId="36" xfId="0" applyFont="1" applyBorder="1" applyAlignment="1">
      <alignment horizontal="center"/>
    </xf>
    <xf numFmtId="0" fontId="2" fillId="0" borderId="37"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9" xfId="0" applyBorder="1" applyAlignment="1">
      <alignment horizontal="center"/>
    </xf>
    <xf numFmtId="0" fontId="0" fillId="0" borderId="56" xfId="0" applyBorder="1" applyAlignment="1">
      <alignment horizont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4" xfId="0" applyFont="1" applyBorder="1" applyAlignment="1">
      <alignment horizontal="center"/>
    </xf>
    <xf numFmtId="2" fontId="0" fillId="0" borderId="42" xfId="0" applyNumberFormat="1" applyBorder="1" applyAlignment="1">
      <alignment horizontal="center" vertical="center"/>
    </xf>
    <xf numFmtId="2" fontId="0" fillId="0" borderId="64" xfId="0" applyNumberFormat="1" applyBorder="1" applyAlignment="1">
      <alignment horizontal="center" vertical="center"/>
    </xf>
    <xf numFmtId="0" fontId="0" fillId="0" borderId="36" xfId="0" applyBorder="1" applyAlignment="1">
      <alignment horizontal="center" vertical="center"/>
    </xf>
    <xf numFmtId="0" fontId="0" fillId="0" borderId="43" xfId="0" applyBorder="1" applyAlignment="1">
      <alignment horizontal="center" vertical="center"/>
    </xf>
    <xf numFmtId="0" fontId="2" fillId="0" borderId="65" xfId="0" applyFont="1" applyBorder="1" applyAlignment="1">
      <alignment horizontal="center"/>
    </xf>
    <xf numFmtId="0" fontId="0" fillId="0" borderId="57" xfId="0" applyBorder="1" applyAlignment="1">
      <alignment horizontal="center"/>
    </xf>
    <xf numFmtId="0" fontId="0" fillId="0" borderId="1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0" xfId="0"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2" xfId="0" applyBorder="1" applyAlignment="1">
      <alignment horizontal="center"/>
    </xf>
    <xf numFmtId="0" fontId="0" fillId="0" borderId="17" xfId="0" applyBorder="1" applyAlignment="1">
      <alignment horizontal="center"/>
    </xf>
    <xf numFmtId="0" fontId="2" fillId="24" borderId="8" xfId="0" applyFont="1" applyFill="1" applyBorder="1" applyAlignment="1">
      <alignment horizontal="left"/>
    </xf>
    <xf numFmtId="0" fontId="2" fillId="24" borderId="9" xfId="0" applyFont="1" applyFill="1" applyBorder="1" applyAlignment="1">
      <alignment horizontal="left"/>
    </xf>
    <xf numFmtId="0" fontId="33" fillId="8" borderId="36" xfId="0" applyFont="1" applyFill="1" applyBorder="1" applyAlignment="1">
      <alignment horizontal="center"/>
    </xf>
    <xf numFmtId="0" fontId="33" fillId="8" borderId="49" xfId="0" applyFont="1" applyFill="1" applyBorder="1" applyAlignment="1">
      <alignment horizontal="center"/>
    </xf>
    <xf numFmtId="0" fontId="33" fillId="8" borderId="37" xfId="0" applyFont="1" applyFill="1" applyBorder="1" applyAlignment="1">
      <alignment horizontal="center"/>
    </xf>
    <xf numFmtId="0" fontId="33" fillId="9" borderId="8" xfId="0" applyFont="1" applyFill="1" applyBorder="1" applyAlignment="1">
      <alignment horizontal="center" vertical="center"/>
    </xf>
    <xf numFmtId="0" fontId="33" fillId="9" borderId="9" xfId="0" applyFont="1" applyFill="1" applyBorder="1" applyAlignment="1">
      <alignment horizontal="center" vertical="center"/>
    </xf>
    <xf numFmtId="0" fontId="33" fillId="10" borderId="8" xfId="0" applyFont="1" applyFill="1" applyBorder="1" applyAlignment="1">
      <alignment horizontal="center" vertical="center"/>
    </xf>
    <xf numFmtId="0" fontId="33" fillId="10" borderId="9" xfId="0" applyFont="1" applyFill="1" applyBorder="1" applyAlignment="1">
      <alignment horizontal="center" vertical="center"/>
    </xf>
    <xf numFmtId="0" fontId="2" fillId="24" borderId="25" xfId="0" applyFont="1" applyFill="1" applyBorder="1" applyAlignment="1">
      <alignment horizontal="center" vertical="center"/>
    </xf>
    <xf numFmtId="0" fontId="2" fillId="24" borderId="26" xfId="0" applyFont="1" applyFill="1" applyBorder="1" applyAlignment="1">
      <alignment horizontal="center" vertical="center"/>
    </xf>
    <xf numFmtId="9" fontId="58" fillId="20" borderId="52" xfId="0" applyNumberFormat="1" applyFont="1" applyFill="1" applyBorder="1" applyAlignment="1">
      <alignment horizontal="center" vertical="center"/>
    </xf>
    <xf numFmtId="9" fontId="58" fillId="20" borderId="56" xfId="0" applyNumberFormat="1" applyFont="1" applyFill="1" applyBorder="1" applyAlignment="1">
      <alignment horizontal="center" vertical="center"/>
    </xf>
    <xf numFmtId="9" fontId="58" fillId="18" borderId="39" xfId="0" applyNumberFormat="1" applyFont="1" applyFill="1" applyBorder="1" applyAlignment="1">
      <alignment horizontal="center" vertical="center"/>
    </xf>
    <xf numFmtId="9" fontId="58" fillId="18" borderId="56" xfId="0" applyNumberFormat="1" applyFont="1" applyFill="1" applyBorder="1" applyAlignment="1">
      <alignment horizontal="center" vertical="center"/>
    </xf>
    <xf numFmtId="9" fontId="58" fillId="21" borderId="39" xfId="0" applyNumberFormat="1" applyFont="1" applyFill="1" applyBorder="1" applyAlignment="1">
      <alignment horizontal="center" vertical="center"/>
    </xf>
    <xf numFmtId="9" fontId="58" fillId="21" borderId="56" xfId="0" applyNumberFormat="1" applyFont="1" applyFill="1" applyBorder="1" applyAlignment="1">
      <alignment horizontal="center" vertical="center"/>
    </xf>
    <xf numFmtId="0" fontId="2" fillId="24" borderId="30" xfId="0" applyFont="1" applyFill="1" applyBorder="1" applyAlignment="1">
      <alignment horizontal="center" vertical="center"/>
    </xf>
    <xf numFmtId="0" fontId="2" fillId="24" borderId="32" xfId="0" applyFont="1" applyFill="1" applyBorder="1" applyAlignment="1">
      <alignment horizontal="center" vertical="center"/>
    </xf>
    <xf numFmtId="9" fontId="58" fillId="20" borderId="49" xfId="0" applyNumberFormat="1" applyFont="1" applyFill="1" applyBorder="1" applyAlignment="1">
      <alignment horizontal="center" vertical="center"/>
    </xf>
    <xf numFmtId="9" fontId="58" fillId="20" borderId="37" xfId="0" applyNumberFormat="1" applyFont="1" applyFill="1" applyBorder="1" applyAlignment="1">
      <alignment horizontal="center" vertical="center"/>
    </xf>
    <xf numFmtId="9" fontId="58" fillId="18" borderId="36" xfId="0" applyNumberFormat="1" applyFont="1" applyFill="1" applyBorder="1" applyAlignment="1">
      <alignment horizontal="center" vertical="center"/>
    </xf>
    <xf numFmtId="9" fontId="58" fillId="18" borderId="37" xfId="0" applyNumberFormat="1" applyFont="1" applyFill="1" applyBorder="1" applyAlignment="1">
      <alignment horizontal="center" vertical="center"/>
    </xf>
    <xf numFmtId="9" fontId="58" fillId="21" borderId="36" xfId="0" applyNumberFormat="1" applyFont="1" applyFill="1" applyBorder="1" applyAlignment="1">
      <alignment horizontal="center" vertical="center"/>
    </xf>
    <xf numFmtId="9" fontId="58" fillId="21" borderId="37" xfId="0" applyNumberFormat="1" applyFont="1" applyFill="1" applyBorder="1" applyAlignment="1">
      <alignment horizontal="center" vertical="center"/>
    </xf>
    <xf numFmtId="0" fontId="2" fillId="24" borderId="23" xfId="0" applyFont="1" applyFill="1" applyBorder="1" applyAlignment="1">
      <alignment horizontal="center" vertical="center"/>
    </xf>
    <xf numFmtId="0" fontId="2" fillId="24" borderId="24" xfId="0" applyFont="1" applyFill="1" applyBorder="1" applyAlignment="1">
      <alignment horizontal="center" vertical="center"/>
    </xf>
    <xf numFmtId="9" fontId="58" fillId="20" borderId="4" xfId="0" applyNumberFormat="1" applyFont="1" applyFill="1" applyBorder="1" applyAlignment="1">
      <alignment horizontal="center" vertical="center"/>
    </xf>
    <xf numFmtId="9" fontId="58" fillId="20" borderId="11" xfId="0" applyNumberFormat="1" applyFont="1" applyFill="1" applyBorder="1" applyAlignment="1">
      <alignment horizontal="center" vertical="center"/>
    </xf>
    <xf numFmtId="9" fontId="58" fillId="18" borderId="10" xfId="0" applyNumberFormat="1" applyFont="1" applyFill="1" applyBorder="1" applyAlignment="1">
      <alignment horizontal="center" vertical="center"/>
    </xf>
    <xf numFmtId="9" fontId="58" fillId="18" borderId="11" xfId="0" applyNumberFormat="1" applyFont="1" applyFill="1" applyBorder="1" applyAlignment="1">
      <alignment horizontal="center" vertical="center"/>
    </xf>
    <xf numFmtId="9" fontId="58" fillId="21" borderId="10" xfId="0" applyNumberFormat="1" applyFont="1" applyFill="1" applyBorder="1" applyAlignment="1">
      <alignment horizontal="center" vertical="center"/>
    </xf>
    <xf numFmtId="9" fontId="58" fillId="21" borderId="11" xfId="0" applyNumberFormat="1" applyFont="1" applyFill="1" applyBorder="1" applyAlignment="1">
      <alignment horizontal="center" vertical="center"/>
    </xf>
    <xf numFmtId="0" fontId="58" fillId="0" borderId="69" xfId="0" applyFont="1" applyBorder="1" applyAlignment="1">
      <alignment horizontal="center" vertical="center"/>
    </xf>
    <xf numFmtId="0" fontId="58" fillId="0" borderId="53" xfId="0" applyFont="1" applyBorder="1" applyAlignment="1">
      <alignment horizontal="center" vertical="center"/>
    </xf>
    <xf numFmtId="0" fontId="0" fillId="24" borderId="9" xfId="0" applyFill="1" applyBorder="1" applyAlignment="1">
      <alignment horizontal="center"/>
    </xf>
    <xf numFmtId="0" fontId="0" fillId="24" borderId="17" xfId="0" applyFill="1" applyBorder="1" applyAlignment="1">
      <alignment horizontal="center"/>
    </xf>
    <xf numFmtId="0" fontId="57" fillId="0" borderId="40" xfId="0" applyFont="1" applyBorder="1" applyAlignment="1">
      <alignment horizontal="center" vertical="center"/>
    </xf>
    <xf numFmtId="0" fontId="57" fillId="0" borderId="68" xfId="0" applyFont="1" applyBorder="1" applyAlignment="1">
      <alignment horizontal="center" vertical="center"/>
    </xf>
    <xf numFmtId="0" fontId="57" fillId="0" borderId="80" xfId="0" applyFont="1" applyBorder="1" applyAlignment="1">
      <alignment horizontal="center" vertical="center"/>
    </xf>
    <xf numFmtId="0" fontId="57" fillId="0" borderId="81" xfId="0" applyFont="1" applyBorder="1" applyAlignment="1">
      <alignment horizontal="center" vertical="center"/>
    </xf>
    <xf numFmtId="0" fontId="58" fillId="0" borderId="84" xfId="0" applyFont="1" applyBorder="1" applyAlignment="1">
      <alignment horizontal="center" vertical="center"/>
    </xf>
    <xf numFmtId="0" fontId="58" fillId="0" borderId="86" xfId="0" applyFont="1" applyBorder="1" applyAlignment="1">
      <alignment horizontal="center" vertical="center"/>
    </xf>
    <xf numFmtId="0" fontId="57" fillId="0" borderId="8" xfId="0" applyFont="1" applyBorder="1" applyAlignment="1">
      <alignment horizontal="center" vertical="center"/>
    </xf>
    <xf numFmtId="0" fontId="57" fillId="0" borderId="16" xfId="0" applyFont="1" applyBorder="1" applyAlignment="1">
      <alignment horizontal="center" vertical="center"/>
    </xf>
    <xf numFmtId="0" fontId="58" fillId="0" borderId="71" xfId="0" applyFont="1" applyBorder="1" applyAlignment="1">
      <alignment horizontal="center" vertical="center"/>
    </xf>
    <xf numFmtId="0" fontId="57" fillId="0" borderId="27" xfId="0" applyFont="1" applyBorder="1" applyAlignment="1">
      <alignment horizontal="center" vertical="center"/>
    </xf>
    <xf numFmtId="0" fontId="57" fillId="0" borderId="79" xfId="0" applyFont="1" applyBorder="1" applyAlignment="1">
      <alignment horizontal="center" vertical="center"/>
    </xf>
    <xf numFmtId="0" fontId="57" fillId="0" borderId="14" xfId="0" applyFont="1" applyBorder="1" applyAlignment="1">
      <alignment horizontal="center" vertical="center"/>
    </xf>
    <xf numFmtId="0" fontId="58" fillId="0" borderId="85" xfId="0" applyFont="1" applyBorder="1" applyAlignment="1">
      <alignment horizontal="center" vertical="center"/>
    </xf>
    <xf numFmtId="0" fontId="0" fillId="0" borderId="62" xfId="0" applyBorder="1" applyAlignment="1">
      <alignment horizontal="center"/>
    </xf>
    <xf numFmtId="0" fontId="2" fillId="0" borderId="25" xfId="0" applyFont="1" applyBorder="1" applyAlignment="1">
      <alignment horizontal="left"/>
    </xf>
    <xf numFmtId="0" fontId="2" fillId="0" borderId="26" xfId="0" applyFont="1" applyBorder="1" applyAlignment="1">
      <alignment horizontal="left"/>
    </xf>
    <xf numFmtId="0" fontId="0" fillId="0" borderId="66" xfId="0" applyBorder="1" applyAlignment="1">
      <alignment horizontal="center"/>
    </xf>
    <xf numFmtId="0" fontId="2" fillId="24" borderId="34" xfId="0" applyFont="1" applyFill="1" applyBorder="1" applyAlignment="1">
      <alignment horizontal="left" vertical="center"/>
    </xf>
    <xf numFmtId="0" fontId="2" fillId="24" borderId="35" xfId="0" applyFont="1" applyFill="1" applyBorder="1" applyAlignment="1">
      <alignment horizontal="left" vertical="center"/>
    </xf>
    <xf numFmtId="0" fontId="62" fillId="24" borderId="10" xfId="0" applyFont="1" applyFill="1" applyBorder="1" applyAlignment="1">
      <alignment horizontal="left" vertical="center"/>
    </xf>
    <xf numFmtId="0" fontId="62" fillId="24" borderId="11" xfId="0" applyFont="1" applyFill="1" applyBorder="1" applyAlignment="1">
      <alignment horizontal="left" vertical="center"/>
    </xf>
    <xf numFmtId="0" fontId="62" fillId="24" borderId="36" xfId="0" applyFont="1" applyFill="1" applyBorder="1" applyAlignment="1">
      <alignment horizontal="left" vertical="center"/>
    </xf>
    <xf numFmtId="0" fontId="62" fillId="24" borderId="37" xfId="0" applyFont="1" applyFill="1" applyBorder="1" applyAlignment="1">
      <alignment horizontal="left" vertical="center"/>
    </xf>
    <xf numFmtId="0" fontId="62" fillId="24" borderId="39" xfId="0" applyFont="1" applyFill="1" applyBorder="1" applyAlignment="1">
      <alignment horizontal="left" vertical="center"/>
    </xf>
    <xf numFmtId="0" fontId="62" fillId="24" borderId="56" xfId="0" applyFont="1" applyFill="1" applyBorder="1" applyAlignment="1">
      <alignment horizontal="left" vertical="center"/>
    </xf>
    <xf numFmtId="0" fontId="2" fillId="24" borderId="8" xfId="0" applyFont="1" applyFill="1" applyBorder="1" applyAlignment="1">
      <alignment horizontal="left" vertical="center"/>
    </xf>
    <xf numFmtId="0" fontId="2" fillId="24" borderId="9" xfId="0" applyFont="1" applyFill="1" applyBorder="1" applyAlignment="1">
      <alignment horizontal="left" vertical="center"/>
    </xf>
    <xf numFmtId="0" fontId="2" fillId="24" borderId="16" xfId="0" applyFont="1" applyFill="1" applyBorder="1" applyAlignment="1">
      <alignment horizontal="left" vertical="center"/>
    </xf>
    <xf numFmtId="0" fontId="2" fillId="24" borderId="17" xfId="0" applyFont="1" applyFill="1" applyBorder="1" applyAlignment="1">
      <alignment horizontal="left" vertical="center"/>
    </xf>
    <xf numFmtId="0" fontId="2" fillId="8" borderId="49" xfId="0" applyFont="1" applyFill="1" applyBorder="1" applyAlignment="1">
      <alignment horizontal="center"/>
    </xf>
    <xf numFmtId="0" fontId="2" fillId="8" borderId="37" xfId="0" applyFont="1" applyFill="1" applyBorder="1" applyAlignment="1">
      <alignment horizontal="center"/>
    </xf>
    <xf numFmtId="0" fontId="2" fillId="9" borderId="8" xfId="0"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16"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10" borderId="8" xfId="0"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16" xfId="0" applyFont="1" applyFill="1" applyBorder="1" applyAlignment="1">
      <alignment horizontal="center" vertical="top" wrapText="1"/>
    </xf>
    <xf numFmtId="0" fontId="2" fillId="10" borderId="17" xfId="0" applyFont="1" applyFill="1" applyBorder="1" applyAlignment="1">
      <alignment horizontal="center" vertical="top" wrapText="1"/>
    </xf>
    <xf numFmtId="0" fontId="2" fillId="11" borderId="69" xfId="0" applyFont="1" applyFill="1" applyBorder="1" applyAlignment="1">
      <alignment horizontal="center" vertical="center" wrapText="1"/>
    </xf>
    <xf numFmtId="0" fontId="2" fillId="11" borderId="71" xfId="0" applyFont="1" applyFill="1" applyBorder="1" applyAlignment="1">
      <alignment horizontal="center" vertical="center" wrapText="1"/>
    </xf>
    <xf numFmtId="0" fontId="2" fillId="12" borderId="69" xfId="0" applyFont="1" applyFill="1" applyBorder="1" applyAlignment="1">
      <alignment horizontal="center" vertical="center" wrapText="1"/>
    </xf>
    <xf numFmtId="0" fontId="2" fillId="12" borderId="71" xfId="0" applyFont="1" applyFill="1" applyBorder="1" applyAlignment="1">
      <alignment horizontal="center" vertical="center" wrapText="1"/>
    </xf>
    <xf numFmtId="0" fontId="0" fillId="8" borderId="66" xfId="0" applyFill="1" applyBorder="1" applyAlignment="1">
      <alignment horizontal="center"/>
    </xf>
    <xf numFmtId="0" fontId="0" fillId="8" borderId="56" xfId="0" applyFill="1" applyBorder="1" applyAlignment="1">
      <alignment horizontal="center"/>
    </xf>
    <xf numFmtId="0" fontId="2" fillId="0" borderId="23" xfId="0" applyFont="1" applyBorder="1" applyAlignment="1">
      <alignment horizontal="left"/>
    </xf>
    <xf numFmtId="0" fontId="2" fillId="0" borderId="24" xfId="0" applyFont="1" applyBorder="1" applyAlignment="1">
      <alignment horizontal="left"/>
    </xf>
    <xf numFmtId="0" fontId="2" fillId="0" borderId="30" xfId="0" applyFont="1" applyBorder="1" applyAlignment="1">
      <alignment horizontal="left"/>
    </xf>
    <xf numFmtId="0" fontId="2" fillId="0" borderId="32" xfId="0" applyFont="1" applyBorder="1" applyAlignment="1">
      <alignment horizontal="left"/>
    </xf>
    <xf numFmtId="0" fontId="0" fillId="0" borderId="72" xfId="0" applyBorder="1" applyAlignment="1">
      <alignment horizontal="center"/>
    </xf>
    <xf numFmtId="0" fontId="0" fillId="0" borderId="37" xfId="0" applyBorder="1" applyAlignment="1">
      <alignment horizontal="center"/>
    </xf>
    <xf numFmtId="0" fontId="0" fillId="0" borderId="36" xfId="0" applyBorder="1" applyAlignment="1">
      <alignment horizontal="center"/>
    </xf>
    <xf numFmtId="0" fontId="66" fillId="24" borderId="69" xfId="0" applyFont="1" applyFill="1" applyBorder="1" applyAlignment="1">
      <alignment horizontal="center" vertical="center"/>
    </xf>
    <xf numFmtId="0" fontId="66" fillId="24" borderId="71" xfId="0" applyFont="1" applyFill="1" applyBorder="1" applyAlignment="1">
      <alignment horizontal="center" vertical="center"/>
    </xf>
    <xf numFmtId="0" fontId="33" fillId="8" borderId="40" xfId="0" applyFont="1" applyFill="1" applyBorder="1" applyAlignment="1">
      <alignment horizontal="center" vertical="center"/>
    </xf>
    <xf numFmtId="0" fontId="33" fillId="8" borderId="68" xfId="0" applyFont="1" applyFill="1" applyBorder="1" applyAlignment="1">
      <alignment horizontal="center" vertical="center"/>
    </xf>
    <xf numFmtId="0" fontId="33" fillId="12" borderId="42" xfId="0" applyFont="1" applyFill="1" applyBorder="1" applyAlignment="1">
      <alignment horizontal="center" vertical="center"/>
    </xf>
    <xf numFmtId="0" fontId="33" fillId="12" borderId="64" xfId="0" applyFont="1" applyFill="1" applyBorder="1" applyAlignment="1">
      <alignment horizontal="center" vertical="center"/>
    </xf>
    <xf numFmtId="0" fontId="33" fillId="11" borderId="41" xfId="0" applyFont="1" applyFill="1" applyBorder="1" applyAlignment="1">
      <alignment horizontal="center" vertical="center"/>
    </xf>
    <xf numFmtId="0" fontId="33" fillId="11" borderId="63" xfId="0" applyFont="1" applyFill="1" applyBorder="1" applyAlignment="1">
      <alignment horizontal="center" vertical="center"/>
    </xf>
    <xf numFmtId="0" fontId="33" fillId="10" borderId="41" xfId="0" applyFont="1" applyFill="1" applyBorder="1" applyAlignment="1">
      <alignment horizontal="center" vertical="center"/>
    </xf>
    <xf numFmtId="0" fontId="33" fillId="10" borderId="63" xfId="0" applyFont="1" applyFill="1" applyBorder="1" applyAlignment="1">
      <alignment horizontal="center" vertical="center"/>
    </xf>
    <xf numFmtId="0" fontId="33" fillId="9" borderId="41" xfId="0" applyFont="1" applyFill="1" applyBorder="1" applyAlignment="1">
      <alignment horizontal="center" vertical="center"/>
    </xf>
    <xf numFmtId="0" fontId="33" fillId="9" borderId="63" xfId="0" applyFont="1" applyFill="1" applyBorder="1" applyAlignment="1">
      <alignment horizontal="center" vertical="center"/>
    </xf>
    <xf numFmtId="0" fontId="36" fillId="0" borderId="31" xfId="0" applyFont="1" applyBorder="1" applyAlignment="1">
      <alignment horizontal="center" vertical="center"/>
    </xf>
    <xf numFmtId="0" fontId="36" fillId="0" borderId="32" xfId="0" applyFont="1" applyBorder="1" applyAlignment="1">
      <alignment horizontal="center" vertical="center"/>
    </xf>
    <xf numFmtId="2" fontId="36" fillId="0" borderId="57" xfId="0" applyNumberFormat="1" applyFont="1" applyBorder="1" applyAlignment="1">
      <alignment horizontal="center" vertical="center"/>
    </xf>
    <xf numFmtId="2" fontId="36" fillId="0" borderId="33" xfId="0" applyNumberFormat="1" applyFont="1" applyBorder="1" applyAlignment="1">
      <alignment horizontal="center" vertical="center"/>
    </xf>
    <xf numFmtId="2" fontId="36" fillId="0" borderId="26" xfId="0" applyNumberFormat="1" applyFont="1" applyBorder="1" applyAlignment="1">
      <alignment horizontal="center" vertical="center"/>
    </xf>
    <xf numFmtId="0" fontId="2" fillId="0" borderId="8" xfId="0" applyFont="1" applyBorder="1" applyAlignment="1">
      <alignment horizontal="left"/>
    </xf>
    <xf numFmtId="0" fontId="2" fillId="0" borderId="9" xfId="0" applyFont="1" applyBorder="1" applyAlignment="1">
      <alignment horizontal="left"/>
    </xf>
    <xf numFmtId="0" fontId="2" fillId="0" borderId="25" xfId="0" applyFont="1" applyBorder="1" applyAlignment="1">
      <alignment horizontal="center" vertical="center"/>
    </xf>
    <xf numFmtId="0" fontId="2" fillId="0" borderId="26" xfId="0" applyFont="1" applyBorder="1" applyAlignment="1">
      <alignment horizontal="center" vertical="center"/>
    </xf>
    <xf numFmtId="9" fontId="2" fillId="20" borderId="52" xfId="0" applyNumberFormat="1" applyFont="1" applyFill="1" applyBorder="1" applyAlignment="1">
      <alignment horizontal="center"/>
    </xf>
    <xf numFmtId="9" fontId="2" fillId="20" borderId="56" xfId="0" applyNumberFormat="1" applyFont="1" applyFill="1" applyBorder="1" applyAlignment="1">
      <alignment horizontal="center"/>
    </xf>
    <xf numFmtId="9" fontId="2" fillId="18" borderId="39" xfId="0" applyNumberFormat="1" applyFont="1" applyFill="1" applyBorder="1" applyAlignment="1">
      <alignment horizontal="center"/>
    </xf>
    <xf numFmtId="9" fontId="2" fillId="18" borderId="56" xfId="0" applyNumberFormat="1" applyFont="1" applyFill="1" applyBorder="1" applyAlignment="1">
      <alignment horizontal="center"/>
    </xf>
    <xf numFmtId="9" fontId="2" fillId="21" borderId="39" xfId="0" applyNumberFormat="1" applyFont="1" applyFill="1" applyBorder="1" applyAlignment="1">
      <alignment horizontal="center"/>
    </xf>
    <xf numFmtId="9" fontId="2" fillId="21" borderId="56" xfId="0" applyNumberFormat="1" applyFont="1" applyFill="1" applyBorder="1" applyAlignment="1">
      <alignment horizontal="center"/>
    </xf>
    <xf numFmtId="0" fontId="36" fillId="0" borderId="43" xfId="0" applyFont="1" applyBorder="1" applyAlignment="1">
      <alignment horizontal="center" vertical="center"/>
    </xf>
    <xf numFmtId="0" fontId="2" fillId="0" borderId="30" xfId="0" applyFont="1" applyBorder="1" applyAlignment="1">
      <alignment horizontal="center" vertical="center"/>
    </xf>
    <xf numFmtId="0" fontId="2" fillId="0" borderId="32" xfId="0" applyFont="1" applyBorder="1" applyAlignment="1">
      <alignment horizontal="center" vertical="center"/>
    </xf>
    <xf numFmtId="9" fontId="2" fillId="20" borderId="49" xfId="0" applyNumberFormat="1" applyFont="1" applyFill="1" applyBorder="1" applyAlignment="1">
      <alignment horizontal="center"/>
    </xf>
    <xf numFmtId="9" fontId="2" fillId="20" borderId="37" xfId="0" applyNumberFormat="1" applyFont="1" applyFill="1" applyBorder="1" applyAlignment="1">
      <alignment horizontal="center"/>
    </xf>
    <xf numFmtId="9" fontId="2" fillId="18" borderId="36" xfId="0" applyNumberFormat="1" applyFont="1" applyFill="1" applyBorder="1" applyAlignment="1">
      <alignment horizontal="center"/>
    </xf>
    <xf numFmtId="9" fontId="2" fillId="18" borderId="37" xfId="0" applyNumberFormat="1" applyFont="1" applyFill="1" applyBorder="1" applyAlignment="1">
      <alignment horizontal="center"/>
    </xf>
    <xf numFmtId="9" fontId="2" fillId="21" borderId="36" xfId="0" applyNumberFormat="1" applyFont="1" applyFill="1" applyBorder="1" applyAlignment="1">
      <alignment horizontal="center"/>
    </xf>
    <xf numFmtId="9" fontId="2" fillId="21" borderId="37" xfId="0" applyNumberFormat="1" applyFont="1" applyFill="1" applyBorder="1" applyAlignment="1">
      <alignment horizont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9" fontId="2" fillId="20" borderId="4" xfId="0" applyNumberFormat="1" applyFont="1" applyFill="1" applyBorder="1" applyAlignment="1">
      <alignment horizontal="center"/>
    </xf>
    <xf numFmtId="9" fontId="2" fillId="20" borderId="11" xfId="0" applyNumberFormat="1" applyFont="1" applyFill="1" applyBorder="1" applyAlignment="1">
      <alignment horizontal="center"/>
    </xf>
    <xf numFmtId="9" fontId="2" fillId="18" borderId="10" xfId="0" applyNumberFormat="1" applyFont="1" applyFill="1" applyBorder="1" applyAlignment="1">
      <alignment horizontal="center"/>
    </xf>
    <xf numFmtId="9" fontId="2" fillId="18" borderId="11" xfId="0" applyNumberFormat="1" applyFont="1" applyFill="1" applyBorder="1" applyAlignment="1">
      <alignment horizontal="center"/>
    </xf>
    <xf numFmtId="9" fontId="2" fillId="21" borderId="10" xfId="0" applyNumberFormat="1" applyFont="1" applyFill="1" applyBorder="1" applyAlignment="1">
      <alignment horizontal="center"/>
    </xf>
    <xf numFmtId="9" fontId="2" fillId="21" borderId="11" xfId="0" applyNumberFormat="1" applyFont="1" applyFill="1" applyBorder="1" applyAlignment="1">
      <alignment horizontal="center"/>
    </xf>
    <xf numFmtId="0" fontId="2" fillId="4" borderId="69" xfId="0" applyFont="1" applyFill="1" applyBorder="1" applyAlignment="1">
      <alignment horizontal="center" vertical="center"/>
    </xf>
    <xf numFmtId="0" fontId="2" fillId="4" borderId="53" xfId="0" applyFont="1" applyFill="1" applyBorder="1" applyAlignment="1">
      <alignment horizontal="center" vertical="center"/>
    </xf>
    <xf numFmtId="0" fontId="0" fillId="0" borderId="40" xfId="0" applyBorder="1" applyAlignment="1">
      <alignment horizontal="center" vertical="center"/>
    </xf>
    <xf numFmtId="0" fontId="0" fillId="0" borderId="68" xfId="0" applyBorder="1" applyAlignment="1">
      <alignment horizontal="center" vertical="center"/>
    </xf>
    <xf numFmtId="0" fontId="0" fillId="0" borderId="80" xfId="0" applyBorder="1" applyAlignment="1">
      <alignment horizontal="center" vertical="center"/>
    </xf>
    <xf numFmtId="0" fontId="0" fillId="0" borderId="81" xfId="0" applyBorder="1" applyAlignment="1">
      <alignment horizontal="center" vertical="center"/>
    </xf>
    <xf numFmtId="0" fontId="2" fillId="20" borderId="84" xfId="0" applyFont="1" applyFill="1" applyBorder="1" applyAlignment="1">
      <alignment horizontal="center" vertical="center"/>
    </xf>
    <xf numFmtId="0" fontId="2" fillId="20" borderId="86" xfId="0" applyFont="1" applyFill="1" applyBorder="1" applyAlignment="1">
      <alignment horizontal="center" vertical="center"/>
    </xf>
    <xf numFmtId="0" fontId="0" fillId="0" borderId="8" xfId="0" applyBorder="1" applyAlignment="1">
      <alignment horizontal="center" vertical="center"/>
    </xf>
    <xf numFmtId="0" fontId="0" fillId="0" borderId="16" xfId="0" applyBorder="1" applyAlignment="1">
      <alignment horizontal="center" vertical="center"/>
    </xf>
    <xf numFmtId="0" fontId="2" fillId="18" borderId="84" xfId="0" applyFont="1" applyFill="1" applyBorder="1" applyAlignment="1">
      <alignment horizontal="center" vertical="center"/>
    </xf>
    <xf numFmtId="0" fontId="2" fillId="18" borderId="86" xfId="0" applyFont="1" applyFill="1" applyBorder="1" applyAlignment="1">
      <alignment horizontal="center" vertical="center"/>
    </xf>
    <xf numFmtId="0" fontId="2" fillId="21" borderId="84" xfId="0" applyFont="1" applyFill="1" applyBorder="1" applyAlignment="1">
      <alignment horizontal="center" vertical="center"/>
    </xf>
    <xf numFmtId="0" fontId="2" fillId="21" borderId="86" xfId="0" applyFont="1" applyFill="1" applyBorder="1" applyAlignment="1">
      <alignment horizontal="center" vertical="center"/>
    </xf>
    <xf numFmtId="0" fontId="2" fillId="22" borderId="69" xfId="0" applyFont="1" applyFill="1" applyBorder="1" applyAlignment="1">
      <alignment horizontal="center" vertical="center"/>
    </xf>
    <xf numFmtId="0" fontId="2" fillId="22" borderId="71" xfId="0" applyFont="1" applyFill="1" applyBorder="1" applyAlignment="1">
      <alignment horizontal="center" vertical="center"/>
    </xf>
    <xf numFmtId="0" fontId="2" fillId="4" borderId="71" xfId="0" applyFont="1" applyFill="1" applyBorder="1" applyAlignment="1">
      <alignment horizontal="center" vertical="center"/>
    </xf>
    <xf numFmtId="0" fontId="0" fillId="0" borderId="27" xfId="0" applyBorder="1" applyAlignment="1">
      <alignment horizontal="center" vertical="center"/>
    </xf>
    <xf numFmtId="0" fontId="0" fillId="0" borderId="79" xfId="0" applyBorder="1" applyAlignment="1">
      <alignment horizontal="center" vertical="center"/>
    </xf>
    <xf numFmtId="0" fontId="2" fillId="20" borderId="85" xfId="0" applyFont="1" applyFill="1" applyBorder="1" applyAlignment="1">
      <alignment horizontal="center" vertical="center"/>
    </xf>
    <xf numFmtId="0" fontId="0" fillId="0" borderId="14" xfId="0" applyBorder="1" applyAlignment="1">
      <alignment horizontal="center" vertical="center"/>
    </xf>
    <xf numFmtId="0" fontId="2" fillId="18" borderId="85" xfId="0" applyFont="1" applyFill="1" applyBorder="1" applyAlignment="1">
      <alignment horizontal="center" vertical="center"/>
    </xf>
    <xf numFmtId="0" fontId="2" fillId="21" borderId="85" xfId="0" applyFont="1" applyFill="1" applyBorder="1" applyAlignment="1">
      <alignment horizontal="center" vertical="center"/>
    </xf>
    <xf numFmtId="0" fontId="2" fillId="22" borderId="53" xfId="0" applyFont="1" applyFill="1" applyBorder="1" applyAlignment="1">
      <alignment horizontal="center" vertical="center"/>
    </xf>
    <xf numFmtId="0" fontId="2" fillId="0" borderId="34" xfId="0" applyFont="1" applyBorder="1" applyAlignment="1">
      <alignment horizontal="left" vertical="center"/>
    </xf>
    <xf numFmtId="0" fontId="2" fillId="0" borderId="35"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6" xfId="0" applyFont="1" applyBorder="1" applyAlignment="1">
      <alignment horizontal="left" vertical="center"/>
    </xf>
    <xf numFmtId="0" fontId="2" fillId="0" borderId="17" xfId="0" applyFont="1" applyBorder="1" applyAlignment="1">
      <alignment horizontal="left" vertical="center"/>
    </xf>
    <xf numFmtId="0" fontId="0" fillId="0" borderId="34" xfId="0" applyBorder="1" applyAlignment="1">
      <alignment horizontal="center"/>
    </xf>
    <xf numFmtId="0" fontId="0" fillId="0" borderId="1" xfId="0" applyBorder="1" applyAlignment="1">
      <alignment horizontal="center"/>
    </xf>
    <xf numFmtId="0" fontId="0" fillId="0" borderId="35" xfId="0" applyBorder="1" applyAlignment="1">
      <alignment horizontal="center"/>
    </xf>
    <xf numFmtId="0" fontId="0" fillId="0" borderId="8" xfId="0" applyBorder="1" applyAlignment="1">
      <alignment horizontal="center" wrapText="1"/>
    </xf>
    <xf numFmtId="0" fontId="0" fillId="0" borderId="3"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0" fillId="0" borderId="16" xfId="0" applyBorder="1" applyAlignment="1">
      <alignment horizontal="center" wrapText="1"/>
    </xf>
    <xf numFmtId="0" fontId="0" fillId="0" borderId="2" xfId="0" applyBorder="1" applyAlignment="1">
      <alignment horizontal="center" wrapText="1"/>
    </xf>
    <xf numFmtId="0" fontId="0" fillId="0" borderId="17" xfId="0" applyBorder="1" applyAlignment="1">
      <alignment horizontal="center" wrapText="1"/>
    </xf>
  </cellXfs>
  <cellStyles count="8">
    <cellStyle name="Ergebnis" xfId="6" builtinId="25"/>
    <cellStyle name="Komma" xfId="3" builtinId="3"/>
    <cellStyle name="Link" xfId="1" builtinId="8"/>
    <cellStyle name="Normal" xfId="2" xr:uid="{F1B2B5E6-54AD-496E-A378-D2BD62680B55}"/>
    <cellStyle name="Standard" xfId="0" builtinId="0"/>
    <cellStyle name="Standard 2" xfId="7" xr:uid="{8FF02CC4-39E0-4189-A623-D1A3A5AF86C6}"/>
    <cellStyle name="Überschrift 1" xfId="4" builtinId="16"/>
    <cellStyle name="Überschrift 2" xfId="5" builtinId="17"/>
  </cellStyles>
  <dxfs count="6">
    <dxf>
      <font>
        <color rgb="FF9C0006"/>
      </font>
      <fill>
        <patternFill>
          <bgColor rgb="FFFFC7CE"/>
        </patternFill>
      </fill>
    </dxf>
    <dxf>
      <font>
        <color auto="1"/>
      </font>
      <fill>
        <patternFill>
          <bgColor rgb="FF00B050"/>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9F2FB"/>
      <color rgb="FFCADFF2"/>
      <color rgb="FFFBDFCD"/>
      <color rgb="FFF9F9F9"/>
      <color rgb="FFE2E2E2"/>
      <color rgb="FFFFF4D5"/>
      <color rgb="FFFAD5BE"/>
      <color rgb="FFD8EACC"/>
      <color rgb="FFD2E6C4"/>
      <color rgb="FFF1F7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9"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externalLink" Target="externalLinks/externalLink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v>2021</c:v>
          </c:tx>
          <c:spPr>
            <a:solidFill>
              <a:srgbClr val="7030A0"/>
            </a:solidFill>
            <a:ln>
              <a:solidFill>
                <a:srgbClr val="7030A0"/>
              </a:solidFill>
            </a:ln>
            <a:effectLst/>
          </c:spPr>
          <c:invertIfNegative val="0"/>
          <c:cat>
            <c:strRef>
              <c:f>'Import 1 Emissions by Sector'!$C$6:$G$6</c:f>
              <c:strCache>
                <c:ptCount val="5"/>
                <c:pt idx="0">
                  <c:v>Energy industry</c:v>
                </c:pt>
                <c:pt idx="1">
                  <c:v>Transport</c:v>
                </c:pt>
                <c:pt idx="2">
                  <c:v>Other industrial combustion</c:v>
                </c:pt>
                <c:pt idx="3">
                  <c:v>Buildings</c:v>
                </c:pt>
                <c:pt idx="4">
                  <c:v>Other sectors</c:v>
                </c:pt>
              </c:strCache>
            </c:strRef>
          </c:cat>
          <c:val>
            <c:numRef>
              <c:f>'Import 1 Emissions by Sector'!$C$11:$G$11</c:f>
              <c:numCache>
                <c:formatCode>#,##0.0</c:formatCode>
                <c:ptCount val="5"/>
                <c:pt idx="0">
                  <c:v>37.659999999999997</c:v>
                </c:pt>
                <c:pt idx="1">
                  <c:v>20.190000000000001</c:v>
                </c:pt>
                <c:pt idx="2">
                  <c:v>21.44</c:v>
                </c:pt>
                <c:pt idx="3">
                  <c:v>9.01</c:v>
                </c:pt>
                <c:pt idx="4">
                  <c:v>11.69</c:v>
                </c:pt>
              </c:numCache>
            </c:numRef>
          </c:val>
          <c:extLst>
            <c:ext xmlns:c16="http://schemas.microsoft.com/office/drawing/2014/chart" uri="{C3380CC4-5D6E-409C-BE32-E72D297353CC}">
              <c16:uniqueId val="{00000000-5C27-4BCE-92E2-E03FBEE4A724}"/>
            </c:ext>
          </c:extLst>
        </c:ser>
        <c:dLbls>
          <c:showLegendKey val="0"/>
          <c:showVal val="0"/>
          <c:showCatName val="0"/>
          <c:showSerName val="0"/>
          <c:showPercent val="0"/>
          <c:showBubbleSize val="0"/>
        </c:dLbls>
        <c:gapWidth val="150"/>
        <c:axId val="560492920"/>
        <c:axId val="560487880"/>
      </c:barChart>
      <c:catAx>
        <c:axId val="56049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87880"/>
        <c:crosses val="autoZero"/>
        <c:auto val="1"/>
        <c:lblAlgn val="ctr"/>
        <c:lblOffset val="100"/>
        <c:noMultiLvlLbl val="0"/>
      </c:catAx>
      <c:valAx>
        <c:axId val="560487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Share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92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Stated policies 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'[3]2.6 Hydrogen'!$A$20</c:f>
              <c:strCache>
                <c:ptCount val="1"/>
                <c:pt idx="0">
                  <c:v>Copper</c:v>
                </c:pt>
              </c:strCache>
            </c:strRef>
          </c:tx>
          <c:spPr>
            <a:solidFill>
              <a:schemeClr val="accent1"/>
            </a:solidFill>
            <a:ln>
              <a:noFill/>
            </a:ln>
            <a:effectLst/>
          </c:spPr>
          <c:invertIfNegative val="0"/>
          <c:cat>
            <c:numRef>
              <c:f>'[3]2.6 Hydrogen'!$B$19:$H$19</c:f>
              <c:numCache>
                <c:formatCode>General</c:formatCode>
                <c:ptCount val="7"/>
                <c:pt idx="0">
                  <c:v>2022</c:v>
                </c:pt>
                <c:pt idx="1">
                  <c:v>2025</c:v>
                </c:pt>
                <c:pt idx="2">
                  <c:v>2030</c:v>
                </c:pt>
                <c:pt idx="3">
                  <c:v>2035</c:v>
                </c:pt>
                <c:pt idx="4">
                  <c:v>2040</c:v>
                </c:pt>
                <c:pt idx="5">
                  <c:v>2045</c:v>
                </c:pt>
                <c:pt idx="6">
                  <c:v>2050</c:v>
                </c:pt>
              </c:numCache>
            </c:numRef>
          </c:cat>
          <c:val>
            <c:numRef>
              <c:f>'[3]2.6 Hydrogen'!$B$20:$H$20</c:f>
              <c:numCache>
                <c:formatCode>General</c:formatCode>
                <c:ptCount val="7"/>
                <c:pt idx="0">
                  <c:v>3.1968700000000001E-3</c:v>
                </c:pt>
                <c:pt idx="1">
                  <c:v>3.8807500000000001E-3</c:v>
                </c:pt>
                <c:pt idx="2">
                  <c:v>1.0640460000000001E-2</c:v>
                </c:pt>
                <c:pt idx="3">
                  <c:v>1.7172220000000002E-2</c:v>
                </c:pt>
                <c:pt idx="4">
                  <c:v>2.4161510000000004E-2</c:v>
                </c:pt>
                <c:pt idx="5">
                  <c:v>3.3060620000000006E-2</c:v>
                </c:pt>
                <c:pt idx="6">
                  <c:v>4.7526520000000003E-2</c:v>
                </c:pt>
              </c:numCache>
            </c:numRef>
          </c:val>
          <c:extLst>
            <c:ext xmlns:c16="http://schemas.microsoft.com/office/drawing/2014/chart" uri="{C3380CC4-5D6E-409C-BE32-E72D297353CC}">
              <c16:uniqueId val="{00000000-1A52-4C31-B693-3CB435F2A2F1}"/>
            </c:ext>
          </c:extLst>
        </c:ser>
        <c:ser>
          <c:idx val="1"/>
          <c:order val="1"/>
          <c:tx>
            <c:strRef>
              <c:f>'[3]2.6 Hydrogen'!$A$21</c:f>
              <c:strCache>
                <c:ptCount val="1"/>
                <c:pt idx="0">
                  <c:v>Cobalt</c:v>
                </c:pt>
              </c:strCache>
            </c:strRef>
          </c:tx>
          <c:spPr>
            <a:solidFill>
              <a:schemeClr val="accent2"/>
            </a:solidFill>
            <a:ln>
              <a:noFill/>
            </a:ln>
            <a:effectLst/>
          </c:spPr>
          <c:invertIfNegative val="0"/>
          <c:cat>
            <c:numRef>
              <c:f>'[3]2.6 Hydrogen'!$B$19:$H$19</c:f>
              <c:numCache>
                <c:formatCode>General</c:formatCode>
                <c:ptCount val="7"/>
                <c:pt idx="0">
                  <c:v>2022</c:v>
                </c:pt>
                <c:pt idx="1">
                  <c:v>2025</c:v>
                </c:pt>
                <c:pt idx="2">
                  <c:v>2030</c:v>
                </c:pt>
                <c:pt idx="3">
                  <c:v>2035</c:v>
                </c:pt>
                <c:pt idx="4">
                  <c:v>2040</c:v>
                </c:pt>
                <c:pt idx="5">
                  <c:v>2045</c:v>
                </c:pt>
                <c:pt idx="6">
                  <c:v>2050</c:v>
                </c:pt>
              </c:numCache>
            </c:numRef>
          </c:cat>
          <c:val>
            <c:numRef>
              <c:f>'[3]2.6 Hydrogen'!$B$21:$H$21</c:f>
              <c:numCache>
                <c:formatCode>General</c:formatCode>
                <c:ptCount val="7"/>
                <c:pt idx="0">
                  <c:v>1.07346E-2</c:v>
                </c:pt>
                <c:pt idx="1">
                  <c:v>1.0315700000000001E-2</c:v>
                </c:pt>
                <c:pt idx="2">
                  <c:v>2.42185E-2</c:v>
                </c:pt>
                <c:pt idx="3">
                  <c:v>3.1586620000000003E-2</c:v>
                </c:pt>
                <c:pt idx="4">
                  <c:v>3.4886449999999999E-2</c:v>
                </c:pt>
                <c:pt idx="5">
                  <c:v>3.8448089999999997E-2</c:v>
                </c:pt>
                <c:pt idx="6">
                  <c:v>4.3401749999999996E-2</c:v>
                </c:pt>
              </c:numCache>
            </c:numRef>
          </c:val>
          <c:extLst>
            <c:ext xmlns:c16="http://schemas.microsoft.com/office/drawing/2014/chart" uri="{C3380CC4-5D6E-409C-BE32-E72D297353CC}">
              <c16:uniqueId val="{00000001-1A52-4C31-B693-3CB435F2A2F1}"/>
            </c:ext>
          </c:extLst>
        </c:ser>
        <c:ser>
          <c:idx val="2"/>
          <c:order val="2"/>
          <c:tx>
            <c:strRef>
              <c:f>'[3]2.6 Hydrogen'!$A$22</c:f>
              <c:strCache>
                <c:ptCount val="1"/>
                <c:pt idx="0">
                  <c:v>Iridium</c:v>
                </c:pt>
              </c:strCache>
            </c:strRef>
          </c:tx>
          <c:spPr>
            <a:solidFill>
              <a:schemeClr val="accent3"/>
            </a:solidFill>
            <a:ln>
              <a:noFill/>
            </a:ln>
            <a:effectLst/>
          </c:spPr>
          <c:invertIfNegative val="0"/>
          <c:cat>
            <c:numRef>
              <c:f>'[3]2.6 Hydrogen'!$B$19:$H$19</c:f>
              <c:numCache>
                <c:formatCode>General</c:formatCode>
                <c:ptCount val="7"/>
                <c:pt idx="0">
                  <c:v>2022</c:v>
                </c:pt>
                <c:pt idx="1">
                  <c:v>2025</c:v>
                </c:pt>
                <c:pt idx="2">
                  <c:v>2030</c:v>
                </c:pt>
                <c:pt idx="3">
                  <c:v>2035</c:v>
                </c:pt>
                <c:pt idx="4">
                  <c:v>2040</c:v>
                </c:pt>
                <c:pt idx="5">
                  <c:v>2045</c:v>
                </c:pt>
                <c:pt idx="6">
                  <c:v>2050</c:v>
                </c:pt>
              </c:numCache>
            </c:numRef>
          </c:cat>
          <c:val>
            <c:numRef>
              <c:f>'[3]2.6 Hydrogen'!$B$22:$H$22</c:f>
              <c:numCache>
                <c:formatCode>General</c:formatCode>
                <c:ptCount val="7"/>
                <c:pt idx="0">
                  <c:v>3.1381200000000001E-4</c:v>
                </c:pt>
                <c:pt idx="1">
                  <c:v>2.8234899999999999E-4</c:v>
                </c:pt>
                <c:pt idx="2">
                  <c:v>5.0942700000000001E-4</c:v>
                </c:pt>
                <c:pt idx="3">
                  <c:v>7.0132400000000002E-4</c:v>
                </c:pt>
                <c:pt idx="4">
                  <c:v>8.6774300000000003E-4</c:v>
                </c:pt>
                <c:pt idx="5">
                  <c:v>1.021966E-3</c:v>
                </c:pt>
                <c:pt idx="6">
                  <c:v>1.1696180000000001E-3</c:v>
                </c:pt>
              </c:numCache>
            </c:numRef>
          </c:val>
          <c:extLst>
            <c:ext xmlns:c16="http://schemas.microsoft.com/office/drawing/2014/chart" uri="{C3380CC4-5D6E-409C-BE32-E72D297353CC}">
              <c16:uniqueId val="{00000002-1A52-4C31-B693-3CB435F2A2F1}"/>
            </c:ext>
          </c:extLst>
        </c:ser>
        <c:ser>
          <c:idx val="3"/>
          <c:order val="3"/>
          <c:tx>
            <c:strRef>
              <c:f>'[3]2.6 Hydrogen'!$A$23</c:f>
              <c:strCache>
                <c:ptCount val="1"/>
                <c:pt idx="0">
                  <c:v>Nickel</c:v>
                </c:pt>
              </c:strCache>
            </c:strRef>
          </c:tx>
          <c:spPr>
            <a:solidFill>
              <a:schemeClr val="accent4"/>
            </a:solidFill>
            <a:ln>
              <a:noFill/>
            </a:ln>
            <a:effectLst/>
          </c:spPr>
          <c:invertIfNegative val="0"/>
          <c:cat>
            <c:numRef>
              <c:f>'[3]2.6 Hydrogen'!$B$19:$H$19</c:f>
              <c:numCache>
                <c:formatCode>General</c:formatCode>
                <c:ptCount val="7"/>
                <c:pt idx="0">
                  <c:v>2022</c:v>
                </c:pt>
                <c:pt idx="1">
                  <c:v>2025</c:v>
                </c:pt>
                <c:pt idx="2">
                  <c:v>2030</c:v>
                </c:pt>
                <c:pt idx="3">
                  <c:v>2035</c:v>
                </c:pt>
                <c:pt idx="4">
                  <c:v>2040</c:v>
                </c:pt>
                <c:pt idx="5">
                  <c:v>2045</c:v>
                </c:pt>
                <c:pt idx="6">
                  <c:v>2050</c:v>
                </c:pt>
              </c:numCache>
            </c:numRef>
          </c:cat>
          <c:val>
            <c:numRef>
              <c:f>'[3]2.6 Hydrogen'!$B$23:$H$23</c:f>
              <c:numCache>
                <c:formatCode>General</c:formatCode>
                <c:ptCount val="7"/>
                <c:pt idx="0">
                  <c:v>1.7661100000000001</c:v>
                </c:pt>
                <c:pt idx="1">
                  <c:v>2.4272300000000002</c:v>
                </c:pt>
                <c:pt idx="2">
                  <c:v>7.7235300000000002</c:v>
                </c:pt>
                <c:pt idx="3">
                  <c:v>11.94378</c:v>
                </c:pt>
                <c:pt idx="4">
                  <c:v>15.72776</c:v>
                </c:pt>
                <c:pt idx="5">
                  <c:v>19.80988</c:v>
                </c:pt>
                <c:pt idx="6">
                  <c:v>25.474330000000002</c:v>
                </c:pt>
              </c:numCache>
            </c:numRef>
          </c:val>
          <c:extLst>
            <c:ext xmlns:c16="http://schemas.microsoft.com/office/drawing/2014/chart" uri="{C3380CC4-5D6E-409C-BE32-E72D297353CC}">
              <c16:uniqueId val="{00000003-1A52-4C31-B693-3CB435F2A2F1}"/>
            </c:ext>
          </c:extLst>
        </c:ser>
        <c:ser>
          <c:idx val="4"/>
          <c:order val="4"/>
          <c:tx>
            <c:strRef>
              <c:f>'[3]2.6 Hydrogen'!$A$24</c:f>
              <c:strCache>
                <c:ptCount val="1"/>
                <c:pt idx="0">
                  <c:v>PGMs (other than iridum)</c:v>
                </c:pt>
              </c:strCache>
            </c:strRef>
          </c:tx>
          <c:spPr>
            <a:solidFill>
              <a:schemeClr val="accent5"/>
            </a:solidFill>
            <a:ln>
              <a:noFill/>
            </a:ln>
            <a:effectLst/>
          </c:spPr>
          <c:invertIfNegative val="0"/>
          <c:cat>
            <c:numRef>
              <c:f>'[3]2.6 Hydrogen'!$B$19:$H$19</c:f>
              <c:numCache>
                <c:formatCode>General</c:formatCode>
                <c:ptCount val="7"/>
                <c:pt idx="0">
                  <c:v>2022</c:v>
                </c:pt>
                <c:pt idx="1">
                  <c:v>2025</c:v>
                </c:pt>
                <c:pt idx="2">
                  <c:v>2030</c:v>
                </c:pt>
                <c:pt idx="3">
                  <c:v>2035</c:v>
                </c:pt>
                <c:pt idx="4">
                  <c:v>2040</c:v>
                </c:pt>
                <c:pt idx="5">
                  <c:v>2045</c:v>
                </c:pt>
                <c:pt idx="6">
                  <c:v>2050</c:v>
                </c:pt>
              </c:numCache>
            </c:numRef>
          </c:cat>
          <c:val>
            <c:numRef>
              <c:f>'[3]2.6 Hydrogen'!$B$24:$H$24</c:f>
              <c:numCache>
                <c:formatCode>General</c:formatCode>
                <c:ptCount val="7"/>
                <c:pt idx="0">
                  <c:v>1.15664E-3</c:v>
                </c:pt>
                <c:pt idx="1">
                  <c:v>2.6667700000000002E-3</c:v>
                </c:pt>
                <c:pt idx="2">
                  <c:v>8.8769399999999998E-3</c:v>
                </c:pt>
                <c:pt idx="3">
                  <c:v>1.882547E-2</c:v>
                </c:pt>
                <c:pt idx="4">
                  <c:v>3.2472970000000004E-2</c:v>
                </c:pt>
                <c:pt idx="5">
                  <c:v>4.8970369999999999E-2</c:v>
                </c:pt>
                <c:pt idx="6">
                  <c:v>6.9234169999999998E-2</c:v>
                </c:pt>
              </c:numCache>
            </c:numRef>
          </c:val>
          <c:extLst>
            <c:ext xmlns:c16="http://schemas.microsoft.com/office/drawing/2014/chart" uri="{C3380CC4-5D6E-409C-BE32-E72D297353CC}">
              <c16:uniqueId val="{00000004-1A52-4C31-B693-3CB435F2A2F1}"/>
            </c:ext>
          </c:extLst>
        </c:ser>
        <c:ser>
          <c:idx val="5"/>
          <c:order val="5"/>
          <c:tx>
            <c:strRef>
              <c:f>'[3]2.6 Hydrogen'!$A$25</c:f>
              <c:strCache>
                <c:ptCount val="1"/>
                <c:pt idx="0">
                  <c:v>Zirconium</c:v>
                </c:pt>
              </c:strCache>
            </c:strRef>
          </c:tx>
          <c:spPr>
            <a:solidFill>
              <a:schemeClr val="accent6"/>
            </a:solidFill>
            <a:ln>
              <a:noFill/>
            </a:ln>
            <a:effectLst/>
          </c:spPr>
          <c:invertIfNegative val="0"/>
          <c:cat>
            <c:numRef>
              <c:f>'[3]2.6 Hydrogen'!$B$19:$H$19</c:f>
              <c:numCache>
                <c:formatCode>General</c:formatCode>
                <c:ptCount val="7"/>
                <c:pt idx="0">
                  <c:v>2022</c:v>
                </c:pt>
                <c:pt idx="1">
                  <c:v>2025</c:v>
                </c:pt>
                <c:pt idx="2">
                  <c:v>2030</c:v>
                </c:pt>
                <c:pt idx="3">
                  <c:v>2035</c:v>
                </c:pt>
                <c:pt idx="4">
                  <c:v>2040</c:v>
                </c:pt>
                <c:pt idx="5">
                  <c:v>2045</c:v>
                </c:pt>
                <c:pt idx="6">
                  <c:v>2050</c:v>
                </c:pt>
              </c:numCache>
            </c:numRef>
          </c:cat>
          <c:val>
            <c:numRef>
              <c:f>'[3]2.6 Hydrogen'!$B$25:$H$25</c:f>
              <c:numCache>
                <c:formatCode>General</c:formatCode>
                <c:ptCount val="7"/>
                <c:pt idx="0">
                  <c:v>0.239703</c:v>
                </c:pt>
                <c:pt idx="1">
                  <c:v>0.329434</c:v>
                </c:pt>
                <c:pt idx="2">
                  <c:v>1.04827</c:v>
                </c:pt>
                <c:pt idx="3">
                  <c:v>1.6223640000000001</c:v>
                </c:pt>
                <c:pt idx="4">
                  <c:v>2.1382050000000001</c:v>
                </c:pt>
                <c:pt idx="5">
                  <c:v>2.6957760000000004</c:v>
                </c:pt>
                <c:pt idx="6">
                  <c:v>3.4708410000000005</c:v>
                </c:pt>
              </c:numCache>
            </c:numRef>
          </c:val>
          <c:extLst>
            <c:ext xmlns:c16="http://schemas.microsoft.com/office/drawing/2014/chart" uri="{C3380CC4-5D6E-409C-BE32-E72D297353CC}">
              <c16:uniqueId val="{00000005-1A52-4C31-B693-3CB435F2A2F1}"/>
            </c:ext>
          </c:extLst>
        </c:ser>
        <c:ser>
          <c:idx val="6"/>
          <c:order val="6"/>
          <c:tx>
            <c:strRef>
              <c:f>'[3]2.6 Hydrogen'!$A$26</c:f>
              <c:strCache>
                <c:ptCount val="1"/>
                <c:pt idx="0">
                  <c:v>Yttrium</c:v>
                </c:pt>
              </c:strCache>
            </c:strRef>
          </c:tx>
          <c:spPr>
            <a:solidFill>
              <a:schemeClr val="accent1">
                <a:lumMod val="60000"/>
              </a:schemeClr>
            </a:solidFill>
            <a:ln>
              <a:noFill/>
            </a:ln>
            <a:effectLst/>
          </c:spPr>
          <c:invertIfNegative val="0"/>
          <c:cat>
            <c:numRef>
              <c:f>'[3]2.6 Hydrogen'!$B$19:$H$19</c:f>
              <c:numCache>
                <c:formatCode>General</c:formatCode>
                <c:ptCount val="7"/>
                <c:pt idx="0">
                  <c:v>2022</c:v>
                </c:pt>
                <c:pt idx="1">
                  <c:v>2025</c:v>
                </c:pt>
                <c:pt idx="2">
                  <c:v>2030</c:v>
                </c:pt>
                <c:pt idx="3">
                  <c:v>2035</c:v>
                </c:pt>
                <c:pt idx="4">
                  <c:v>2040</c:v>
                </c:pt>
                <c:pt idx="5">
                  <c:v>2045</c:v>
                </c:pt>
                <c:pt idx="6">
                  <c:v>2050</c:v>
                </c:pt>
              </c:numCache>
            </c:numRef>
          </c:cat>
          <c:val>
            <c:numRef>
              <c:f>'[3]2.6 Hydrogen'!$B$26:$H$26</c:f>
              <c:numCache>
                <c:formatCode>General</c:formatCode>
                <c:ptCount val="7"/>
                <c:pt idx="0">
                  <c:v>0</c:v>
                </c:pt>
                <c:pt idx="1">
                  <c:v>0</c:v>
                </c:pt>
                <c:pt idx="2">
                  <c:v>0</c:v>
                </c:pt>
                <c:pt idx="3">
                  <c:v>1.8907599999999999E-4</c:v>
                </c:pt>
                <c:pt idx="4">
                  <c:v>4.2673099999999996E-4</c:v>
                </c:pt>
                <c:pt idx="5">
                  <c:v>6.2965799999999995E-4</c:v>
                </c:pt>
                <c:pt idx="6">
                  <c:v>6.2965799999999995E-4</c:v>
                </c:pt>
              </c:numCache>
            </c:numRef>
          </c:val>
          <c:extLst>
            <c:ext xmlns:c16="http://schemas.microsoft.com/office/drawing/2014/chart" uri="{C3380CC4-5D6E-409C-BE32-E72D297353CC}">
              <c16:uniqueId val="{00000006-1A52-4C31-B693-3CB435F2A2F1}"/>
            </c:ext>
          </c:extLst>
        </c:ser>
        <c:ser>
          <c:idx val="7"/>
          <c:order val="7"/>
          <c:tx>
            <c:strRef>
              <c:f>'[3]2.6 Hydrogen'!$A$27</c:f>
              <c:strCache>
                <c:ptCount val="1"/>
                <c:pt idx="0">
                  <c:v>Total hydrogen</c:v>
                </c:pt>
              </c:strCache>
            </c:strRef>
          </c:tx>
          <c:spPr>
            <a:solidFill>
              <a:schemeClr val="accent2">
                <a:lumMod val="60000"/>
              </a:schemeClr>
            </a:solidFill>
            <a:ln>
              <a:noFill/>
            </a:ln>
            <a:effectLst/>
          </c:spPr>
          <c:invertIfNegative val="0"/>
          <c:cat>
            <c:numRef>
              <c:f>'[3]2.6 Hydrogen'!$B$19:$H$19</c:f>
              <c:numCache>
                <c:formatCode>General</c:formatCode>
                <c:ptCount val="7"/>
                <c:pt idx="0">
                  <c:v>2022</c:v>
                </c:pt>
                <c:pt idx="1">
                  <c:v>2025</c:v>
                </c:pt>
                <c:pt idx="2">
                  <c:v>2030</c:v>
                </c:pt>
                <c:pt idx="3">
                  <c:v>2035</c:v>
                </c:pt>
                <c:pt idx="4">
                  <c:v>2040</c:v>
                </c:pt>
                <c:pt idx="5">
                  <c:v>2045</c:v>
                </c:pt>
                <c:pt idx="6">
                  <c:v>2050</c:v>
                </c:pt>
              </c:numCache>
            </c:numRef>
          </c:cat>
          <c:val>
            <c:numRef>
              <c:f>'[3]2.6 Hydrogen'!$B$27:$H$27</c:f>
              <c:numCache>
                <c:formatCode>General</c:formatCode>
                <c:ptCount val="7"/>
                <c:pt idx="0">
                  <c:v>2.0212149220000004</c:v>
                </c:pt>
                <c:pt idx="1">
                  <c:v>2.773809569</c:v>
                </c:pt>
                <c:pt idx="2">
                  <c:v>8.8160453270000012</c:v>
                </c:pt>
                <c:pt idx="3">
                  <c:v>13.634618710000002</c:v>
                </c:pt>
                <c:pt idx="4">
                  <c:v>17.958780404000002</c:v>
                </c:pt>
                <c:pt idx="5">
                  <c:v>22.627786704000002</c:v>
                </c:pt>
                <c:pt idx="6">
                  <c:v>29.107132716000002</c:v>
                </c:pt>
              </c:numCache>
            </c:numRef>
          </c:val>
          <c:extLst>
            <c:ext xmlns:c16="http://schemas.microsoft.com/office/drawing/2014/chart" uri="{C3380CC4-5D6E-409C-BE32-E72D297353CC}">
              <c16:uniqueId val="{00000007-1A52-4C31-B693-3CB435F2A2F1}"/>
            </c:ext>
          </c:extLst>
        </c:ser>
        <c:dLbls>
          <c:showLegendKey val="0"/>
          <c:showVal val="0"/>
          <c:showCatName val="0"/>
          <c:showSerName val="0"/>
          <c:showPercent val="0"/>
          <c:showBubbleSize val="0"/>
        </c:dLbls>
        <c:gapWidth val="150"/>
        <c:overlap val="100"/>
        <c:axId val="566530624"/>
        <c:axId val="566528104"/>
      </c:barChart>
      <c:catAx>
        <c:axId val="56653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28104"/>
        <c:crosses val="autoZero"/>
        <c:auto val="1"/>
        <c:lblAlgn val="ctr"/>
        <c:lblOffset val="100"/>
        <c:noMultiLvlLbl val="0"/>
      </c:catAx>
      <c:valAx>
        <c:axId val="56652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3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Announced policies 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'[3]2.6 Hydrogen'!$A$20</c:f>
              <c:strCache>
                <c:ptCount val="1"/>
                <c:pt idx="0">
                  <c:v>Copper</c:v>
                </c:pt>
              </c:strCache>
            </c:strRef>
          </c:tx>
          <c:spPr>
            <a:solidFill>
              <a:schemeClr val="accent1"/>
            </a:solidFill>
            <a:ln>
              <a:noFill/>
            </a:ln>
            <a:effectLst/>
          </c:spPr>
          <c:invertIfNegative val="0"/>
          <c:cat>
            <c:numRef>
              <c:f>('[3]2.6 Hydrogen'!$B$19,'[3]2.6 Hydrogen'!$I$19:$N$19)</c:f>
              <c:numCache>
                <c:formatCode>General</c:formatCode>
                <c:ptCount val="7"/>
                <c:pt idx="0">
                  <c:v>2022</c:v>
                </c:pt>
                <c:pt idx="1">
                  <c:v>2025</c:v>
                </c:pt>
                <c:pt idx="2">
                  <c:v>2030</c:v>
                </c:pt>
                <c:pt idx="3">
                  <c:v>2035</c:v>
                </c:pt>
                <c:pt idx="4">
                  <c:v>2040</c:v>
                </c:pt>
                <c:pt idx="5">
                  <c:v>2045</c:v>
                </c:pt>
                <c:pt idx="6">
                  <c:v>2050</c:v>
                </c:pt>
              </c:numCache>
            </c:numRef>
          </c:cat>
          <c:val>
            <c:numRef>
              <c:f>('[3]2.6 Hydrogen'!$B$20,'[3]2.6 Hydrogen'!$I$20:$N$20)</c:f>
              <c:numCache>
                <c:formatCode>General</c:formatCode>
                <c:ptCount val="7"/>
                <c:pt idx="0">
                  <c:v>3.1968700000000001E-3</c:v>
                </c:pt>
                <c:pt idx="1">
                  <c:v>3.0541499999999999E-2</c:v>
                </c:pt>
                <c:pt idx="2">
                  <c:v>8.7827999999999989E-2</c:v>
                </c:pt>
                <c:pt idx="3">
                  <c:v>0.15477749999999998</c:v>
                </c:pt>
                <c:pt idx="4">
                  <c:v>0.24044939999999998</c:v>
                </c:pt>
                <c:pt idx="5">
                  <c:v>0.34318939999999998</c:v>
                </c:pt>
                <c:pt idx="6">
                  <c:v>0.49934639999999997</c:v>
                </c:pt>
              </c:numCache>
            </c:numRef>
          </c:val>
          <c:extLst>
            <c:ext xmlns:c16="http://schemas.microsoft.com/office/drawing/2014/chart" uri="{C3380CC4-5D6E-409C-BE32-E72D297353CC}">
              <c16:uniqueId val="{00000000-1710-4CD7-9A7A-9D4F9D5B5F69}"/>
            </c:ext>
          </c:extLst>
        </c:ser>
        <c:ser>
          <c:idx val="1"/>
          <c:order val="1"/>
          <c:tx>
            <c:strRef>
              <c:f>'[3]2.6 Hydrogen'!$A$21</c:f>
              <c:strCache>
                <c:ptCount val="1"/>
                <c:pt idx="0">
                  <c:v>Cobalt</c:v>
                </c:pt>
              </c:strCache>
            </c:strRef>
          </c:tx>
          <c:spPr>
            <a:solidFill>
              <a:schemeClr val="accent2"/>
            </a:solidFill>
            <a:ln>
              <a:noFill/>
            </a:ln>
            <a:effectLst/>
          </c:spPr>
          <c:invertIfNegative val="0"/>
          <c:cat>
            <c:numRef>
              <c:f>('[3]2.6 Hydrogen'!$B$19,'[3]2.6 Hydrogen'!$I$19:$N$19)</c:f>
              <c:numCache>
                <c:formatCode>General</c:formatCode>
                <c:ptCount val="7"/>
                <c:pt idx="0">
                  <c:v>2022</c:v>
                </c:pt>
                <c:pt idx="1">
                  <c:v>2025</c:v>
                </c:pt>
                <c:pt idx="2">
                  <c:v>2030</c:v>
                </c:pt>
                <c:pt idx="3">
                  <c:v>2035</c:v>
                </c:pt>
                <c:pt idx="4">
                  <c:v>2040</c:v>
                </c:pt>
                <c:pt idx="5">
                  <c:v>2045</c:v>
                </c:pt>
                <c:pt idx="6">
                  <c:v>2050</c:v>
                </c:pt>
              </c:numCache>
            </c:numRef>
          </c:cat>
          <c:val>
            <c:numRef>
              <c:f>('[3]2.6 Hydrogen'!$B$21,'[3]2.6 Hydrogen'!$I$21:$N$21)</c:f>
              <c:numCache>
                <c:formatCode>General</c:formatCode>
                <c:ptCount val="7"/>
                <c:pt idx="0">
                  <c:v>1.07346E-2</c:v>
                </c:pt>
                <c:pt idx="1">
                  <c:v>8.1184900000000004E-2</c:v>
                </c:pt>
                <c:pt idx="2">
                  <c:v>0.19900689999999999</c:v>
                </c:pt>
                <c:pt idx="3">
                  <c:v>0.27452889999999996</c:v>
                </c:pt>
                <c:pt idx="4">
                  <c:v>0.31497689999999995</c:v>
                </c:pt>
                <c:pt idx="5">
                  <c:v>0.35609599999999997</c:v>
                </c:pt>
                <c:pt idx="6">
                  <c:v>0.4095702</c:v>
                </c:pt>
              </c:numCache>
            </c:numRef>
          </c:val>
          <c:extLst>
            <c:ext xmlns:c16="http://schemas.microsoft.com/office/drawing/2014/chart" uri="{C3380CC4-5D6E-409C-BE32-E72D297353CC}">
              <c16:uniqueId val="{00000001-1710-4CD7-9A7A-9D4F9D5B5F69}"/>
            </c:ext>
          </c:extLst>
        </c:ser>
        <c:ser>
          <c:idx val="2"/>
          <c:order val="2"/>
          <c:tx>
            <c:strRef>
              <c:f>'[3]2.6 Hydrogen'!$A$22</c:f>
              <c:strCache>
                <c:ptCount val="1"/>
                <c:pt idx="0">
                  <c:v>Iridium</c:v>
                </c:pt>
              </c:strCache>
            </c:strRef>
          </c:tx>
          <c:spPr>
            <a:solidFill>
              <a:schemeClr val="accent3"/>
            </a:solidFill>
            <a:ln>
              <a:noFill/>
            </a:ln>
            <a:effectLst/>
          </c:spPr>
          <c:invertIfNegative val="0"/>
          <c:cat>
            <c:numRef>
              <c:f>('[3]2.6 Hydrogen'!$B$19,'[3]2.6 Hydrogen'!$I$19:$N$19)</c:f>
              <c:numCache>
                <c:formatCode>General</c:formatCode>
                <c:ptCount val="7"/>
                <c:pt idx="0">
                  <c:v>2022</c:v>
                </c:pt>
                <c:pt idx="1">
                  <c:v>2025</c:v>
                </c:pt>
                <c:pt idx="2">
                  <c:v>2030</c:v>
                </c:pt>
                <c:pt idx="3">
                  <c:v>2035</c:v>
                </c:pt>
                <c:pt idx="4">
                  <c:v>2040</c:v>
                </c:pt>
                <c:pt idx="5">
                  <c:v>2045</c:v>
                </c:pt>
                <c:pt idx="6">
                  <c:v>2050</c:v>
                </c:pt>
              </c:numCache>
            </c:numRef>
          </c:cat>
          <c:val>
            <c:numRef>
              <c:f>('[3]2.6 Hydrogen'!$B$22,'[3]2.6 Hydrogen'!$I$22:$N$22)</c:f>
              <c:numCache>
                <c:formatCode>General</c:formatCode>
                <c:ptCount val="7"/>
                <c:pt idx="0">
                  <c:v>3.1381200000000001E-4</c:v>
                </c:pt>
                <c:pt idx="1">
                  <c:v>2.2220899999999999E-3</c:v>
                </c:pt>
                <c:pt idx="2">
                  <c:v>4.14651E-3</c:v>
                </c:pt>
                <c:pt idx="3">
                  <c:v>6.1134199999999996E-3</c:v>
                </c:pt>
                <c:pt idx="4">
                  <c:v>8.1533199999999986E-3</c:v>
                </c:pt>
                <c:pt idx="5">
                  <c:v>9.9338199999999995E-3</c:v>
                </c:pt>
                <c:pt idx="6">
                  <c:v>1.152771E-2</c:v>
                </c:pt>
              </c:numCache>
            </c:numRef>
          </c:val>
          <c:extLst>
            <c:ext xmlns:c16="http://schemas.microsoft.com/office/drawing/2014/chart" uri="{C3380CC4-5D6E-409C-BE32-E72D297353CC}">
              <c16:uniqueId val="{00000002-1710-4CD7-9A7A-9D4F9D5B5F69}"/>
            </c:ext>
          </c:extLst>
        </c:ser>
        <c:ser>
          <c:idx val="3"/>
          <c:order val="3"/>
          <c:tx>
            <c:strRef>
              <c:f>'[3]2.6 Hydrogen'!$A$23</c:f>
              <c:strCache>
                <c:ptCount val="1"/>
                <c:pt idx="0">
                  <c:v>Nickel</c:v>
                </c:pt>
              </c:strCache>
            </c:strRef>
          </c:tx>
          <c:spPr>
            <a:solidFill>
              <a:schemeClr val="accent4"/>
            </a:solidFill>
            <a:ln>
              <a:noFill/>
            </a:ln>
            <a:effectLst/>
          </c:spPr>
          <c:invertIfNegative val="0"/>
          <c:cat>
            <c:numRef>
              <c:f>('[3]2.6 Hydrogen'!$B$19,'[3]2.6 Hydrogen'!$I$19:$N$19)</c:f>
              <c:numCache>
                <c:formatCode>General</c:formatCode>
                <c:ptCount val="7"/>
                <c:pt idx="0">
                  <c:v>2022</c:v>
                </c:pt>
                <c:pt idx="1">
                  <c:v>2025</c:v>
                </c:pt>
                <c:pt idx="2">
                  <c:v>2030</c:v>
                </c:pt>
                <c:pt idx="3">
                  <c:v>2035</c:v>
                </c:pt>
                <c:pt idx="4">
                  <c:v>2040</c:v>
                </c:pt>
                <c:pt idx="5">
                  <c:v>2045</c:v>
                </c:pt>
                <c:pt idx="6">
                  <c:v>2050</c:v>
                </c:pt>
              </c:numCache>
            </c:numRef>
          </c:cat>
          <c:val>
            <c:numRef>
              <c:f>('[3]2.6 Hydrogen'!$B$23,'[3]2.6 Hydrogen'!$I$23:$N$23)</c:f>
              <c:numCache>
                <c:formatCode>General</c:formatCode>
                <c:ptCount val="7"/>
                <c:pt idx="0">
                  <c:v>1.7661100000000001</c:v>
                </c:pt>
                <c:pt idx="1">
                  <c:v>19.1023</c:v>
                </c:pt>
                <c:pt idx="2">
                  <c:v>63.986899999999999</c:v>
                </c:pt>
                <c:pt idx="3">
                  <c:v>107.24379999999999</c:v>
                </c:pt>
                <c:pt idx="4">
                  <c:v>153.62629999999999</c:v>
                </c:pt>
                <c:pt idx="5">
                  <c:v>200.75439999999998</c:v>
                </c:pt>
                <c:pt idx="6">
                  <c:v>261.9015</c:v>
                </c:pt>
              </c:numCache>
            </c:numRef>
          </c:val>
          <c:extLst>
            <c:ext xmlns:c16="http://schemas.microsoft.com/office/drawing/2014/chart" uri="{C3380CC4-5D6E-409C-BE32-E72D297353CC}">
              <c16:uniqueId val="{00000003-1710-4CD7-9A7A-9D4F9D5B5F69}"/>
            </c:ext>
          </c:extLst>
        </c:ser>
        <c:ser>
          <c:idx val="4"/>
          <c:order val="4"/>
          <c:tx>
            <c:strRef>
              <c:f>'[3]2.6 Hydrogen'!$A$24</c:f>
              <c:strCache>
                <c:ptCount val="1"/>
                <c:pt idx="0">
                  <c:v>PGMs (other than iridum)</c:v>
                </c:pt>
              </c:strCache>
            </c:strRef>
          </c:tx>
          <c:spPr>
            <a:solidFill>
              <a:schemeClr val="accent5"/>
            </a:solidFill>
            <a:ln>
              <a:noFill/>
            </a:ln>
            <a:effectLst/>
          </c:spPr>
          <c:invertIfNegative val="0"/>
          <c:cat>
            <c:numRef>
              <c:f>('[3]2.6 Hydrogen'!$B$19,'[3]2.6 Hydrogen'!$I$19:$N$19)</c:f>
              <c:numCache>
                <c:formatCode>General</c:formatCode>
                <c:ptCount val="7"/>
                <c:pt idx="0">
                  <c:v>2022</c:v>
                </c:pt>
                <c:pt idx="1">
                  <c:v>2025</c:v>
                </c:pt>
                <c:pt idx="2">
                  <c:v>2030</c:v>
                </c:pt>
                <c:pt idx="3">
                  <c:v>2035</c:v>
                </c:pt>
                <c:pt idx="4">
                  <c:v>2040</c:v>
                </c:pt>
                <c:pt idx="5">
                  <c:v>2045</c:v>
                </c:pt>
                <c:pt idx="6">
                  <c:v>2050</c:v>
                </c:pt>
              </c:numCache>
            </c:numRef>
          </c:cat>
          <c:val>
            <c:numRef>
              <c:f>('[3]2.6 Hydrogen'!$B$24,'[3]2.6 Hydrogen'!$I$24:$N$24)</c:f>
              <c:numCache>
                <c:formatCode>General</c:formatCode>
                <c:ptCount val="7"/>
                <c:pt idx="0">
                  <c:v>1.15664E-3</c:v>
                </c:pt>
                <c:pt idx="1">
                  <c:v>7.5250600000000001E-3</c:v>
                </c:pt>
                <c:pt idx="2">
                  <c:v>2.8396060000000001E-2</c:v>
                </c:pt>
                <c:pt idx="3">
                  <c:v>8.3105760000000001E-2</c:v>
                </c:pt>
                <c:pt idx="4">
                  <c:v>0.16461895999999998</c:v>
                </c:pt>
                <c:pt idx="5">
                  <c:v>0.25322716000000001</c:v>
                </c:pt>
                <c:pt idx="6">
                  <c:v>0.32957106000000003</c:v>
                </c:pt>
              </c:numCache>
            </c:numRef>
          </c:val>
          <c:extLst>
            <c:ext xmlns:c16="http://schemas.microsoft.com/office/drawing/2014/chart" uri="{C3380CC4-5D6E-409C-BE32-E72D297353CC}">
              <c16:uniqueId val="{00000004-1710-4CD7-9A7A-9D4F9D5B5F69}"/>
            </c:ext>
          </c:extLst>
        </c:ser>
        <c:ser>
          <c:idx val="5"/>
          <c:order val="5"/>
          <c:tx>
            <c:strRef>
              <c:f>'[3]2.6 Hydrogen'!$A$25</c:f>
              <c:strCache>
                <c:ptCount val="1"/>
                <c:pt idx="0">
                  <c:v>Zirconium</c:v>
                </c:pt>
              </c:strCache>
            </c:strRef>
          </c:tx>
          <c:spPr>
            <a:solidFill>
              <a:schemeClr val="accent6"/>
            </a:solidFill>
            <a:ln>
              <a:noFill/>
            </a:ln>
            <a:effectLst/>
          </c:spPr>
          <c:invertIfNegative val="0"/>
          <c:cat>
            <c:numRef>
              <c:f>('[3]2.6 Hydrogen'!$B$19,'[3]2.6 Hydrogen'!$I$19:$N$19)</c:f>
              <c:numCache>
                <c:formatCode>General</c:formatCode>
                <c:ptCount val="7"/>
                <c:pt idx="0">
                  <c:v>2022</c:v>
                </c:pt>
                <c:pt idx="1">
                  <c:v>2025</c:v>
                </c:pt>
                <c:pt idx="2">
                  <c:v>2030</c:v>
                </c:pt>
                <c:pt idx="3">
                  <c:v>2035</c:v>
                </c:pt>
                <c:pt idx="4">
                  <c:v>2040</c:v>
                </c:pt>
                <c:pt idx="5">
                  <c:v>2045</c:v>
                </c:pt>
                <c:pt idx="6">
                  <c:v>2050</c:v>
                </c:pt>
              </c:numCache>
            </c:numRef>
          </c:cat>
          <c:val>
            <c:numRef>
              <c:f>('[3]2.6 Hydrogen'!$B$25,'[3]2.6 Hydrogen'!$I$25:$N$25)</c:f>
              <c:numCache>
                <c:formatCode>General</c:formatCode>
                <c:ptCount val="7"/>
                <c:pt idx="0">
                  <c:v>0.239703</c:v>
                </c:pt>
                <c:pt idx="1">
                  <c:v>2.5926499999999999</c:v>
                </c:pt>
                <c:pt idx="2">
                  <c:v>8.6845700000000008</c:v>
                </c:pt>
                <c:pt idx="3">
                  <c:v>14.568940000000001</c:v>
                </c:pt>
                <c:pt idx="4">
                  <c:v>20.8919</c:v>
                </c:pt>
                <c:pt idx="5">
                  <c:v>27.329059999999998</c:v>
                </c:pt>
                <c:pt idx="6">
                  <c:v>35.695790000000002</c:v>
                </c:pt>
              </c:numCache>
            </c:numRef>
          </c:val>
          <c:extLst>
            <c:ext xmlns:c16="http://schemas.microsoft.com/office/drawing/2014/chart" uri="{C3380CC4-5D6E-409C-BE32-E72D297353CC}">
              <c16:uniqueId val="{00000005-1710-4CD7-9A7A-9D4F9D5B5F69}"/>
            </c:ext>
          </c:extLst>
        </c:ser>
        <c:ser>
          <c:idx val="6"/>
          <c:order val="6"/>
          <c:tx>
            <c:strRef>
              <c:f>'[3]2.6 Hydrogen'!$A$26</c:f>
              <c:strCache>
                <c:ptCount val="1"/>
                <c:pt idx="0">
                  <c:v>Yttrium</c:v>
                </c:pt>
              </c:strCache>
            </c:strRef>
          </c:tx>
          <c:spPr>
            <a:solidFill>
              <a:schemeClr val="accent1">
                <a:lumMod val="60000"/>
              </a:schemeClr>
            </a:solidFill>
            <a:ln>
              <a:noFill/>
            </a:ln>
            <a:effectLst/>
          </c:spPr>
          <c:invertIfNegative val="0"/>
          <c:cat>
            <c:numRef>
              <c:f>('[3]2.6 Hydrogen'!$B$19,'[3]2.6 Hydrogen'!$I$19:$N$19)</c:f>
              <c:numCache>
                <c:formatCode>General</c:formatCode>
                <c:ptCount val="7"/>
                <c:pt idx="0">
                  <c:v>2022</c:v>
                </c:pt>
                <c:pt idx="1">
                  <c:v>2025</c:v>
                </c:pt>
                <c:pt idx="2">
                  <c:v>2030</c:v>
                </c:pt>
                <c:pt idx="3">
                  <c:v>2035</c:v>
                </c:pt>
                <c:pt idx="4">
                  <c:v>2040</c:v>
                </c:pt>
                <c:pt idx="5">
                  <c:v>2045</c:v>
                </c:pt>
                <c:pt idx="6">
                  <c:v>2050</c:v>
                </c:pt>
              </c:numCache>
            </c:numRef>
          </c:cat>
          <c:val>
            <c:numRef>
              <c:f>('[3]2.6 Hydrogen'!$B$26,'[3]2.6 Hydrogen'!$I$26:$N$26)</c:f>
              <c:numCache>
                <c:formatCode>General</c:formatCode>
                <c:ptCount val="7"/>
                <c:pt idx="0">
                  <c:v>0</c:v>
                </c:pt>
                <c:pt idx="1">
                  <c:v>0</c:v>
                </c:pt>
                <c:pt idx="2">
                  <c:v>0</c:v>
                </c:pt>
                <c:pt idx="3">
                  <c:v>1.9380000000000001E-3</c:v>
                </c:pt>
                <c:pt idx="4">
                  <c:v>4.8510800000000007E-3</c:v>
                </c:pt>
                <c:pt idx="5">
                  <c:v>7.1938700000000006E-3</c:v>
                </c:pt>
                <c:pt idx="6">
                  <c:v>7.1938700000000006E-3</c:v>
                </c:pt>
              </c:numCache>
            </c:numRef>
          </c:val>
          <c:extLst>
            <c:ext xmlns:c16="http://schemas.microsoft.com/office/drawing/2014/chart" uri="{C3380CC4-5D6E-409C-BE32-E72D297353CC}">
              <c16:uniqueId val="{00000006-1710-4CD7-9A7A-9D4F9D5B5F69}"/>
            </c:ext>
          </c:extLst>
        </c:ser>
        <c:ser>
          <c:idx val="7"/>
          <c:order val="7"/>
          <c:tx>
            <c:strRef>
              <c:f>'[3]2.6 Hydrogen'!$A$27</c:f>
              <c:strCache>
                <c:ptCount val="1"/>
                <c:pt idx="0">
                  <c:v>Total hydrogen</c:v>
                </c:pt>
              </c:strCache>
            </c:strRef>
          </c:tx>
          <c:spPr>
            <a:solidFill>
              <a:schemeClr val="accent2">
                <a:lumMod val="60000"/>
              </a:schemeClr>
            </a:solidFill>
            <a:ln>
              <a:noFill/>
            </a:ln>
            <a:effectLst/>
          </c:spPr>
          <c:invertIfNegative val="0"/>
          <c:cat>
            <c:numRef>
              <c:f>('[3]2.6 Hydrogen'!$B$19,'[3]2.6 Hydrogen'!$I$19:$N$19)</c:f>
              <c:numCache>
                <c:formatCode>General</c:formatCode>
                <c:ptCount val="7"/>
                <c:pt idx="0">
                  <c:v>2022</c:v>
                </c:pt>
                <c:pt idx="1">
                  <c:v>2025</c:v>
                </c:pt>
                <c:pt idx="2">
                  <c:v>2030</c:v>
                </c:pt>
                <c:pt idx="3">
                  <c:v>2035</c:v>
                </c:pt>
                <c:pt idx="4">
                  <c:v>2040</c:v>
                </c:pt>
                <c:pt idx="5">
                  <c:v>2045</c:v>
                </c:pt>
                <c:pt idx="6">
                  <c:v>2050</c:v>
                </c:pt>
              </c:numCache>
            </c:numRef>
          </c:cat>
          <c:val>
            <c:numRef>
              <c:f>('[3]2.6 Hydrogen'!$B$27,'[3]2.6 Hydrogen'!$I$27:$N$27)</c:f>
              <c:numCache>
                <c:formatCode>General</c:formatCode>
                <c:ptCount val="7"/>
                <c:pt idx="0">
                  <c:v>2.0212149220000004</c:v>
                </c:pt>
                <c:pt idx="1">
                  <c:v>21.816423549999996</c:v>
                </c:pt>
                <c:pt idx="2">
                  <c:v>72.990847470000006</c:v>
                </c:pt>
                <c:pt idx="3">
                  <c:v>122.33320358</c:v>
                </c:pt>
                <c:pt idx="4">
                  <c:v>175.25124966000001</c:v>
                </c:pt>
                <c:pt idx="5">
                  <c:v>229.05310025000003</c:v>
                </c:pt>
                <c:pt idx="6">
                  <c:v>298.85449924</c:v>
                </c:pt>
              </c:numCache>
            </c:numRef>
          </c:val>
          <c:extLst>
            <c:ext xmlns:c16="http://schemas.microsoft.com/office/drawing/2014/chart" uri="{C3380CC4-5D6E-409C-BE32-E72D297353CC}">
              <c16:uniqueId val="{00000007-1710-4CD7-9A7A-9D4F9D5B5F69}"/>
            </c:ext>
          </c:extLst>
        </c:ser>
        <c:dLbls>
          <c:showLegendKey val="0"/>
          <c:showVal val="0"/>
          <c:showCatName val="0"/>
          <c:showSerName val="0"/>
          <c:showPercent val="0"/>
          <c:showBubbleSize val="0"/>
        </c:dLbls>
        <c:gapWidth val="150"/>
        <c:overlap val="100"/>
        <c:axId val="564800456"/>
        <c:axId val="564801536"/>
      </c:barChart>
      <c:catAx>
        <c:axId val="5648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01536"/>
        <c:crosses val="autoZero"/>
        <c:auto val="1"/>
        <c:lblAlgn val="ctr"/>
        <c:lblOffset val="100"/>
        <c:noMultiLvlLbl val="0"/>
      </c:catAx>
      <c:valAx>
        <c:axId val="56480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00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'[3]2.6 Hydrogen'!$A$20</c:f>
              <c:strCache>
                <c:ptCount val="1"/>
                <c:pt idx="0">
                  <c:v>Copper</c:v>
                </c:pt>
              </c:strCache>
            </c:strRef>
          </c:tx>
          <c:spPr>
            <a:solidFill>
              <a:schemeClr val="accent1"/>
            </a:solidFill>
            <a:ln>
              <a:noFill/>
            </a:ln>
            <a:effectLst/>
          </c:spPr>
          <c:invertIfNegative val="0"/>
          <c:cat>
            <c:numRef>
              <c:f>('[3]2.6 Hydrogen'!$B$19,'[3]2.6 Hydrogen'!$O$19:$T$19)</c:f>
              <c:numCache>
                <c:formatCode>General</c:formatCode>
                <c:ptCount val="7"/>
                <c:pt idx="0">
                  <c:v>2022</c:v>
                </c:pt>
                <c:pt idx="1">
                  <c:v>2025</c:v>
                </c:pt>
                <c:pt idx="2">
                  <c:v>2030</c:v>
                </c:pt>
                <c:pt idx="3">
                  <c:v>2035</c:v>
                </c:pt>
                <c:pt idx="4">
                  <c:v>2040</c:v>
                </c:pt>
                <c:pt idx="5">
                  <c:v>2045</c:v>
                </c:pt>
                <c:pt idx="6">
                  <c:v>2050</c:v>
                </c:pt>
              </c:numCache>
            </c:numRef>
          </c:cat>
          <c:val>
            <c:numRef>
              <c:f>('[3]2.6 Hydrogen'!$B$20,'[3]2.6 Hydrogen'!$O$20:$T$20)</c:f>
              <c:numCache>
                <c:formatCode>General</c:formatCode>
                <c:ptCount val="7"/>
                <c:pt idx="0">
                  <c:v>3.1968700000000001E-3</c:v>
                </c:pt>
                <c:pt idx="1">
                  <c:v>5.6843999999999999E-2</c:v>
                </c:pt>
                <c:pt idx="2">
                  <c:v>0.20371300000000001</c:v>
                </c:pt>
                <c:pt idx="3">
                  <c:v>0.38628099999999999</c:v>
                </c:pt>
                <c:pt idx="4">
                  <c:v>0.55740400000000001</c:v>
                </c:pt>
                <c:pt idx="5">
                  <c:v>0.69587399999999999</c:v>
                </c:pt>
                <c:pt idx="6">
                  <c:v>0.91742999999999997</c:v>
                </c:pt>
              </c:numCache>
            </c:numRef>
          </c:val>
          <c:extLst>
            <c:ext xmlns:c16="http://schemas.microsoft.com/office/drawing/2014/chart" uri="{C3380CC4-5D6E-409C-BE32-E72D297353CC}">
              <c16:uniqueId val="{00000000-ABBA-47E1-BBEC-83C4B7D77782}"/>
            </c:ext>
          </c:extLst>
        </c:ser>
        <c:ser>
          <c:idx val="1"/>
          <c:order val="1"/>
          <c:tx>
            <c:strRef>
              <c:f>'[3]2.6 Hydrogen'!$A$21</c:f>
              <c:strCache>
                <c:ptCount val="1"/>
                <c:pt idx="0">
                  <c:v>Cobalt</c:v>
                </c:pt>
              </c:strCache>
            </c:strRef>
          </c:tx>
          <c:spPr>
            <a:solidFill>
              <a:schemeClr val="accent2"/>
            </a:solidFill>
            <a:ln>
              <a:noFill/>
            </a:ln>
            <a:effectLst/>
          </c:spPr>
          <c:invertIfNegative val="0"/>
          <c:cat>
            <c:numRef>
              <c:f>('[3]2.6 Hydrogen'!$B$19,'[3]2.6 Hydrogen'!$O$19:$T$19)</c:f>
              <c:numCache>
                <c:formatCode>General</c:formatCode>
                <c:ptCount val="7"/>
                <c:pt idx="0">
                  <c:v>2022</c:v>
                </c:pt>
                <c:pt idx="1">
                  <c:v>2025</c:v>
                </c:pt>
                <c:pt idx="2">
                  <c:v>2030</c:v>
                </c:pt>
                <c:pt idx="3">
                  <c:v>2035</c:v>
                </c:pt>
                <c:pt idx="4">
                  <c:v>2040</c:v>
                </c:pt>
                <c:pt idx="5">
                  <c:v>2045</c:v>
                </c:pt>
                <c:pt idx="6">
                  <c:v>2050</c:v>
                </c:pt>
              </c:numCache>
            </c:numRef>
          </c:cat>
          <c:val>
            <c:numRef>
              <c:f>('[3]2.6 Hydrogen'!$B$21,'[3]2.6 Hydrogen'!$O$21:$T$21)</c:f>
              <c:numCache>
                <c:formatCode>General</c:formatCode>
                <c:ptCount val="7"/>
                <c:pt idx="0">
                  <c:v>1.07346E-2</c:v>
                </c:pt>
                <c:pt idx="1">
                  <c:v>0.15110100000000001</c:v>
                </c:pt>
                <c:pt idx="2">
                  <c:v>0.45316800000000002</c:v>
                </c:pt>
                <c:pt idx="3">
                  <c:v>0.65911300000000006</c:v>
                </c:pt>
                <c:pt idx="4">
                  <c:v>0.73990490000000009</c:v>
                </c:pt>
                <c:pt idx="5">
                  <c:v>0.79532400000000014</c:v>
                </c:pt>
                <c:pt idx="6">
                  <c:v>0.87119300000000011</c:v>
                </c:pt>
              </c:numCache>
            </c:numRef>
          </c:val>
          <c:extLst>
            <c:ext xmlns:c16="http://schemas.microsoft.com/office/drawing/2014/chart" uri="{C3380CC4-5D6E-409C-BE32-E72D297353CC}">
              <c16:uniqueId val="{00000001-ABBA-47E1-BBEC-83C4B7D77782}"/>
            </c:ext>
          </c:extLst>
        </c:ser>
        <c:ser>
          <c:idx val="2"/>
          <c:order val="2"/>
          <c:tx>
            <c:strRef>
              <c:f>'[3]2.6 Hydrogen'!$A$22</c:f>
              <c:strCache>
                <c:ptCount val="1"/>
                <c:pt idx="0">
                  <c:v>Iridium</c:v>
                </c:pt>
              </c:strCache>
            </c:strRef>
          </c:tx>
          <c:spPr>
            <a:solidFill>
              <a:schemeClr val="accent3"/>
            </a:solidFill>
            <a:ln>
              <a:noFill/>
            </a:ln>
            <a:effectLst/>
          </c:spPr>
          <c:invertIfNegative val="0"/>
          <c:cat>
            <c:numRef>
              <c:f>('[3]2.6 Hydrogen'!$B$19,'[3]2.6 Hydrogen'!$O$19:$T$19)</c:f>
              <c:numCache>
                <c:formatCode>General</c:formatCode>
                <c:ptCount val="7"/>
                <c:pt idx="0">
                  <c:v>2022</c:v>
                </c:pt>
                <c:pt idx="1">
                  <c:v>2025</c:v>
                </c:pt>
                <c:pt idx="2">
                  <c:v>2030</c:v>
                </c:pt>
                <c:pt idx="3">
                  <c:v>2035</c:v>
                </c:pt>
                <c:pt idx="4">
                  <c:v>2040</c:v>
                </c:pt>
                <c:pt idx="5">
                  <c:v>2045</c:v>
                </c:pt>
                <c:pt idx="6">
                  <c:v>2050</c:v>
                </c:pt>
              </c:numCache>
            </c:numRef>
          </c:cat>
          <c:val>
            <c:numRef>
              <c:f>('[3]2.6 Hydrogen'!$B$22,'[3]2.6 Hydrogen'!$O$22:$T$22)</c:f>
              <c:numCache>
                <c:formatCode>General</c:formatCode>
                <c:ptCount val="7"/>
                <c:pt idx="0">
                  <c:v>3.1381200000000001E-4</c:v>
                </c:pt>
                <c:pt idx="1">
                  <c:v>4.1357599999999996E-3</c:v>
                </c:pt>
                <c:pt idx="2">
                  <c:v>9.0694999999999994E-3</c:v>
                </c:pt>
                <c:pt idx="3">
                  <c:v>1.443318E-2</c:v>
                </c:pt>
                <c:pt idx="4">
                  <c:v>1.850773E-2</c:v>
                </c:pt>
                <c:pt idx="5">
                  <c:v>2.0907439999999999E-2</c:v>
                </c:pt>
                <c:pt idx="6">
                  <c:v>2.316884E-2</c:v>
                </c:pt>
              </c:numCache>
            </c:numRef>
          </c:val>
          <c:extLst>
            <c:ext xmlns:c16="http://schemas.microsoft.com/office/drawing/2014/chart" uri="{C3380CC4-5D6E-409C-BE32-E72D297353CC}">
              <c16:uniqueId val="{00000002-ABBA-47E1-BBEC-83C4B7D77782}"/>
            </c:ext>
          </c:extLst>
        </c:ser>
        <c:ser>
          <c:idx val="3"/>
          <c:order val="3"/>
          <c:tx>
            <c:strRef>
              <c:f>'[3]2.6 Hydrogen'!$A$23</c:f>
              <c:strCache>
                <c:ptCount val="1"/>
                <c:pt idx="0">
                  <c:v>Nickel</c:v>
                </c:pt>
              </c:strCache>
            </c:strRef>
          </c:tx>
          <c:spPr>
            <a:solidFill>
              <a:schemeClr val="accent4"/>
            </a:solidFill>
            <a:ln>
              <a:noFill/>
            </a:ln>
            <a:effectLst/>
          </c:spPr>
          <c:invertIfNegative val="0"/>
          <c:cat>
            <c:numRef>
              <c:f>('[3]2.6 Hydrogen'!$B$19,'[3]2.6 Hydrogen'!$O$19:$T$19)</c:f>
              <c:numCache>
                <c:formatCode>General</c:formatCode>
                <c:ptCount val="7"/>
                <c:pt idx="0">
                  <c:v>2022</c:v>
                </c:pt>
                <c:pt idx="1">
                  <c:v>2025</c:v>
                </c:pt>
                <c:pt idx="2">
                  <c:v>2030</c:v>
                </c:pt>
                <c:pt idx="3">
                  <c:v>2035</c:v>
                </c:pt>
                <c:pt idx="4">
                  <c:v>2040</c:v>
                </c:pt>
                <c:pt idx="5">
                  <c:v>2045</c:v>
                </c:pt>
                <c:pt idx="6">
                  <c:v>2050</c:v>
                </c:pt>
              </c:numCache>
            </c:numRef>
          </c:cat>
          <c:val>
            <c:numRef>
              <c:f>('[3]2.6 Hydrogen'!$B$23,'[3]2.6 Hydrogen'!$O$23:$T$23)</c:f>
              <c:numCache>
                <c:formatCode>General</c:formatCode>
                <c:ptCount val="7"/>
                <c:pt idx="0">
                  <c:v>1.7661100000000001</c:v>
                </c:pt>
                <c:pt idx="1">
                  <c:v>35.5533</c:v>
                </c:pt>
                <c:pt idx="2">
                  <c:v>150.62629999999999</c:v>
                </c:pt>
                <c:pt idx="3">
                  <c:v>268.58529999999996</c:v>
                </c:pt>
                <c:pt idx="4">
                  <c:v>361.23099999999999</c:v>
                </c:pt>
                <c:pt idx="5">
                  <c:v>424.74889999999999</c:v>
                </c:pt>
                <c:pt idx="6">
                  <c:v>511.50419999999997</c:v>
                </c:pt>
              </c:numCache>
            </c:numRef>
          </c:val>
          <c:extLst>
            <c:ext xmlns:c16="http://schemas.microsoft.com/office/drawing/2014/chart" uri="{C3380CC4-5D6E-409C-BE32-E72D297353CC}">
              <c16:uniqueId val="{00000003-ABBA-47E1-BBEC-83C4B7D77782}"/>
            </c:ext>
          </c:extLst>
        </c:ser>
        <c:ser>
          <c:idx val="4"/>
          <c:order val="4"/>
          <c:tx>
            <c:strRef>
              <c:f>'[3]2.6 Hydrogen'!$A$24</c:f>
              <c:strCache>
                <c:ptCount val="1"/>
                <c:pt idx="0">
                  <c:v>PGMs (other than iridum)</c:v>
                </c:pt>
              </c:strCache>
            </c:strRef>
          </c:tx>
          <c:spPr>
            <a:solidFill>
              <a:schemeClr val="accent5"/>
            </a:solidFill>
            <a:ln>
              <a:noFill/>
            </a:ln>
            <a:effectLst/>
          </c:spPr>
          <c:invertIfNegative val="0"/>
          <c:cat>
            <c:numRef>
              <c:f>('[3]2.6 Hydrogen'!$B$19,'[3]2.6 Hydrogen'!$O$19:$T$19)</c:f>
              <c:numCache>
                <c:formatCode>General</c:formatCode>
                <c:ptCount val="7"/>
                <c:pt idx="0">
                  <c:v>2022</c:v>
                </c:pt>
                <c:pt idx="1">
                  <c:v>2025</c:v>
                </c:pt>
                <c:pt idx="2">
                  <c:v>2030</c:v>
                </c:pt>
                <c:pt idx="3">
                  <c:v>2035</c:v>
                </c:pt>
                <c:pt idx="4">
                  <c:v>2040</c:v>
                </c:pt>
                <c:pt idx="5">
                  <c:v>2045</c:v>
                </c:pt>
                <c:pt idx="6">
                  <c:v>2050</c:v>
                </c:pt>
              </c:numCache>
            </c:numRef>
          </c:cat>
          <c:val>
            <c:numRef>
              <c:f>('[3]2.6 Hydrogen'!$B$24,'[3]2.6 Hydrogen'!$O$24:$T$24)</c:f>
              <c:numCache>
                <c:formatCode>General</c:formatCode>
                <c:ptCount val="7"/>
                <c:pt idx="0">
                  <c:v>1.15664E-3</c:v>
                </c:pt>
                <c:pt idx="1">
                  <c:v>2.5077599999999999E-2</c:v>
                </c:pt>
                <c:pt idx="2">
                  <c:v>0.10416110000000001</c:v>
                </c:pt>
                <c:pt idx="3">
                  <c:v>0.26442110000000002</c:v>
                </c:pt>
                <c:pt idx="4">
                  <c:v>0.45948010000000006</c:v>
                </c:pt>
                <c:pt idx="5">
                  <c:v>0.64421610000000007</c:v>
                </c:pt>
                <c:pt idx="6">
                  <c:v>0.78242310000000004</c:v>
                </c:pt>
              </c:numCache>
            </c:numRef>
          </c:val>
          <c:extLst>
            <c:ext xmlns:c16="http://schemas.microsoft.com/office/drawing/2014/chart" uri="{C3380CC4-5D6E-409C-BE32-E72D297353CC}">
              <c16:uniqueId val="{00000004-ABBA-47E1-BBEC-83C4B7D77782}"/>
            </c:ext>
          </c:extLst>
        </c:ser>
        <c:ser>
          <c:idx val="5"/>
          <c:order val="5"/>
          <c:tx>
            <c:strRef>
              <c:f>'[3]2.6 Hydrogen'!$A$25</c:f>
              <c:strCache>
                <c:ptCount val="1"/>
                <c:pt idx="0">
                  <c:v>Zirconium</c:v>
                </c:pt>
              </c:strCache>
            </c:strRef>
          </c:tx>
          <c:spPr>
            <a:solidFill>
              <a:schemeClr val="accent6"/>
            </a:solidFill>
            <a:ln>
              <a:noFill/>
            </a:ln>
            <a:effectLst/>
          </c:spPr>
          <c:invertIfNegative val="0"/>
          <c:cat>
            <c:numRef>
              <c:f>('[3]2.6 Hydrogen'!$B$19,'[3]2.6 Hydrogen'!$O$19:$T$19)</c:f>
              <c:numCache>
                <c:formatCode>General</c:formatCode>
                <c:ptCount val="7"/>
                <c:pt idx="0">
                  <c:v>2022</c:v>
                </c:pt>
                <c:pt idx="1">
                  <c:v>2025</c:v>
                </c:pt>
                <c:pt idx="2">
                  <c:v>2030</c:v>
                </c:pt>
                <c:pt idx="3">
                  <c:v>2035</c:v>
                </c:pt>
                <c:pt idx="4">
                  <c:v>2040</c:v>
                </c:pt>
                <c:pt idx="5">
                  <c:v>2045</c:v>
                </c:pt>
                <c:pt idx="6">
                  <c:v>2050</c:v>
                </c:pt>
              </c:numCache>
            </c:numRef>
          </c:cat>
          <c:val>
            <c:numRef>
              <c:f>('[3]2.6 Hydrogen'!$B$25,'[3]2.6 Hydrogen'!$O$25:$T$25)</c:f>
              <c:numCache>
                <c:formatCode>General</c:formatCode>
                <c:ptCount val="7"/>
                <c:pt idx="0">
                  <c:v>0.239703</c:v>
                </c:pt>
                <c:pt idx="1">
                  <c:v>4.8254400000000004</c:v>
                </c:pt>
                <c:pt idx="2">
                  <c:v>20.443640000000002</c:v>
                </c:pt>
                <c:pt idx="3">
                  <c:v>36.49004</c:v>
                </c:pt>
                <c:pt idx="4">
                  <c:v>49.11974</c:v>
                </c:pt>
                <c:pt idx="5">
                  <c:v>57.795560000000002</c:v>
                </c:pt>
                <c:pt idx="6">
                  <c:v>69.666259999999994</c:v>
                </c:pt>
              </c:numCache>
            </c:numRef>
          </c:val>
          <c:extLst>
            <c:ext xmlns:c16="http://schemas.microsoft.com/office/drawing/2014/chart" uri="{C3380CC4-5D6E-409C-BE32-E72D297353CC}">
              <c16:uniqueId val="{00000005-ABBA-47E1-BBEC-83C4B7D77782}"/>
            </c:ext>
          </c:extLst>
        </c:ser>
        <c:ser>
          <c:idx val="6"/>
          <c:order val="6"/>
          <c:tx>
            <c:strRef>
              <c:f>'[3]2.6 Hydrogen'!$A$26</c:f>
              <c:strCache>
                <c:ptCount val="1"/>
                <c:pt idx="0">
                  <c:v>Yttrium</c:v>
                </c:pt>
              </c:strCache>
            </c:strRef>
          </c:tx>
          <c:spPr>
            <a:solidFill>
              <a:schemeClr val="accent1">
                <a:lumMod val="60000"/>
              </a:schemeClr>
            </a:solidFill>
            <a:ln>
              <a:noFill/>
            </a:ln>
            <a:effectLst/>
          </c:spPr>
          <c:invertIfNegative val="0"/>
          <c:cat>
            <c:numRef>
              <c:f>('[3]2.6 Hydrogen'!$B$19,'[3]2.6 Hydrogen'!$O$19:$T$19)</c:f>
              <c:numCache>
                <c:formatCode>General</c:formatCode>
                <c:ptCount val="7"/>
                <c:pt idx="0">
                  <c:v>2022</c:v>
                </c:pt>
                <c:pt idx="1">
                  <c:v>2025</c:v>
                </c:pt>
                <c:pt idx="2">
                  <c:v>2030</c:v>
                </c:pt>
                <c:pt idx="3">
                  <c:v>2035</c:v>
                </c:pt>
                <c:pt idx="4">
                  <c:v>2040</c:v>
                </c:pt>
                <c:pt idx="5">
                  <c:v>2045</c:v>
                </c:pt>
                <c:pt idx="6">
                  <c:v>2050</c:v>
                </c:pt>
              </c:numCache>
            </c:numRef>
          </c:cat>
          <c:val>
            <c:numRef>
              <c:f>('[3]2.6 Hydrogen'!$B$26,'[3]2.6 Hydrogen'!$O$26:$T$26)</c:f>
              <c:numCache>
                <c:formatCode>General</c:formatCode>
                <c:ptCount val="7"/>
                <c:pt idx="0">
                  <c:v>0</c:v>
                </c:pt>
                <c:pt idx="1">
                  <c:v>0</c:v>
                </c:pt>
                <c:pt idx="2">
                  <c:v>0</c:v>
                </c:pt>
                <c:pt idx="3">
                  <c:v>5.28482E-3</c:v>
                </c:pt>
                <c:pt idx="4">
                  <c:v>1.1103479999999999E-2</c:v>
                </c:pt>
                <c:pt idx="5">
                  <c:v>1.4261029999999999E-2</c:v>
                </c:pt>
                <c:pt idx="6">
                  <c:v>1.4261029999999999E-2</c:v>
                </c:pt>
              </c:numCache>
            </c:numRef>
          </c:val>
          <c:extLst>
            <c:ext xmlns:c16="http://schemas.microsoft.com/office/drawing/2014/chart" uri="{C3380CC4-5D6E-409C-BE32-E72D297353CC}">
              <c16:uniqueId val="{00000006-ABBA-47E1-BBEC-83C4B7D77782}"/>
            </c:ext>
          </c:extLst>
        </c:ser>
        <c:ser>
          <c:idx val="7"/>
          <c:order val="7"/>
          <c:tx>
            <c:strRef>
              <c:f>'[3]2.6 Hydrogen'!$A$27</c:f>
              <c:strCache>
                <c:ptCount val="1"/>
                <c:pt idx="0">
                  <c:v>Total hydrogen</c:v>
                </c:pt>
              </c:strCache>
            </c:strRef>
          </c:tx>
          <c:spPr>
            <a:solidFill>
              <a:schemeClr val="accent2">
                <a:lumMod val="60000"/>
              </a:schemeClr>
            </a:solidFill>
            <a:ln>
              <a:noFill/>
            </a:ln>
            <a:effectLst/>
          </c:spPr>
          <c:invertIfNegative val="0"/>
          <c:cat>
            <c:numRef>
              <c:f>('[3]2.6 Hydrogen'!$B$19,'[3]2.6 Hydrogen'!$O$19:$T$19)</c:f>
              <c:numCache>
                <c:formatCode>General</c:formatCode>
                <c:ptCount val="7"/>
                <c:pt idx="0">
                  <c:v>2022</c:v>
                </c:pt>
                <c:pt idx="1">
                  <c:v>2025</c:v>
                </c:pt>
                <c:pt idx="2">
                  <c:v>2030</c:v>
                </c:pt>
                <c:pt idx="3">
                  <c:v>2035</c:v>
                </c:pt>
                <c:pt idx="4">
                  <c:v>2040</c:v>
                </c:pt>
                <c:pt idx="5">
                  <c:v>2045</c:v>
                </c:pt>
                <c:pt idx="6">
                  <c:v>2050</c:v>
                </c:pt>
              </c:numCache>
            </c:numRef>
          </c:cat>
          <c:val>
            <c:numRef>
              <c:f>('[3]2.6 Hydrogen'!$B$27,'[3]2.6 Hydrogen'!$O$27:$T$27)</c:f>
              <c:numCache>
                <c:formatCode>General</c:formatCode>
                <c:ptCount val="7"/>
                <c:pt idx="0">
                  <c:v>2.0212149220000004</c:v>
                </c:pt>
                <c:pt idx="1">
                  <c:v>40.615898360000003</c:v>
                </c:pt>
                <c:pt idx="2">
                  <c:v>171.84005159999998</c:v>
                </c:pt>
                <c:pt idx="3">
                  <c:v>306.40487310000003</c:v>
                </c:pt>
                <c:pt idx="4">
                  <c:v>412.13714021000004</c:v>
                </c:pt>
                <c:pt idx="5">
                  <c:v>484.71504257000004</c:v>
                </c:pt>
                <c:pt idx="6">
                  <c:v>583.77893597000002</c:v>
                </c:pt>
              </c:numCache>
            </c:numRef>
          </c:val>
          <c:extLst>
            <c:ext xmlns:c16="http://schemas.microsoft.com/office/drawing/2014/chart" uri="{C3380CC4-5D6E-409C-BE32-E72D297353CC}">
              <c16:uniqueId val="{00000007-ABBA-47E1-BBEC-83C4B7D77782}"/>
            </c:ext>
          </c:extLst>
        </c:ser>
        <c:dLbls>
          <c:showLegendKey val="0"/>
          <c:showVal val="0"/>
          <c:showCatName val="0"/>
          <c:showSerName val="0"/>
          <c:showPercent val="0"/>
          <c:showBubbleSize val="0"/>
        </c:dLbls>
        <c:gapWidth val="150"/>
        <c:axId val="612689264"/>
        <c:axId val="612689624"/>
      </c:barChart>
      <c:catAx>
        <c:axId val="61268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9624"/>
        <c:crosses val="autoZero"/>
        <c:auto val="1"/>
        <c:lblAlgn val="ctr"/>
        <c:lblOffset val="100"/>
        <c:noMultiLvlLbl val="0"/>
      </c:catAx>
      <c:valAx>
        <c:axId val="612689624"/>
        <c:scaling>
          <c:orientation val="minMax"/>
          <c:max val="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lineChart>
        <c:grouping val="standard"/>
        <c:varyColors val="0"/>
        <c:ser>
          <c:idx val="0"/>
          <c:order val="0"/>
          <c:tx>
            <c:strRef>
              <c:f>'IX HypeData'!$H$2</c:f>
              <c:strCache>
                <c:ptCount val="1"/>
                <c:pt idx="0">
                  <c:v>Scholarly works</c:v>
                </c:pt>
              </c:strCache>
            </c:strRef>
          </c:tx>
          <c:spPr>
            <a:ln w="28575" cap="rnd">
              <a:solidFill>
                <a:srgbClr val="7030A0"/>
              </a:solidFill>
              <a:round/>
            </a:ln>
            <a:effectLst/>
          </c:spPr>
          <c:marker>
            <c:symbol val="none"/>
          </c:marker>
          <c:dLbls>
            <c:dLbl>
              <c:idx val="16"/>
              <c:layout>
                <c:manualLayout>
                  <c:x val="-0.13355524156483231"/>
                  <c:y val="2.3109866184169828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D978-4F94-9D0F-A5B66C4169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'IX HypeData'!$B$56:$B$72</c:f>
              <c:numCache>
                <c:formatCode>General</c:formatCod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numCache>
            </c:numRef>
          </c:cat>
          <c:val>
            <c:numRef>
              <c:f>'IX HypeData'!$H$56:$H$72</c:f>
              <c:numCache>
                <c:formatCode>General</c:formatCode>
                <c:ptCount val="17"/>
                <c:pt idx="0">
                  <c:v>70</c:v>
                </c:pt>
                <c:pt idx="1">
                  <c:v>68</c:v>
                </c:pt>
                <c:pt idx="2">
                  <c:v>78</c:v>
                </c:pt>
                <c:pt idx="3">
                  <c:v>91</c:v>
                </c:pt>
                <c:pt idx="4">
                  <c:v>97</c:v>
                </c:pt>
                <c:pt idx="5">
                  <c:v>109</c:v>
                </c:pt>
                <c:pt idx="6">
                  <c:v>144</c:v>
                </c:pt>
                <c:pt idx="7">
                  <c:v>162</c:v>
                </c:pt>
                <c:pt idx="8">
                  <c:v>192</c:v>
                </c:pt>
                <c:pt idx="9">
                  <c:v>224</c:v>
                </c:pt>
                <c:pt idx="10">
                  <c:v>267</c:v>
                </c:pt>
                <c:pt idx="11">
                  <c:v>304</c:v>
                </c:pt>
                <c:pt idx="12">
                  <c:v>453</c:v>
                </c:pt>
                <c:pt idx="13">
                  <c:v>770</c:v>
                </c:pt>
                <c:pt idx="14">
                  <c:v>1244</c:v>
                </c:pt>
                <c:pt idx="15">
                  <c:v>2081</c:v>
                </c:pt>
                <c:pt idx="16">
                  <c:v>2992</c:v>
                </c:pt>
              </c:numCache>
            </c:numRef>
          </c:val>
          <c:smooth val="0"/>
          <c:extLst>
            <c:ext xmlns:c16="http://schemas.microsoft.com/office/drawing/2014/chart" uri="{C3380CC4-5D6E-409C-BE32-E72D297353CC}">
              <c16:uniqueId val="{00000000-6420-4A81-8616-A5458EC78666}"/>
            </c:ext>
          </c:extLst>
        </c:ser>
        <c:ser>
          <c:idx val="1"/>
          <c:order val="1"/>
          <c:tx>
            <c:strRef>
              <c:f>'IX HypeData'!$I$2</c:f>
              <c:strCache>
                <c:ptCount val="1"/>
                <c:pt idx="0">
                  <c:v>Patent documents</c:v>
                </c:pt>
              </c:strCache>
            </c:strRef>
          </c:tx>
          <c:spPr>
            <a:ln w="28575" cap="rnd">
              <a:solidFill>
                <a:srgbClr val="BC8EDE"/>
              </a:solidFill>
              <a:prstDash val="dash"/>
              <a:round/>
            </a:ln>
            <a:effectLst/>
          </c:spPr>
          <c:marker>
            <c:symbol val="none"/>
          </c:marker>
          <c:dLbls>
            <c:dLbl>
              <c:idx val="16"/>
              <c:layout>
                <c:manualLayout>
                  <c:x val="-0.21018529820039183"/>
                  <c:y val="-5.777466546042466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D978-4F94-9D0F-A5B66C4169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6350" cap="flat" cmpd="sng" algn="ctr">
                      <a:solidFill>
                        <a:schemeClr val="dk1"/>
                      </a:solidFill>
                      <a:prstDash val="solid"/>
                      <a:miter lim="800000"/>
                    </a:ln>
                    <a:effectLst/>
                  </c:spPr>
                </c15:leaderLines>
              </c:ext>
            </c:extLst>
          </c:dLbls>
          <c:cat>
            <c:numRef>
              <c:f>'IX HypeData'!$B$56:$B$72</c:f>
              <c:numCache>
                <c:formatCode>General</c:formatCod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numCache>
            </c:numRef>
          </c:cat>
          <c:val>
            <c:numRef>
              <c:f>'IX HypeData'!$I$56:$I$72</c:f>
              <c:numCache>
                <c:formatCode>General</c:formatCode>
                <c:ptCount val="17"/>
                <c:pt idx="0">
                  <c:v>75</c:v>
                </c:pt>
                <c:pt idx="1">
                  <c:v>112</c:v>
                </c:pt>
                <c:pt idx="2">
                  <c:v>233</c:v>
                </c:pt>
                <c:pt idx="3">
                  <c:v>287</c:v>
                </c:pt>
                <c:pt idx="4">
                  <c:v>387</c:v>
                </c:pt>
                <c:pt idx="5">
                  <c:v>416</c:v>
                </c:pt>
                <c:pt idx="6">
                  <c:v>501</c:v>
                </c:pt>
                <c:pt idx="7">
                  <c:v>517</c:v>
                </c:pt>
                <c:pt idx="8">
                  <c:v>486</c:v>
                </c:pt>
                <c:pt idx="9">
                  <c:v>493</c:v>
                </c:pt>
                <c:pt idx="10">
                  <c:v>411</c:v>
                </c:pt>
                <c:pt idx="11">
                  <c:v>429</c:v>
                </c:pt>
                <c:pt idx="12">
                  <c:v>399</c:v>
                </c:pt>
                <c:pt idx="13">
                  <c:v>376</c:v>
                </c:pt>
                <c:pt idx="14">
                  <c:v>494</c:v>
                </c:pt>
                <c:pt idx="15">
                  <c:v>739</c:v>
                </c:pt>
                <c:pt idx="16">
                  <c:v>1124</c:v>
                </c:pt>
              </c:numCache>
            </c:numRef>
          </c:val>
          <c:smooth val="0"/>
          <c:extLst>
            <c:ext xmlns:c16="http://schemas.microsoft.com/office/drawing/2014/chart" uri="{C3380CC4-5D6E-409C-BE32-E72D297353CC}">
              <c16:uniqueId val="{00000001-6420-4A81-8616-A5458EC78666}"/>
            </c:ext>
          </c:extLst>
        </c:ser>
        <c:dLbls>
          <c:showLegendKey val="0"/>
          <c:showVal val="0"/>
          <c:showCatName val="0"/>
          <c:showSerName val="0"/>
          <c:showPercent val="0"/>
          <c:showBubbleSize val="0"/>
        </c:dLbls>
        <c:smooth val="0"/>
        <c:axId val="1040649496"/>
        <c:axId val="1040648056"/>
      </c:lineChart>
      <c:catAx>
        <c:axId val="10406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48056"/>
        <c:crosses val="autoZero"/>
        <c:auto val="0"/>
        <c:lblAlgn val="ctr"/>
        <c:lblOffset val="100"/>
        <c:tickLblSkip val="2"/>
        <c:noMultiLvlLbl val="0"/>
      </c:catAx>
      <c:valAx>
        <c:axId val="1040648056"/>
        <c:scaling>
          <c:orientation val="minMax"/>
          <c:max val="3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Query matches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49496"/>
        <c:crossesAt val="1"/>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Superimposed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'IX HypeData'!$B$56:$B$72</c:f>
              <c:numCache>
                <c:formatCode>General</c:formatCode>
                <c:ptCount val="17"/>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numCache>
            </c:numRef>
          </c:xVal>
          <c:yVal>
            <c:numRef>
              <c:f>'IX HypeData'!$E$56:$E$72</c:f>
              <c:numCache>
                <c:formatCode>General</c:formatCode>
                <c:ptCount val="17"/>
                <c:pt idx="0">
                  <c:v>145</c:v>
                </c:pt>
                <c:pt idx="1">
                  <c:v>180</c:v>
                </c:pt>
                <c:pt idx="2">
                  <c:v>311</c:v>
                </c:pt>
                <c:pt idx="3">
                  <c:v>378</c:v>
                </c:pt>
                <c:pt idx="4">
                  <c:v>484</c:v>
                </c:pt>
                <c:pt idx="5">
                  <c:v>525</c:v>
                </c:pt>
                <c:pt idx="6">
                  <c:v>645</c:v>
                </c:pt>
                <c:pt idx="7">
                  <c:v>679</c:v>
                </c:pt>
                <c:pt idx="8">
                  <c:v>678</c:v>
                </c:pt>
                <c:pt idx="9">
                  <c:v>717</c:v>
                </c:pt>
                <c:pt idx="10">
                  <c:v>678</c:v>
                </c:pt>
                <c:pt idx="11">
                  <c:v>733</c:v>
                </c:pt>
                <c:pt idx="12">
                  <c:v>852</c:v>
                </c:pt>
                <c:pt idx="13">
                  <c:v>1146</c:v>
                </c:pt>
                <c:pt idx="14">
                  <c:v>1738</c:v>
                </c:pt>
                <c:pt idx="15">
                  <c:v>2820</c:v>
                </c:pt>
                <c:pt idx="16">
                  <c:v>4116</c:v>
                </c:pt>
              </c:numCache>
            </c:numRef>
          </c:yVal>
          <c:smooth val="0"/>
          <c:extLst>
            <c:ext xmlns:c16="http://schemas.microsoft.com/office/drawing/2014/chart" uri="{C3380CC4-5D6E-409C-BE32-E72D297353CC}">
              <c16:uniqueId val="{00000000-7826-403F-9487-2E3F2CFACBA0}"/>
            </c:ext>
          </c:extLst>
        </c:ser>
        <c:dLbls>
          <c:showLegendKey val="0"/>
          <c:showVal val="0"/>
          <c:showCatName val="0"/>
          <c:showSerName val="0"/>
          <c:showPercent val="0"/>
          <c:showBubbleSize val="0"/>
        </c:dLbls>
        <c:axId val="545144344"/>
        <c:axId val="545140384"/>
      </c:scatterChart>
      <c:valAx>
        <c:axId val="545144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40384"/>
        <c:crosses val="autoZero"/>
        <c:crossBetween val="midCat"/>
      </c:valAx>
      <c:valAx>
        <c:axId val="54514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44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'X Case Study'!$P$52</c:f>
              <c:strCache>
                <c:ptCount val="1"/>
                <c:pt idx="0">
                  <c:v>Iron</c:v>
                </c:pt>
              </c:strCache>
            </c:strRef>
          </c:tx>
          <c:spPr>
            <a:pattFill prst="lgConfetti">
              <a:fgClr>
                <a:schemeClr val="bg1">
                  <a:lumMod val="50000"/>
                </a:schemeClr>
              </a:fgClr>
              <a:bgClr>
                <a:schemeClr val="bg1">
                  <a:lumMod val="65000"/>
                </a:schemeClr>
              </a:bgClr>
            </a:pattFill>
            <a:ln>
              <a:noFill/>
            </a:ln>
            <a:effectLst/>
          </c:spPr>
          <c:invertIfNegative val="0"/>
          <c:cat>
            <c:strRef>
              <c:f>'X Case Study'!$C$53:$C$58</c:f>
              <c:strCache>
                <c:ptCount val="6"/>
                <c:pt idx="0">
                  <c:v>Kempten (Allgäu)</c:v>
                </c:pt>
                <c:pt idx="1">
                  <c:v>Katima Mulilo</c:v>
                </c:pt>
                <c:pt idx="2">
                  <c:v>Calama</c:v>
                </c:pt>
                <c:pt idx="3">
                  <c:v>Wyk auf Föhr</c:v>
                </c:pt>
                <c:pt idx="4">
                  <c:v>Lüderitz</c:v>
                </c:pt>
                <c:pt idx="5">
                  <c:v>Punta Arenas</c:v>
                </c:pt>
              </c:strCache>
            </c:strRef>
          </c:cat>
          <c:val>
            <c:numRef>
              <c:f>'X Case Study'!$P$53:$P$58</c:f>
              <c:numCache>
                <c:formatCode>0.00</c:formatCode>
                <c:ptCount val="6"/>
                <c:pt idx="0">
                  <c:v>2</c:v>
                </c:pt>
                <c:pt idx="1">
                  <c:v>2.6000000000000005</c:v>
                </c:pt>
                <c:pt idx="2">
                  <c:v>3</c:v>
                </c:pt>
                <c:pt idx="3">
                  <c:v>2.75</c:v>
                </c:pt>
                <c:pt idx="4">
                  <c:v>4.1500000000000004</c:v>
                </c:pt>
                <c:pt idx="5">
                  <c:v>3.4499999999999997</c:v>
                </c:pt>
              </c:numCache>
            </c:numRef>
          </c:val>
          <c:extLst>
            <c:ext xmlns:c16="http://schemas.microsoft.com/office/drawing/2014/chart" uri="{C3380CC4-5D6E-409C-BE32-E72D297353CC}">
              <c16:uniqueId val="{00000000-A231-4444-90FE-3C6EEB8273B0}"/>
            </c:ext>
          </c:extLst>
        </c:ser>
        <c:ser>
          <c:idx val="1"/>
          <c:order val="1"/>
          <c:tx>
            <c:strRef>
              <c:f>'X Case Study'!$Q$52</c:f>
              <c:strCache>
                <c:ptCount val="1"/>
                <c:pt idx="0">
                  <c:v>Lion</c:v>
                </c:pt>
              </c:strCache>
            </c:strRef>
          </c:tx>
          <c:spPr>
            <a:pattFill prst="dashUpDiag">
              <a:fgClr>
                <a:schemeClr val="accent4">
                  <a:lumMod val="60000"/>
                  <a:lumOff val="40000"/>
                </a:schemeClr>
              </a:fgClr>
              <a:bgClr>
                <a:schemeClr val="accent4">
                  <a:lumMod val="20000"/>
                  <a:lumOff val="80000"/>
                </a:schemeClr>
              </a:bgClr>
            </a:pattFill>
            <a:ln>
              <a:noFill/>
            </a:ln>
            <a:effectLst/>
          </c:spPr>
          <c:invertIfNegative val="0"/>
          <c:cat>
            <c:strRef>
              <c:f>'X Case Study'!$C$53:$C$58</c:f>
              <c:strCache>
                <c:ptCount val="6"/>
                <c:pt idx="0">
                  <c:v>Kempten (Allgäu)</c:v>
                </c:pt>
                <c:pt idx="1">
                  <c:v>Katima Mulilo</c:v>
                </c:pt>
                <c:pt idx="2">
                  <c:v>Calama</c:v>
                </c:pt>
                <c:pt idx="3">
                  <c:v>Wyk auf Föhr</c:v>
                </c:pt>
                <c:pt idx="4">
                  <c:v>Lüderitz</c:v>
                </c:pt>
                <c:pt idx="5">
                  <c:v>Punta Arenas</c:v>
                </c:pt>
              </c:strCache>
            </c:strRef>
          </c:cat>
          <c:val>
            <c:numRef>
              <c:f>'X Case Study'!$Q$53:$Q$58</c:f>
              <c:numCache>
                <c:formatCode>0.00</c:formatCode>
                <c:ptCount val="6"/>
                <c:pt idx="0">
                  <c:v>3.05</c:v>
                </c:pt>
                <c:pt idx="1">
                  <c:v>2.65</c:v>
                </c:pt>
                <c:pt idx="2">
                  <c:v>3.6</c:v>
                </c:pt>
                <c:pt idx="3">
                  <c:v>3.0999999999999996</c:v>
                </c:pt>
                <c:pt idx="4">
                  <c:v>2.9</c:v>
                </c:pt>
                <c:pt idx="5">
                  <c:v>3.3999999999999995</c:v>
                </c:pt>
              </c:numCache>
            </c:numRef>
          </c:val>
          <c:extLst>
            <c:ext xmlns:c16="http://schemas.microsoft.com/office/drawing/2014/chart" uri="{C3380CC4-5D6E-409C-BE32-E72D297353CC}">
              <c16:uniqueId val="{00000001-A231-4444-90FE-3C6EEB8273B0}"/>
            </c:ext>
          </c:extLst>
        </c:ser>
        <c:ser>
          <c:idx val="2"/>
          <c:order val="2"/>
          <c:tx>
            <c:strRef>
              <c:f>'X Case Study'!$R$52</c:f>
              <c:strCache>
                <c:ptCount val="1"/>
                <c:pt idx="0">
                  <c:v>Zion</c:v>
                </c:pt>
              </c:strCache>
            </c:strRef>
          </c:tx>
          <c:spPr>
            <a:pattFill prst="shingle">
              <a:fgClr>
                <a:schemeClr val="accent6"/>
              </a:fgClr>
              <a:bgClr>
                <a:schemeClr val="accent1">
                  <a:lumMod val="40000"/>
                  <a:lumOff val="60000"/>
                </a:schemeClr>
              </a:bgClr>
            </a:pattFill>
            <a:ln>
              <a:noFill/>
            </a:ln>
            <a:effectLst/>
          </c:spPr>
          <c:invertIfNegative val="0"/>
          <c:cat>
            <c:strRef>
              <c:f>'X Case Study'!$C$53:$C$58</c:f>
              <c:strCache>
                <c:ptCount val="6"/>
                <c:pt idx="0">
                  <c:v>Kempten (Allgäu)</c:v>
                </c:pt>
                <c:pt idx="1">
                  <c:v>Katima Mulilo</c:v>
                </c:pt>
                <c:pt idx="2">
                  <c:v>Calama</c:v>
                </c:pt>
                <c:pt idx="3">
                  <c:v>Wyk auf Föhr</c:v>
                </c:pt>
                <c:pt idx="4">
                  <c:v>Lüderitz</c:v>
                </c:pt>
                <c:pt idx="5">
                  <c:v>Punta Arenas</c:v>
                </c:pt>
              </c:strCache>
            </c:strRef>
          </c:cat>
          <c:val>
            <c:numRef>
              <c:f>'X Case Study'!$R$53:$R$58</c:f>
              <c:numCache>
                <c:formatCode>0.00</c:formatCode>
                <c:ptCount val="6"/>
                <c:pt idx="0">
                  <c:v>2.8</c:v>
                </c:pt>
                <c:pt idx="1">
                  <c:v>2.6000000000000005</c:v>
                </c:pt>
                <c:pt idx="2">
                  <c:v>2.6</c:v>
                </c:pt>
                <c:pt idx="3">
                  <c:v>3.6</c:v>
                </c:pt>
                <c:pt idx="4">
                  <c:v>3.2</c:v>
                </c:pt>
                <c:pt idx="5">
                  <c:v>3.8000000000000003</c:v>
                </c:pt>
              </c:numCache>
            </c:numRef>
          </c:val>
          <c:extLst>
            <c:ext xmlns:c16="http://schemas.microsoft.com/office/drawing/2014/chart" uri="{C3380CC4-5D6E-409C-BE32-E72D297353CC}">
              <c16:uniqueId val="{00000002-A231-4444-90FE-3C6EEB8273B0}"/>
            </c:ext>
          </c:extLst>
        </c:ser>
        <c:dLbls>
          <c:showLegendKey val="0"/>
          <c:showVal val="0"/>
          <c:showCatName val="0"/>
          <c:showSerName val="0"/>
          <c:showPercent val="0"/>
          <c:showBubbleSize val="0"/>
        </c:dLbls>
        <c:gapWidth val="219"/>
        <c:overlap val="-27"/>
        <c:axId val="639847056"/>
        <c:axId val="639847776"/>
      </c:barChart>
      <c:lineChart>
        <c:grouping val="standard"/>
        <c:varyColors val="0"/>
        <c:ser>
          <c:idx val="3"/>
          <c:order val="3"/>
          <c:tx>
            <c:strRef>
              <c:f>'X Case Study'!$S$52</c:f>
              <c:strCache>
                <c:ptCount val="1"/>
                <c:pt idx="0">
                  <c:v>Average</c:v>
                </c:pt>
              </c:strCache>
            </c:strRef>
          </c:tx>
          <c:spPr>
            <a:ln w="28575" cap="rnd">
              <a:solidFill>
                <a:srgbClr val="7030A0"/>
              </a:solidFill>
              <a:round/>
            </a:ln>
            <a:effectLst/>
          </c:spPr>
          <c:marker>
            <c:symbol val="none"/>
          </c:marker>
          <c:cat>
            <c:numRef>
              <c:f>'X Case Study'!$C$45:$C$50</c:f>
              <c:numCache>
                <c:formatCode>General</c:formatCode>
                <c:ptCount val="6"/>
              </c:numCache>
            </c:numRef>
          </c:cat>
          <c:val>
            <c:numRef>
              <c:f>'X Case Study'!$S$53:$S$58</c:f>
              <c:numCache>
                <c:formatCode>0.00</c:formatCode>
                <c:ptCount val="6"/>
                <c:pt idx="0">
                  <c:v>2.6166666666666667</c:v>
                </c:pt>
                <c:pt idx="1">
                  <c:v>2.6166666666666667</c:v>
                </c:pt>
                <c:pt idx="2">
                  <c:v>3.0666666666666664</c:v>
                </c:pt>
                <c:pt idx="3">
                  <c:v>3.15</c:v>
                </c:pt>
                <c:pt idx="4">
                  <c:v>3.4166666666666665</c:v>
                </c:pt>
                <c:pt idx="5">
                  <c:v>3.5500000000000003</c:v>
                </c:pt>
              </c:numCache>
            </c:numRef>
          </c:val>
          <c:smooth val="0"/>
          <c:extLst>
            <c:ext xmlns:c16="http://schemas.microsoft.com/office/drawing/2014/chart" uri="{C3380CC4-5D6E-409C-BE32-E72D297353CC}">
              <c16:uniqueId val="{00000003-A231-4444-90FE-3C6EEB8273B0}"/>
            </c:ext>
          </c:extLst>
        </c:ser>
        <c:dLbls>
          <c:showLegendKey val="0"/>
          <c:showVal val="0"/>
          <c:showCatName val="0"/>
          <c:showSerName val="0"/>
          <c:showPercent val="0"/>
          <c:showBubbleSize val="0"/>
        </c:dLbls>
        <c:marker val="1"/>
        <c:smooth val="0"/>
        <c:axId val="639847056"/>
        <c:axId val="639847776"/>
      </c:lineChart>
      <c:catAx>
        <c:axId val="6398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47776"/>
        <c:crosses val="autoZero"/>
        <c:auto val="1"/>
        <c:lblAlgn val="ctr"/>
        <c:lblOffset val="100"/>
        <c:noMultiLvlLbl val="0"/>
      </c:catAx>
      <c:valAx>
        <c:axId val="639847776"/>
        <c:scaling>
          <c:orientation val="minMax"/>
          <c:max val="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4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'X Case Study_old'!$O$32</c:f>
              <c:strCache>
                <c:ptCount val="1"/>
                <c:pt idx="0">
                  <c:v>Iron</c:v>
                </c:pt>
              </c:strCache>
            </c:strRef>
          </c:tx>
          <c:spPr>
            <a:pattFill prst="lgConfetti">
              <a:fgClr>
                <a:schemeClr val="bg1">
                  <a:lumMod val="50000"/>
                </a:schemeClr>
              </a:fgClr>
              <a:bgClr>
                <a:schemeClr val="bg1">
                  <a:lumMod val="65000"/>
                </a:schemeClr>
              </a:bgClr>
            </a:pattFill>
            <a:ln>
              <a:noFill/>
            </a:ln>
            <a:effectLst/>
          </c:spPr>
          <c:invertIfNegative val="0"/>
          <c:cat>
            <c:strRef>
              <c:f>'X Case Study_old'!$C$33:$C$38</c:f>
              <c:strCache>
                <c:ptCount val="6"/>
                <c:pt idx="0">
                  <c:v>Katima Mulilo</c:v>
                </c:pt>
                <c:pt idx="1">
                  <c:v>Kempten (Allgäu)</c:v>
                </c:pt>
                <c:pt idx="2">
                  <c:v>Calama</c:v>
                </c:pt>
                <c:pt idx="3">
                  <c:v>Lüderitz</c:v>
                </c:pt>
                <c:pt idx="4">
                  <c:v>Punta Arenas</c:v>
                </c:pt>
                <c:pt idx="5">
                  <c:v>Wyk auf Föhr</c:v>
                </c:pt>
              </c:strCache>
            </c:strRef>
          </c:cat>
          <c:val>
            <c:numRef>
              <c:f>'X Case Study_old'!$O$33:$O$38</c:f>
              <c:numCache>
                <c:formatCode>0.00</c:formatCode>
                <c:ptCount val="6"/>
                <c:pt idx="0">
                  <c:v>1.6</c:v>
                </c:pt>
                <c:pt idx="1">
                  <c:v>1.1000000000000001</c:v>
                </c:pt>
                <c:pt idx="2">
                  <c:v>2</c:v>
                </c:pt>
                <c:pt idx="3">
                  <c:v>3.1500000000000004</c:v>
                </c:pt>
                <c:pt idx="4">
                  <c:v>2.4500000000000002</c:v>
                </c:pt>
                <c:pt idx="5">
                  <c:v>1.9500000000000002</c:v>
                </c:pt>
              </c:numCache>
            </c:numRef>
          </c:val>
          <c:extLst>
            <c:ext xmlns:c16="http://schemas.microsoft.com/office/drawing/2014/chart" uri="{C3380CC4-5D6E-409C-BE32-E72D297353CC}">
              <c16:uniqueId val="{00000000-73FD-49A5-AE7C-4F0103238E58}"/>
            </c:ext>
          </c:extLst>
        </c:ser>
        <c:ser>
          <c:idx val="1"/>
          <c:order val="1"/>
          <c:tx>
            <c:strRef>
              <c:f>'X Case Study_old'!$P$32</c:f>
              <c:strCache>
                <c:ptCount val="1"/>
                <c:pt idx="0">
                  <c:v>Lion</c:v>
                </c:pt>
              </c:strCache>
            </c:strRef>
          </c:tx>
          <c:spPr>
            <a:pattFill prst="dashUpDiag">
              <a:fgClr>
                <a:schemeClr val="accent4">
                  <a:lumMod val="60000"/>
                  <a:lumOff val="40000"/>
                </a:schemeClr>
              </a:fgClr>
              <a:bgClr>
                <a:schemeClr val="accent4">
                  <a:lumMod val="20000"/>
                  <a:lumOff val="80000"/>
                </a:schemeClr>
              </a:bgClr>
            </a:pattFill>
            <a:ln>
              <a:noFill/>
            </a:ln>
            <a:effectLst/>
          </c:spPr>
          <c:invertIfNegative val="0"/>
          <c:cat>
            <c:strRef>
              <c:f>'X Case Study_old'!$C$33:$C$38</c:f>
              <c:strCache>
                <c:ptCount val="6"/>
                <c:pt idx="0">
                  <c:v>Katima Mulilo</c:v>
                </c:pt>
                <c:pt idx="1">
                  <c:v>Kempten (Allgäu)</c:v>
                </c:pt>
                <c:pt idx="2">
                  <c:v>Calama</c:v>
                </c:pt>
                <c:pt idx="3">
                  <c:v>Lüderitz</c:v>
                </c:pt>
                <c:pt idx="4">
                  <c:v>Punta Arenas</c:v>
                </c:pt>
                <c:pt idx="5">
                  <c:v>Wyk auf Föhr</c:v>
                </c:pt>
              </c:strCache>
            </c:strRef>
          </c:cat>
          <c:val>
            <c:numRef>
              <c:f>'X Case Study_old'!$P$33:$P$38</c:f>
              <c:numCache>
                <c:formatCode>0.00</c:formatCode>
                <c:ptCount val="6"/>
                <c:pt idx="0">
                  <c:v>1.65</c:v>
                </c:pt>
                <c:pt idx="1">
                  <c:v>2.25</c:v>
                </c:pt>
                <c:pt idx="2">
                  <c:v>2.6</c:v>
                </c:pt>
                <c:pt idx="3">
                  <c:v>1.9</c:v>
                </c:pt>
                <c:pt idx="4">
                  <c:v>2.4</c:v>
                </c:pt>
                <c:pt idx="5">
                  <c:v>2.5</c:v>
                </c:pt>
              </c:numCache>
            </c:numRef>
          </c:val>
          <c:extLst>
            <c:ext xmlns:c16="http://schemas.microsoft.com/office/drawing/2014/chart" uri="{C3380CC4-5D6E-409C-BE32-E72D297353CC}">
              <c16:uniqueId val="{00000001-73FD-49A5-AE7C-4F0103238E58}"/>
            </c:ext>
          </c:extLst>
        </c:ser>
        <c:ser>
          <c:idx val="2"/>
          <c:order val="2"/>
          <c:tx>
            <c:strRef>
              <c:f>'X Case Study_old'!$Q$32</c:f>
              <c:strCache>
                <c:ptCount val="1"/>
                <c:pt idx="0">
                  <c:v>Zion</c:v>
                </c:pt>
              </c:strCache>
            </c:strRef>
          </c:tx>
          <c:spPr>
            <a:pattFill prst="shingle">
              <a:fgClr>
                <a:schemeClr val="accent6"/>
              </a:fgClr>
              <a:bgClr>
                <a:schemeClr val="accent1">
                  <a:lumMod val="40000"/>
                  <a:lumOff val="60000"/>
                </a:schemeClr>
              </a:bgClr>
            </a:pattFill>
            <a:ln>
              <a:noFill/>
            </a:ln>
            <a:effectLst/>
          </c:spPr>
          <c:invertIfNegative val="0"/>
          <c:cat>
            <c:strRef>
              <c:f>'X Case Study_old'!$C$33:$C$38</c:f>
              <c:strCache>
                <c:ptCount val="6"/>
                <c:pt idx="0">
                  <c:v>Katima Mulilo</c:v>
                </c:pt>
                <c:pt idx="1">
                  <c:v>Kempten (Allgäu)</c:v>
                </c:pt>
                <c:pt idx="2">
                  <c:v>Calama</c:v>
                </c:pt>
                <c:pt idx="3">
                  <c:v>Lüderitz</c:v>
                </c:pt>
                <c:pt idx="4">
                  <c:v>Punta Arenas</c:v>
                </c:pt>
                <c:pt idx="5">
                  <c:v>Wyk auf Föhr</c:v>
                </c:pt>
              </c:strCache>
            </c:strRef>
          </c:cat>
          <c:val>
            <c:numRef>
              <c:f>'X Case Study_old'!$Q$33:$Q$38</c:f>
              <c:numCache>
                <c:formatCode>0.00</c:formatCode>
                <c:ptCount val="6"/>
                <c:pt idx="0">
                  <c:v>1.6</c:v>
                </c:pt>
                <c:pt idx="1">
                  <c:v>2.2000000000000002</c:v>
                </c:pt>
                <c:pt idx="2">
                  <c:v>1.6</c:v>
                </c:pt>
                <c:pt idx="3">
                  <c:v>2.2000000000000002</c:v>
                </c:pt>
                <c:pt idx="4">
                  <c:v>2.8000000000000003</c:v>
                </c:pt>
                <c:pt idx="5">
                  <c:v>3.4000000000000004</c:v>
                </c:pt>
              </c:numCache>
            </c:numRef>
          </c:val>
          <c:extLst>
            <c:ext xmlns:c16="http://schemas.microsoft.com/office/drawing/2014/chart" uri="{C3380CC4-5D6E-409C-BE32-E72D297353CC}">
              <c16:uniqueId val="{00000002-73FD-49A5-AE7C-4F0103238E58}"/>
            </c:ext>
          </c:extLst>
        </c:ser>
        <c:dLbls>
          <c:showLegendKey val="0"/>
          <c:showVal val="0"/>
          <c:showCatName val="0"/>
          <c:showSerName val="0"/>
          <c:showPercent val="0"/>
          <c:showBubbleSize val="0"/>
        </c:dLbls>
        <c:gapWidth val="219"/>
        <c:overlap val="-27"/>
        <c:axId val="639847056"/>
        <c:axId val="639847776"/>
      </c:barChart>
      <c:lineChart>
        <c:grouping val="standard"/>
        <c:varyColors val="0"/>
        <c:ser>
          <c:idx val="3"/>
          <c:order val="3"/>
          <c:tx>
            <c:strRef>
              <c:f>'X Case Study_old'!$R$32</c:f>
              <c:strCache>
                <c:ptCount val="1"/>
                <c:pt idx="0">
                  <c:v>Average</c:v>
                </c:pt>
              </c:strCache>
            </c:strRef>
          </c:tx>
          <c:spPr>
            <a:ln w="28575" cap="rnd">
              <a:solidFill>
                <a:srgbClr val="7030A0"/>
              </a:solidFill>
              <a:round/>
            </a:ln>
            <a:effectLst/>
          </c:spPr>
          <c:marker>
            <c:symbol val="none"/>
          </c:marker>
          <c:cat>
            <c:strRef>
              <c:f>'X Case Study_old'!$C$42:$C$47</c:f>
              <c:strCache>
                <c:ptCount val="6"/>
                <c:pt idx="0">
                  <c:v>Sensitivität</c:v>
                </c:pt>
                <c:pt idx="1">
                  <c:v>City</c:v>
                </c:pt>
                <c:pt idx="2">
                  <c:v>Katima Mulilo</c:v>
                </c:pt>
                <c:pt idx="3">
                  <c:v>Kempten (Allgäu)</c:v>
                </c:pt>
                <c:pt idx="4">
                  <c:v>Calama</c:v>
                </c:pt>
                <c:pt idx="5">
                  <c:v>Lüderitz</c:v>
                </c:pt>
              </c:strCache>
            </c:strRef>
          </c:cat>
          <c:val>
            <c:numRef>
              <c:f>'X Case Study_old'!$R$33:$R$38</c:f>
              <c:numCache>
                <c:formatCode>0.00</c:formatCode>
                <c:ptCount val="6"/>
                <c:pt idx="0">
                  <c:v>1.6166666666666665</c:v>
                </c:pt>
                <c:pt idx="1">
                  <c:v>1.8500000000000003</c:v>
                </c:pt>
                <c:pt idx="2">
                  <c:v>2.0666666666666664</c:v>
                </c:pt>
                <c:pt idx="3">
                  <c:v>2.416666666666667</c:v>
                </c:pt>
                <c:pt idx="4">
                  <c:v>2.5500000000000003</c:v>
                </c:pt>
                <c:pt idx="5">
                  <c:v>2.6166666666666667</c:v>
                </c:pt>
              </c:numCache>
            </c:numRef>
          </c:val>
          <c:smooth val="0"/>
          <c:extLst>
            <c:ext xmlns:c16="http://schemas.microsoft.com/office/drawing/2014/chart" uri="{C3380CC4-5D6E-409C-BE32-E72D297353CC}">
              <c16:uniqueId val="{00000003-73FD-49A5-AE7C-4F0103238E58}"/>
            </c:ext>
          </c:extLst>
        </c:ser>
        <c:dLbls>
          <c:showLegendKey val="0"/>
          <c:showVal val="0"/>
          <c:showCatName val="0"/>
          <c:showSerName val="0"/>
          <c:showPercent val="0"/>
          <c:showBubbleSize val="0"/>
        </c:dLbls>
        <c:marker val="1"/>
        <c:smooth val="0"/>
        <c:axId val="639847056"/>
        <c:axId val="639847776"/>
      </c:lineChart>
      <c:catAx>
        <c:axId val="6398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47776"/>
        <c:crosses val="autoZero"/>
        <c:auto val="1"/>
        <c:lblAlgn val="ctr"/>
        <c:lblOffset val="100"/>
        <c:noMultiLvlLbl val="0"/>
      </c:catAx>
      <c:valAx>
        <c:axId val="639847776"/>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4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Parameter Sensitivity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'X Case Study_old'!$D$54</c:f>
              <c:strCache>
                <c:ptCount val="1"/>
                <c:pt idx="0">
                  <c:v>Water Availability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'X Case Study_old'!$E$52:$Y$53</c:f>
              <c:multiLvlStrCache>
                <c:ptCount val="18"/>
                <c:lvl>
                  <c:pt idx="0">
                    <c:v>Iron</c:v>
                  </c:pt>
                  <c:pt idx="1">
                    <c:v>Lion</c:v>
                  </c:pt>
                  <c:pt idx="2">
                    <c:v>Zion</c:v>
                  </c:pt>
                  <c:pt idx="3">
                    <c:v>Iron</c:v>
                  </c:pt>
                  <c:pt idx="4">
                    <c:v>Lion</c:v>
                  </c:pt>
                  <c:pt idx="5">
                    <c:v>Zion</c:v>
                  </c:pt>
                  <c:pt idx="6">
                    <c:v>Iron</c:v>
                  </c:pt>
                  <c:pt idx="7">
                    <c:v>Lion</c:v>
                  </c:pt>
                  <c:pt idx="8">
                    <c:v>Zion</c:v>
                  </c:pt>
                  <c:pt idx="9">
                    <c:v>Iron</c:v>
                  </c:pt>
                  <c:pt idx="10">
                    <c:v>Lion</c:v>
                  </c:pt>
                  <c:pt idx="11">
                    <c:v>Zion</c:v>
                  </c:pt>
                  <c:pt idx="12">
                    <c:v>Iron</c:v>
                  </c:pt>
                  <c:pt idx="13">
                    <c:v>Lion</c:v>
                  </c:pt>
                  <c:pt idx="14">
                    <c:v>Zion</c:v>
                  </c:pt>
                  <c:pt idx="15">
                    <c:v>Iron</c:v>
                  </c:pt>
                  <c:pt idx="16">
                    <c:v>Lion</c:v>
                  </c:pt>
                  <c:pt idx="17">
                    <c:v>Zion</c:v>
                  </c:pt>
                </c:lvl>
                <c:lvl>
                  <c:pt idx="0">
                    <c:v>Katima Mulilo</c:v>
                  </c:pt>
                  <c:pt idx="3">
                    <c:v>Kempten (Allgäu)</c:v>
                  </c:pt>
                  <c:pt idx="6">
                    <c:v>Calama</c:v>
                  </c:pt>
                  <c:pt idx="9">
                    <c:v>Lüderitz</c:v>
                  </c:pt>
                  <c:pt idx="12">
                    <c:v>Punta Arenas</c:v>
                  </c:pt>
                  <c:pt idx="15">
                    <c:v>Wyk auf Föhr</c:v>
                  </c:pt>
                </c:lvl>
              </c:multiLvlStrCache>
            </c:multiLvlStrRef>
          </c:cat>
          <c:val>
            <c:numRef>
              <c:f>'X Case Study_old'!$E$54:$Y$54</c:f>
              <c:numCache>
                <c:formatCode>General</c:formatCode>
                <c:ptCount val="18"/>
                <c:pt idx="0">
                  <c:v>0.2</c:v>
                </c:pt>
                <c:pt idx="1">
                  <c:v>0.4</c:v>
                </c:pt>
                <c:pt idx="2">
                  <c:v>0.8</c:v>
                </c:pt>
                <c:pt idx="3">
                  <c:v>0.4</c:v>
                </c:pt>
                <c:pt idx="4">
                  <c:v>0.8</c:v>
                </c:pt>
                <c:pt idx="5">
                  <c:v>1.6</c:v>
                </c:pt>
                <c:pt idx="6">
                  <c:v>0</c:v>
                </c:pt>
                <c:pt idx="7">
                  <c:v>0</c:v>
                </c:pt>
                <c:pt idx="8">
                  <c:v>0</c:v>
                </c:pt>
                <c:pt idx="9">
                  <c:v>0.2</c:v>
                </c:pt>
                <c:pt idx="10">
                  <c:v>0.4</c:v>
                </c:pt>
                <c:pt idx="11">
                  <c:v>0.8</c:v>
                </c:pt>
                <c:pt idx="12">
                  <c:v>0.30000000000000004</c:v>
                </c:pt>
                <c:pt idx="13">
                  <c:v>0.60000000000000009</c:v>
                </c:pt>
                <c:pt idx="14">
                  <c:v>1.2000000000000002</c:v>
                </c:pt>
                <c:pt idx="15">
                  <c:v>0.60000000000000009</c:v>
                </c:pt>
                <c:pt idx="16">
                  <c:v>1.2000000000000002</c:v>
                </c:pt>
                <c:pt idx="17">
                  <c:v>2.4000000000000004</c:v>
                </c:pt>
              </c:numCache>
            </c:numRef>
          </c:val>
          <c:extLst>
            <c:ext xmlns:c16="http://schemas.microsoft.com/office/drawing/2014/chart" uri="{C3380CC4-5D6E-409C-BE32-E72D297353CC}">
              <c16:uniqueId val="{00000000-DDCF-43DF-A6E6-2C799DF95129}"/>
            </c:ext>
          </c:extLst>
        </c:ser>
        <c:ser>
          <c:idx val="1"/>
          <c:order val="1"/>
          <c:tx>
            <c:strRef>
              <c:f>'X Case Study_old'!$D$55</c:f>
              <c:strCache>
                <c:ptCount val="1"/>
                <c:pt idx="0">
                  <c:v>Solar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'X Case Study_old'!$E$52:$Y$53</c:f>
              <c:multiLvlStrCache>
                <c:ptCount val="18"/>
                <c:lvl>
                  <c:pt idx="0">
                    <c:v>Iron</c:v>
                  </c:pt>
                  <c:pt idx="1">
                    <c:v>Lion</c:v>
                  </c:pt>
                  <c:pt idx="2">
                    <c:v>Zion</c:v>
                  </c:pt>
                  <c:pt idx="3">
                    <c:v>Iron</c:v>
                  </c:pt>
                  <c:pt idx="4">
                    <c:v>Lion</c:v>
                  </c:pt>
                  <c:pt idx="5">
                    <c:v>Zion</c:v>
                  </c:pt>
                  <c:pt idx="6">
                    <c:v>Iron</c:v>
                  </c:pt>
                  <c:pt idx="7">
                    <c:v>Lion</c:v>
                  </c:pt>
                  <c:pt idx="8">
                    <c:v>Zion</c:v>
                  </c:pt>
                  <c:pt idx="9">
                    <c:v>Iron</c:v>
                  </c:pt>
                  <c:pt idx="10">
                    <c:v>Lion</c:v>
                  </c:pt>
                  <c:pt idx="11">
                    <c:v>Zion</c:v>
                  </c:pt>
                  <c:pt idx="12">
                    <c:v>Iron</c:v>
                  </c:pt>
                  <c:pt idx="13">
                    <c:v>Lion</c:v>
                  </c:pt>
                  <c:pt idx="14">
                    <c:v>Zion</c:v>
                  </c:pt>
                  <c:pt idx="15">
                    <c:v>Iron</c:v>
                  </c:pt>
                  <c:pt idx="16">
                    <c:v>Lion</c:v>
                  </c:pt>
                  <c:pt idx="17">
                    <c:v>Zion</c:v>
                  </c:pt>
                </c:lvl>
                <c:lvl>
                  <c:pt idx="0">
                    <c:v>Katima Mulilo</c:v>
                  </c:pt>
                  <c:pt idx="3">
                    <c:v>Kempten (Allgäu)</c:v>
                  </c:pt>
                  <c:pt idx="6">
                    <c:v>Calama</c:v>
                  </c:pt>
                  <c:pt idx="9">
                    <c:v>Lüderitz</c:v>
                  </c:pt>
                  <c:pt idx="12">
                    <c:v>Punta Arenas</c:v>
                  </c:pt>
                  <c:pt idx="15">
                    <c:v>Wyk auf Föhr</c:v>
                  </c:pt>
                </c:lvl>
              </c:multiLvlStrCache>
            </c:multiLvlStrRef>
          </c:cat>
          <c:val>
            <c:numRef>
              <c:f>'X Case Study_old'!$E$55:$Y$55</c:f>
              <c:numCache>
                <c:formatCode>General</c:formatCode>
                <c:ptCount val="18"/>
                <c:pt idx="0">
                  <c:v>1.2000000000000002</c:v>
                </c:pt>
                <c:pt idx="1">
                  <c:v>0.44999999999999996</c:v>
                </c:pt>
                <c:pt idx="2">
                  <c:v>0.60000000000000009</c:v>
                </c:pt>
                <c:pt idx="3">
                  <c:v>0</c:v>
                </c:pt>
                <c:pt idx="4">
                  <c:v>0</c:v>
                </c:pt>
                <c:pt idx="5">
                  <c:v>0</c:v>
                </c:pt>
                <c:pt idx="6">
                  <c:v>1.6</c:v>
                </c:pt>
                <c:pt idx="7">
                  <c:v>0.6</c:v>
                </c:pt>
                <c:pt idx="8">
                  <c:v>0.8</c:v>
                </c:pt>
                <c:pt idx="9">
                  <c:v>1.2000000000000002</c:v>
                </c:pt>
                <c:pt idx="10">
                  <c:v>0.44999999999999996</c:v>
                </c:pt>
                <c:pt idx="11">
                  <c:v>0.60000000000000009</c:v>
                </c:pt>
                <c:pt idx="12">
                  <c:v>0.4</c:v>
                </c:pt>
                <c:pt idx="13">
                  <c:v>0.15</c:v>
                </c:pt>
                <c:pt idx="14">
                  <c:v>0.2</c:v>
                </c:pt>
                <c:pt idx="15">
                  <c:v>0</c:v>
                </c:pt>
                <c:pt idx="16">
                  <c:v>0</c:v>
                </c:pt>
                <c:pt idx="17">
                  <c:v>0</c:v>
                </c:pt>
              </c:numCache>
            </c:numRef>
          </c:val>
          <c:extLst>
            <c:ext xmlns:c16="http://schemas.microsoft.com/office/drawing/2014/chart" uri="{C3380CC4-5D6E-409C-BE32-E72D297353CC}">
              <c16:uniqueId val="{00000001-DDCF-43DF-A6E6-2C799DF95129}"/>
            </c:ext>
          </c:extLst>
        </c:ser>
        <c:ser>
          <c:idx val="2"/>
          <c:order val="2"/>
          <c:tx>
            <c:strRef>
              <c:f>'X Case Study_old'!$D$56</c:f>
              <c:strCache>
                <c:ptCount val="1"/>
                <c:pt idx="0">
                  <c:v>Wind</c:v>
                </c:pt>
              </c:strCache>
            </c:strRef>
          </c:tx>
          <c:spPr>
            <a:solidFill>
              <a:schemeClr val="accent4">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'X Case Study_old'!$E$52:$Y$53</c:f>
              <c:multiLvlStrCache>
                <c:ptCount val="18"/>
                <c:lvl>
                  <c:pt idx="0">
                    <c:v>Iron</c:v>
                  </c:pt>
                  <c:pt idx="1">
                    <c:v>Lion</c:v>
                  </c:pt>
                  <c:pt idx="2">
                    <c:v>Zion</c:v>
                  </c:pt>
                  <c:pt idx="3">
                    <c:v>Iron</c:v>
                  </c:pt>
                  <c:pt idx="4">
                    <c:v>Lion</c:v>
                  </c:pt>
                  <c:pt idx="5">
                    <c:v>Zion</c:v>
                  </c:pt>
                  <c:pt idx="6">
                    <c:v>Iron</c:v>
                  </c:pt>
                  <c:pt idx="7">
                    <c:v>Lion</c:v>
                  </c:pt>
                  <c:pt idx="8">
                    <c:v>Zion</c:v>
                  </c:pt>
                  <c:pt idx="9">
                    <c:v>Iron</c:v>
                  </c:pt>
                  <c:pt idx="10">
                    <c:v>Lion</c:v>
                  </c:pt>
                  <c:pt idx="11">
                    <c:v>Zion</c:v>
                  </c:pt>
                  <c:pt idx="12">
                    <c:v>Iron</c:v>
                  </c:pt>
                  <c:pt idx="13">
                    <c:v>Lion</c:v>
                  </c:pt>
                  <c:pt idx="14">
                    <c:v>Zion</c:v>
                  </c:pt>
                  <c:pt idx="15">
                    <c:v>Iron</c:v>
                  </c:pt>
                  <c:pt idx="16">
                    <c:v>Lion</c:v>
                  </c:pt>
                  <c:pt idx="17">
                    <c:v>Zion</c:v>
                  </c:pt>
                </c:lvl>
                <c:lvl>
                  <c:pt idx="0">
                    <c:v>Katima Mulilo</c:v>
                  </c:pt>
                  <c:pt idx="3">
                    <c:v>Kempten (Allgäu)</c:v>
                  </c:pt>
                  <c:pt idx="6">
                    <c:v>Calama</c:v>
                  </c:pt>
                  <c:pt idx="9">
                    <c:v>Lüderitz</c:v>
                  </c:pt>
                  <c:pt idx="12">
                    <c:v>Punta Arenas</c:v>
                  </c:pt>
                  <c:pt idx="15">
                    <c:v>Wyk auf Föhr</c:v>
                  </c:pt>
                </c:lvl>
              </c:multiLvlStrCache>
            </c:multiLvlStrRef>
          </c:cat>
          <c:val>
            <c:numRef>
              <c:f>'X Case Study_old'!$E$56:$Y$56</c:f>
              <c:numCache>
                <c:formatCode>General</c:formatCode>
                <c:ptCount val="18"/>
                <c:pt idx="0">
                  <c:v>0</c:v>
                </c:pt>
                <c:pt idx="1">
                  <c:v>0</c:v>
                </c:pt>
                <c:pt idx="2">
                  <c:v>0</c:v>
                </c:pt>
                <c:pt idx="3">
                  <c:v>0.4</c:v>
                </c:pt>
                <c:pt idx="4">
                  <c:v>0.15</c:v>
                </c:pt>
                <c:pt idx="5">
                  <c:v>0.2</c:v>
                </c:pt>
                <c:pt idx="6">
                  <c:v>0</c:v>
                </c:pt>
                <c:pt idx="7">
                  <c:v>0</c:v>
                </c:pt>
                <c:pt idx="8">
                  <c:v>0</c:v>
                </c:pt>
                <c:pt idx="9">
                  <c:v>1.6</c:v>
                </c:pt>
                <c:pt idx="10">
                  <c:v>0.6</c:v>
                </c:pt>
                <c:pt idx="11">
                  <c:v>0.8</c:v>
                </c:pt>
                <c:pt idx="12">
                  <c:v>1.6</c:v>
                </c:pt>
                <c:pt idx="13">
                  <c:v>0.6</c:v>
                </c:pt>
                <c:pt idx="14">
                  <c:v>0.8</c:v>
                </c:pt>
                <c:pt idx="15">
                  <c:v>1.2000000000000002</c:v>
                </c:pt>
                <c:pt idx="16">
                  <c:v>0.44999999999999996</c:v>
                </c:pt>
                <c:pt idx="17">
                  <c:v>0.60000000000000009</c:v>
                </c:pt>
              </c:numCache>
            </c:numRef>
          </c:val>
          <c:extLst>
            <c:ext xmlns:c16="http://schemas.microsoft.com/office/drawing/2014/chart" uri="{C3380CC4-5D6E-409C-BE32-E72D297353CC}">
              <c16:uniqueId val="{00000002-DDCF-43DF-A6E6-2C799DF95129}"/>
            </c:ext>
          </c:extLst>
        </c:ser>
        <c:ser>
          <c:idx val="3"/>
          <c:order val="3"/>
          <c:tx>
            <c:strRef>
              <c:f>'X Case Study_old'!$D$57</c:f>
              <c:strCache>
                <c:ptCount val="1"/>
                <c:pt idx="0">
                  <c:v>Protected Area Density</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'X Case Study_old'!$E$52:$Y$53</c:f>
              <c:multiLvlStrCache>
                <c:ptCount val="18"/>
                <c:lvl>
                  <c:pt idx="0">
                    <c:v>Iron</c:v>
                  </c:pt>
                  <c:pt idx="1">
                    <c:v>Lion</c:v>
                  </c:pt>
                  <c:pt idx="2">
                    <c:v>Zion</c:v>
                  </c:pt>
                  <c:pt idx="3">
                    <c:v>Iron</c:v>
                  </c:pt>
                  <c:pt idx="4">
                    <c:v>Lion</c:v>
                  </c:pt>
                  <c:pt idx="5">
                    <c:v>Zion</c:v>
                  </c:pt>
                  <c:pt idx="6">
                    <c:v>Iron</c:v>
                  </c:pt>
                  <c:pt idx="7">
                    <c:v>Lion</c:v>
                  </c:pt>
                  <c:pt idx="8">
                    <c:v>Zion</c:v>
                  </c:pt>
                  <c:pt idx="9">
                    <c:v>Iron</c:v>
                  </c:pt>
                  <c:pt idx="10">
                    <c:v>Lion</c:v>
                  </c:pt>
                  <c:pt idx="11">
                    <c:v>Zion</c:v>
                  </c:pt>
                  <c:pt idx="12">
                    <c:v>Iron</c:v>
                  </c:pt>
                  <c:pt idx="13">
                    <c:v>Lion</c:v>
                  </c:pt>
                  <c:pt idx="14">
                    <c:v>Zion</c:v>
                  </c:pt>
                  <c:pt idx="15">
                    <c:v>Iron</c:v>
                  </c:pt>
                  <c:pt idx="16">
                    <c:v>Lion</c:v>
                  </c:pt>
                  <c:pt idx="17">
                    <c:v>Zion</c:v>
                  </c:pt>
                </c:lvl>
                <c:lvl>
                  <c:pt idx="0">
                    <c:v>Katima Mulilo</c:v>
                  </c:pt>
                  <c:pt idx="3">
                    <c:v>Kempten (Allgäu)</c:v>
                  </c:pt>
                  <c:pt idx="6">
                    <c:v>Calama</c:v>
                  </c:pt>
                  <c:pt idx="9">
                    <c:v>Lüderitz</c:v>
                  </c:pt>
                  <c:pt idx="12">
                    <c:v>Punta Arenas</c:v>
                  </c:pt>
                  <c:pt idx="15">
                    <c:v>Wyk auf Föhr</c:v>
                  </c:pt>
                </c:lvl>
              </c:multiLvlStrCache>
            </c:multiLvlStrRef>
          </c:cat>
          <c:val>
            <c:numRef>
              <c:f>'X Case Study_old'!$E$57:$Y$57</c:f>
              <c:numCache>
                <c:formatCode>General</c:formatCode>
                <c:ptCount val="18"/>
                <c:pt idx="0">
                  <c:v>0.05</c:v>
                </c:pt>
                <c:pt idx="1">
                  <c:v>0.35</c:v>
                </c:pt>
                <c:pt idx="2">
                  <c:v>0.2</c:v>
                </c:pt>
                <c:pt idx="3">
                  <c:v>0.1</c:v>
                </c:pt>
                <c:pt idx="4">
                  <c:v>0.7</c:v>
                </c:pt>
                <c:pt idx="5">
                  <c:v>0.4</c:v>
                </c:pt>
                <c:pt idx="6">
                  <c:v>0.2</c:v>
                </c:pt>
                <c:pt idx="7">
                  <c:v>1.4</c:v>
                </c:pt>
                <c:pt idx="8">
                  <c:v>0.8</c:v>
                </c:pt>
                <c:pt idx="9">
                  <c:v>0</c:v>
                </c:pt>
                <c:pt idx="10">
                  <c:v>0</c:v>
                </c:pt>
                <c:pt idx="11">
                  <c:v>0</c:v>
                </c:pt>
                <c:pt idx="12">
                  <c:v>0.15000000000000002</c:v>
                </c:pt>
                <c:pt idx="13">
                  <c:v>1.0499999999999998</c:v>
                </c:pt>
                <c:pt idx="14">
                  <c:v>0.60000000000000009</c:v>
                </c:pt>
                <c:pt idx="15">
                  <c:v>0.1</c:v>
                </c:pt>
                <c:pt idx="16">
                  <c:v>0.7</c:v>
                </c:pt>
                <c:pt idx="17">
                  <c:v>0.4</c:v>
                </c:pt>
              </c:numCache>
            </c:numRef>
          </c:val>
          <c:extLst>
            <c:ext xmlns:c16="http://schemas.microsoft.com/office/drawing/2014/chart" uri="{C3380CC4-5D6E-409C-BE32-E72D297353CC}">
              <c16:uniqueId val="{00000003-DDCF-43DF-A6E6-2C799DF95129}"/>
            </c:ext>
          </c:extLst>
        </c:ser>
        <c:ser>
          <c:idx val="4"/>
          <c:order val="4"/>
          <c:tx>
            <c:strRef>
              <c:f>'X Case Study_old'!$D$58</c:f>
              <c:strCache>
                <c:ptCount val="1"/>
                <c:pt idx="0">
                  <c:v>Transmission Grid Density</c:v>
                </c:pt>
              </c:strCache>
            </c:strRef>
          </c:tx>
          <c:spPr>
            <a:solidFill>
              <a:schemeClr val="bg2">
                <a:lumMod val="9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'X Case Study_old'!$E$52:$Y$53</c:f>
              <c:multiLvlStrCache>
                <c:ptCount val="18"/>
                <c:lvl>
                  <c:pt idx="0">
                    <c:v>Iron</c:v>
                  </c:pt>
                  <c:pt idx="1">
                    <c:v>Lion</c:v>
                  </c:pt>
                  <c:pt idx="2">
                    <c:v>Zion</c:v>
                  </c:pt>
                  <c:pt idx="3">
                    <c:v>Iron</c:v>
                  </c:pt>
                  <c:pt idx="4">
                    <c:v>Lion</c:v>
                  </c:pt>
                  <c:pt idx="5">
                    <c:v>Zion</c:v>
                  </c:pt>
                  <c:pt idx="6">
                    <c:v>Iron</c:v>
                  </c:pt>
                  <c:pt idx="7">
                    <c:v>Lion</c:v>
                  </c:pt>
                  <c:pt idx="8">
                    <c:v>Zion</c:v>
                  </c:pt>
                  <c:pt idx="9">
                    <c:v>Iron</c:v>
                  </c:pt>
                  <c:pt idx="10">
                    <c:v>Lion</c:v>
                  </c:pt>
                  <c:pt idx="11">
                    <c:v>Zion</c:v>
                  </c:pt>
                  <c:pt idx="12">
                    <c:v>Iron</c:v>
                  </c:pt>
                  <c:pt idx="13">
                    <c:v>Lion</c:v>
                  </c:pt>
                  <c:pt idx="14">
                    <c:v>Zion</c:v>
                  </c:pt>
                  <c:pt idx="15">
                    <c:v>Iron</c:v>
                  </c:pt>
                  <c:pt idx="16">
                    <c:v>Lion</c:v>
                  </c:pt>
                  <c:pt idx="17">
                    <c:v>Zion</c:v>
                  </c:pt>
                </c:lvl>
                <c:lvl>
                  <c:pt idx="0">
                    <c:v>Katima Mulilo</c:v>
                  </c:pt>
                  <c:pt idx="3">
                    <c:v>Kempten (Allgäu)</c:v>
                  </c:pt>
                  <c:pt idx="6">
                    <c:v>Calama</c:v>
                  </c:pt>
                  <c:pt idx="9">
                    <c:v>Lüderitz</c:v>
                  </c:pt>
                  <c:pt idx="12">
                    <c:v>Punta Arenas</c:v>
                  </c:pt>
                  <c:pt idx="15">
                    <c:v>Wyk auf Föhr</c:v>
                  </c:pt>
                </c:lvl>
              </c:multiLvlStrCache>
            </c:multiLvlStrRef>
          </c:cat>
          <c:val>
            <c:numRef>
              <c:f>'X Case Study_old'!$E$58:$Y$58</c:f>
              <c:numCache>
                <c:formatCode>General</c:formatCode>
                <c:ptCount val="18"/>
                <c:pt idx="0">
                  <c:v>0.15000000000000002</c:v>
                </c:pt>
                <c:pt idx="1">
                  <c:v>0.44999999999999996</c:v>
                </c:pt>
                <c:pt idx="2">
                  <c:v>0</c:v>
                </c:pt>
                <c:pt idx="3">
                  <c:v>0.2</c:v>
                </c:pt>
                <c:pt idx="4">
                  <c:v>0.6</c:v>
                </c:pt>
                <c:pt idx="5">
                  <c:v>0</c:v>
                </c:pt>
                <c:pt idx="6">
                  <c:v>0.2</c:v>
                </c:pt>
                <c:pt idx="7">
                  <c:v>0.6</c:v>
                </c:pt>
                <c:pt idx="8">
                  <c:v>0</c:v>
                </c:pt>
                <c:pt idx="9">
                  <c:v>0.15000000000000002</c:v>
                </c:pt>
                <c:pt idx="10">
                  <c:v>0.44999999999999996</c:v>
                </c:pt>
                <c:pt idx="11">
                  <c:v>0</c:v>
                </c:pt>
                <c:pt idx="12">
                  <c:v>0</c:v>
                </c:pt>
                <c:pt idx="13">
                  <c:v>0</c:v>
                </c:pt>
                <c:pt idx="14">
                  <c:v>0</c:v>
                </c:pt>
                <c:pt idx="15">
                  <c:v>0.05</c:v>
                </c:pt>
                <c:pt idx="16">
                  <c:v>0.15</c:v>
                </c:pt>
                <c:pt idx="17">
                  <c:v>0</c:v>
                </c:pt>
              </c:numCache>
            </c:numRef>
          </c:val>
          <c:extLst>
            <c:ext xmlns:c16="http://schemas.microsoft.com/office/drawing/2014/chart" uri="{C3380CC4-5D6E-409C-BE32-E72D297353CC}">
              <c16:uniqueId val="{00000004-DDCF-43DF-A6E6-2C799DF95129}"/>
            </c:ext>
          </c:extLst>
        </c:ser>
        <c:dLbls>
          <c:showLegendKey val="0"/>
          <c:showVal val="1"/>
          <c:showCatName val="0"/>
          <c:showSerName val="0"/>
          <c:showPercent val="0"/>
          <c:showBubbleSize val="0"/>
        </c:dLbls>
        <c:gapWidth val="95"/>
        <c:gapDepth val="95"/>
        <c:shape val="box"/>
        <c:axId val="100897160"/>
        <c:axId val="100897520"/>
        <c:axId val="0"/>
      </c:bar3DChart>
      <c:catAx>
        <c:axId val="100897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7520"/>
        <c:crosses val="autoZero"/>
        <c:auto val="1"/>
        <c:lblAlgn val="ctr"/>
        <c:lblOffset val="100"/>
        <c:noMultiLvlLbl val="0"/>
      </c:catAx>
      <c:valAx>
        <c:axId val="1008975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7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'X Case Study_older'!$O$32</c:f>
              <c:strCache>
                <c:ptCount val="1"/>
                <c:pt idx="0">
                  <c:v>Iron</c:v>
                </c:pt>
              </c:strCache>
            </c:strRef>
          </c:tx>
          <c:spPr>
            <a:pattFill prst="lgConfetti">
              <a:fgClr>
                <a:schemeClr val="bg1">
                  <a:lumMod val="50000"/>
                </a:schemeClr>
              </a:fgClr>
              <a:bgClr>
                <a:schemeClr val="bg1">
                  <a:lumMod val="65000"/>
                </a:schemeClr>
              </a:bgClr>
            </a:pattFill>
            <a:ln>
              <a:noFill/>
            </a:ln>
            <a:effectLst/>
          </c:spPr>
          <c:invertIfNegative val="0"/>
          <c:cat>
            <c:strRef>
              <c:f>'X Case Study_older'!$C$33:$C$38</c:f>
              <c:strCache>
                <c:ptCount val="6"/>
                <c:pt idx="0">
                  <c:v>Katima Mulilo</c:v>
                </c:pt>
                <c:pt idx="1">
                  <c:v>Kempten (Allgäu)</c:v>
                </c:pt>
                <c:pt idx="2">
                  <c:v>Calama</c:v>
                </c:pt>
                <c:pt idx="3">
                  <c:v>Lüderitz</c:v>
                </c:pt>
                <c:pt idx="4">
                  <c:v>Punta Arenas</c:v>
                </c:pt>
                <c:pt idx="5">
                  <c:v>Wyk auf Föhr</c:v>
                </c:pt>
              </c:strCache>
            </c:strRef>
          </c:cat>
          <c:val>
            <c:numRef>
              <c:f>'X Case Study_older'!$O$33:$O$38</c:f>
              <c:numCache>
                <c:formatCode>0.00</c:formatCode>
                <c:ptCount val="6"/>
                <c:pt idx="0">
                  <c:v>1.6</c:v>
                </c:pt>
                <c:pt idx="1">
                  <c:v>1.1000000000000001</c:v>
                </c:pt>
                <c:pt idx="2">
                  <c:v>2</c:v>
                </c:pt>
                <c:pt idx="3">
                  <c:v>3.1500000000000004</c:v>
                </c:pt>
                <c:pt idx="4">
                  <c:v>2.4500000000000002</c:v>
                </c:pt>
                <c:pt idx="5">
                  <c:v>1.9500000000000002</c:v>
                </c:pt>
              </c:numCache>
            </c:numRef>
          </c:val>
          <c:extLst>
            <c:ext xmlns:c16="http://schemas.microsoft.com/office/drawing/2014/chart" uri="{C3380CC4-5D6E-409C-BE32-E72D297353CC}">
              <c16:uniqueId val="{00000000-FEA9-4069-9F33-A28CB6329F06}"/>
            </c:ext>
          </c:extLst>
        </c:ser>
        <c:ser>
          <c:idx val="1"/>
          <c:order val="1"/>
          <c:tx>
            <c:strRef>
              <c:f>'X Case Study_older'!$P$32</c:f>
              <c:strCache>
                <c:ptCount val="1"/>
                <c:pt idx="0">
                  <c:v>Lion</c:v>
                </c:pt>
              </c:strCache>
            </c:strRef>
          </c:tx>
          <c:spPr>
            <a:pattFill prst="dashUpDiag">
              <a:fgClr>
                <a:schemeClr val="accent4">
                  <a:lumMod val="60000"/>
                  <a:lumOff val="40000"/>
                </a:schemeClr>
              </a:fgClr>
              <a:bgClr>
                <a:schemeClr val="accent4">
                  <a:lumMod val="20000"/>
                  <a:lumOff val="80000"/>
                </a:schemeClr>
              </a:bgClr>
            </a:pattFill>
            <a:ln>
              <a:noFill/>
            </a:ln>
            <a:effectLst/>
          </c:spPr>
          <c:invertIfNegative val="0"/>
          <c:cat>
            <c:strRef>
              <c:f>'X Case Study_older'!$C$33:$C$38</c:f>
              <c:strCache>
                <c:ptCount val="6"/>
                <c:pt idx="0">
                  <c:v>Katima Mulilo</c:v>
                </c:pt>
                <c:pt idx="1">
                  <c:v>Kempten (Allgäu)</c:v>
                </c:pt>
                <c:pt idx="2">
                  <c:v>Calama</c:v>
                </c:pt>
                <c:pt idx="3">
                  <c:v>Lüderitz</c:v>
                </c:pt>
                <c:pt idx="4">
                  <c:v>Punta Arenas</c:v>
                </c:pt>
                <c:pt idx="5">
                  <c:v>Wyk auf Föhr</c:v>
                </c:pt>
              </c:strCache>
            </c:strRef>
          </c:cat>
          <c:val>
            <c:numRef>
              <c:f>'X Case Study_older'!$P$33:$P$38</c:f>
              <c:numCache>
                <c:formatCode>0.00</c:formatCode>
                <c:ptCount val="6"/>
                <c:pt idx="0">
                  <c:v>1.65</c:v>
                </c:pt>
                <c:pt idx="1">
                  <c:v>2.25</c:v>
                </c:pt>
                <c:pt idx="2">
                  <c:v>2.6</c:v>
                </c:pt>
                <c:pt idx="3">
                  <c:v>1.9</c:v>
                </c:pt>
                <c:pt idx="4">
                  <c:v>2.4</c:v>
                </c:pt>
                <c:pt idx="5">
                  <c:v>2.5</c:v>
                </c:pt>
              </c:numCache>
            </c:numRef>
          </c:val>
          <c:extLst>
            <c:ext xmlns:c16="http://schemas.microsoft.com/office/drawing/2014/chart" uri="{C3380CC4-5D6E-409C-BE32-E72D297353CC}">
              <c16:uniqueId val="{00000001-FEA9-4069-9F33-A28CB6329F06}"/>
            </c:ext>
          </c:extLst>
        </c:ser>
        <c:ser>
          <c:idx val="2"/>
          <c:order val="2"/>
          <c:tx>
            <c:strRef>
              <c:f>'X Case Study_older'!$Q$32</c:f>
              <c:strCache>
                <c:ptCount val="1"/>
                <c:pt idx="0">
                  <c:v>Zion</c:v>
                </c:pt>
              </c:strCache>
            </c:strRef>
          </c:tx>
          <c:spPr>
            <a:pattFill prst="shingle">
              <a:fgClr>
                <a:schemeClr val="accent6"/>
              </a:fgClr>
              <a:bgClr>
                <a:schemeClr val="accent1">
                  <a:lumMod val="40000"/>
                  <a:lumOff val="60000"/>
                </a:schemeClr>
              </a:bgClr>
            </a:pattFill>
            <a:ln>
              <a:noFill/>
            </a:ln>
            <a:effectLst/>
          </c:spPr>
          <c:invertIfNegative val="0"/>
          <c:cat>
            <c:strRef>
              <c:f>'X Case Study_older'!$C$33:$C$38</c:f>
              <c:strCache>
                <c:ptCount val="6"/>
                <c:pt idx="0">
                  <c:v>Katima Mulilo</c:v>
                </c:pt>
                <c:pt idx="1">
                  <c:v>Kempten (Allgäu)</c:v>
                </c:pt>
                <c:pt idx="2">
                  <c:v>Calama</c:v>
                </c:pt>
                <c:pt idx="3">
                  <c:v>Lüderitz</c:v>
                </c:pt>
                <c:pt idx="4">
                  <c:v>Punta Arenas</c:v>
                </c:pt>
                <c:pt idx="5">
                  <c:v>Wyk auf Föhr</c:v>
                </c:pt>
              </c:strCache>
            </c:strRef>
          </c:cat>
          <c:val>
            <c:numRef>
              <c:f>'X Case Study_older'!$Q$33:$Q$38</c:f>
              <c:numCache>
                <c:formatCode>0.00</c:formatCode>
                <c:ptCount val="6"/>
                <c:pt idx="0">
                  <c:v>1.6</c:v>
                </c:pt>
                <c:pt idx="1">
                  <c:v>2.2000000000000002</c:v>
                </c:pt>
                <c:pt idx="2">
                  <c:v>1.6</c:v>
                </c:pt>
                <c:pt idx="3">
                  <c:v>2.2000000000000002</c:v>
                </c:pt>
                <c:pt idx="4">
                  <c:v>2.8000000000000003</c:v>
                </c:pt>
                <c:pt idx="5">
                  <c:v>3.4000000000000004</c:v>
                </c:pt>
              </c:numCache>
            </c:numRef>
          </c:val>
          <c:extLst>
            <c:ext xmlns:c16="http://schemas.microsoft.com/office/drawing/2014/chart" uri="{C3380CC4-5D6E-409C-BE32-E72D297353CC}">
              <c16:uniqueId val="{00000002-FEA9-4069-9F33-A28CB6329F06}"/>
            </c:ext>
          </c:extLst>
        </c:ser>
        <c:dLbls>
          <c:showLegendKey val="0"/>
          <c:showVal val="0"/>
          <c:showCatName val="0"/>
          <c:showSerName val="0"/>
          <c:showPercent val="0"/>
          <c:showBubbleSize val="0"/>
        </c:dLbls>
        <c:gapWidth val="219"/>
        <c:overlap val="-27"/>
        <c:axId val="639847056"/>
        <c:axId val="639847776"/>
      </c:barChart>
      <c:lineChart>
        <c:grouping val="standard"/>
        <c:varyColors val="0"/>
        <c:ser>
          <c:idx val="3"/>
          <c:order val="3"/>
          <c:tx>
            <c:strRef>
              <c:f>'X Case Study_older'!$R$32</c:f>
              <c:strCache>
                <c:ptCount val="1"/>
                <c:pt idx="0">
                  <c:v>Average</c:v>
                </c:pt>
              </c:strCache>
            </c:strRef>
          </c:tx>
          <c:spPr>
            <a:ln w="28575" cap="rnd">
              <a:solidFill>
                <a:srgbClr val="7030A0"/>
              </a:solidFill>
              <a:round/>
            </a:ln>
            <a:effectLst/>
          </c:spPr>
          <c:marker>
            <c:symbol val="none"/>
          </c:marker>
          <c:cat>
            <c:strRef>
              <c:f>'X Case Study_older'!$C$42:$C$47</c:f>
              <c:strCache>
                <c:ptCount val="6"/>
                <c:pt idx="0">
                  <c:v>Sensitivität</c:v>
                </c:pt>
                <c:pt idx="1">
                  <c:v>City</c:v>
                </c:pt>
                <c:pt idx="2">
                  <c:v>Katima Mulilo</c:v>
                </c:pt>
                <c:pt idx="3">
                  <c:v>Kempten (Allgäu)</c:v>
                </c:pt>
                <c:pt idx="4">
                  <c:v>Calama</c:v>
                </c:pt>
                <c:pt idx="5">
                  <c:v>Lüderitz</c:v>
                </c:pt>
              </c:strCache>
            </c:strRef>
          </c:cat>
          <c:val>
            <c:numRef>
              <c:f>'X Case Study_older'!$R$33:$R$38</c:f>
              <c:numCache>
                <c:formatCode>0.00</c:formatCode>
                <c:ptCount val="6"/>
                <c:pt idx="0">
                  <c:v>1.6166666666666665</c:v>
                </c:pt>
                <c:pt idx="1">
                  <c:v>1.8500000000000003</c:v>
                </c:pt>
                <c:pt idx="2">
                  <c:v>2.0666666666666664</c:v>
                </c:pt>
                <c:pt idx="3">
                  <c:v>2.416666666666667</c:v>
                </c:pt>
                <c:pt idx="4">
                  <c:v>2.5500000000000003</c:v>
                </c:pt>
                <c:pt idx="5">
                  <c:v>2.6166666666666667</c:v>
                </c:pt>
              </c:numCache>
            </c:numRef>
          </c:val>
          <c:smooth val="0"/>
          <c:extLst>
            <c:ext xmlns:c16="http://schemas.microsoft.com/office/drawing/2014/chart" uri="{C3380CC4-5D6E-409C-BE32-E72D297353CC}">
              <c16:uniqueId val="{00000003-FEA9-4069-9F33-A28CB6329F06}"/>
            </c:ext>
          </c:extLst>
        </c:ser>
        <c:dLbls>
          <c:showLegendKey val="0"/>
          <c:showVal val="0"/>
          <c:showCatName val="0"/>
          <c:showSerName val="0"/>
          <c:showPercent val="0"/>
          <c:showBubbleSize val="0"/>
        </c:dLbls>
        <c:marker val="1"/>
        <c:smooth val="0"/>
        <c:axId val="639847056"/>
        <c:axId val="639847776"/>
      </c:lineChart>
      <c:catAx>
        <c:axId val="6398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47776"/>
        <c:crosses val="autoZero"/>
        <c:auto val="1"/>
        <c:lblAlgn val="ctr"/>
        <c:lblOffset val="100"/>
        <c:noMultiLvlLbl val="0"/>
      </c:catAx>
      <c:valAx>
        <c:axId val="639847776"/>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4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'XI Q and A'!$I$29</c:f>
              <c:strCache>
                <c:ptCount val="1"/>
                <c:pt idx="0">
                  <c:v>=A/Q=[s/(m³*km²)]</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54865949869329"/>
                  <c:y val="-0.3801461282036739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'XI Q and A'!$H$30:$H$132</c:f>
              <c:numCache>
                <c:formatCode>#,##0.00</c:formatCode>
                <c:ptCount val="103"/>
                <c:pt idx="0">
                  <c:v>0.14385964912280702</c:v>
                </c:pt>
                <c:pt idx="1">
                  <c:v>0.31638418079096048</c:v>
                </c:pt>
                <c:pt idx="2">
                  <c:v>0.57851239669421484</c:v>
                </c:pt>
                <c:pt idx="3">
                  <c:v>0.72290292177191329</c:v>
                </c:pt>
                <c:pt idx="4">
                  <c:v>0.86033267220864296</c:v>
                </c:pt>
                <c:pt idx="5">
                  <c:v>0.96832579185520362</c:v>
                </c:pt>
                <c:pt idx="6">
                  <c:v>1.1192660550458715</c:v>
                </c:pt>
                <c:pt idx="7">
                  <c:v>1.4131446000211971</c:v>
                </c:pt>
                <c:pt idx="8">
                  <c:v>1.6076845298281093</c:v>
                </c:pt>
                <c:pt idx="9">
                  <c:v>2.0042194092827006</c:v>
                </c:pt>
                <c:pt idx="10">
                  <c:v>2.1968984962406015</c:v>
                </c:pt>
                <c:pt idx="11">
                  <c:v>2.3559011893870081</c:v>
                </c:pt>
                <c:pt idx="12">
                  <c:v>2.4498876177256035</c:v>
                </c:pt>
                <c:pt idx="13">
                  <c:v>2.4549918166939442</c:v>
                </c:pt>
                <c:pt idx="14">
                  <c:v>2.6180996710544768</c:v>
                </c:pt>
                <c:pt idx="15">
                  <c:v>2.6741626794258373</c:v>
                </c:pt>
                <c:pt idx="16">
                  <c:v>2.7941176470588234</c:v>
                </c:pt>
                <c:pt idx="17">
                  <c:v>3.0520169851380041</c:v>
                </c:pt>
                <c:pt idx="18">
                  <c:v>3.0769230769230771</c:v>
                </c:pt>
                <c:pt idx="19">
                  <c:v>3.2100456621004567</c:v>
                </c:pt>
                <c:pt idx="20">
                  <c:v>3.2345535541351929</c:v>
                </c:pt>
                <c:pt idx="21">
                  <c:v>3.2599118942731278</c:v>
                </c:pt>
                <c:pt idx="22">
                  <c:v>3.4510067114093959</c:v>
                </c:pt>
                <c:pt idx="23">
                  <c:v>3.4782608695652173</c:v>
                </c:pt>
                <c:pt idx="24">
                  <c:v>3.6691729323308269</c:v>
                </c:pt>
                <c:pt idx="25">
                  <c:v>4.0494938132733411</c:v>
                </c:pt>
                <c:pt idx="26">
                  <c:v>4.0909090909090908</c:v>
                </c:pt>
                <c:pt idx="27">
                  <c:v>4.1111111111111107</c:v>
                </c:pt>
                <c:pt idx="28">
                  <c:v>4.1722408026755851</c:v>
                </c:pt>
                <c:pt idx="29">
                  <c:v>4.2995839112343965</c:v>
                </c:pt>
                <c:pt idx="30">
                  <c:v>4.6272536828732722</c:v>
                </c:pt>
                <c:pt idx="31">
                  <c:v>4.7777777777777777</c:v>
                </c:pt>
                <c:pt idx="32">
                  <c:v>4.7953705452289102</c:v>
                </c:pt>
                <c:pt idx="33">
                  <c:v>5.0221975582685907</c:v>
                </c:pt>
                <c:pt idx="34">
                  <c:v>5.1346938775510207</c:v>
                </c:pt>
                <c:pt idx="35">
                  <c:v>5.1759834368530022</c:v>
                </c:pt>
                <c:pt idx="36">
                  <c:v>5.4098360655737707</c:v>
                </c:pt>
                <c:pt idx="37">
                  <c:v>5.5251141552511411</c:v>
                </c:pt>
                <c:pt idx="38">
                  <c:v>5.5430711610486894</c:v>
                </c:pt>
                <c:pt idx="39">
                  <c:v>5.5548697691643003</c:v>
                </c:pt>
                <c:pt idx="40">
                  <c:v>5.6348993288590608</c:v>
                </c:pt>
                <c:pt idx="41">
                  <c:v>5.7541899441340778</c:v>
                </c:pt>
                <c:pt idx="42">
                  <c:v>5.7593513490324222</c:v>
                </c:pt>
                <c:pt idx="43">
                  <c:v>5.8550724637681162</c:v>
                </c:pt>
                <c:pt idx="44">
                  <c:v>5.9006211180124222</c:v>
                </c:pt>
                <c:pt idx="45">
                  <c:v>6.042253521126761</c:v>
                </c:pt>
                <c:pt idx="46">
                  <c:v>6.1455525606468999</c:v>
                </c:pt>
                <c:pt idx="47">
                  <c:v>6.2248995983935744</c:v>
                </c:pt>
                <c:pt idx="48">
                  <c:v>6.8992248062015502</c:v>
                </c:pt>
                <c:pt idx="49">
                  <c:v>6.941015089163237</c:v>
                </c:pt>
                <c:pt idx="50">
                  <c:v>6.9961240310077519</c:v>
                </c:pt>
                <c:pt idx="51">
                  <c:v>7.2871754387486876</c:v>
                </c:pt>
                <c:pt idx="52">
                  <c:v>7.3058823529411763</c:v>
                </c:pt>
                <c:pt idx="53">
                  <c:v>7.3260073260073257</c:v>
                </c:pt>
                <c:pt idx="54">
                  <c:v>7.458333333333333</c:v>
                </c:pt>
                <c:pt idx="55">
                  <c:v>7.6109936575052854</c:v>
                </c:pt>
                <c:pt idx="56">
                  <c:v>7.7133105802047783</c:v>
                </c:pt>
                <c:pt idx="57">
                  <c:v>8.0552013390748254</c:v>
                </c:pt>
                <c:pt idx="58">
                  <c:v>8.0867850098619325</c:v>
                </c:pt>
                <c:pt idx="59">
                  <c:v>8.5183097195462683</c:v>
                </c:pt>
                <c:pt idx="60">
                  <c:v>8.7270501835985304</c:v>
                </c:pt>
                <c:pt idx="61">
                  <c:v>9.3319740541993887</c:v>
                </c:pt>
                <c:pt idx="62">
                  <c:v>9.5867768595041323</c:v>
                </c:pt>
                <c:pt idx="63">
                  <c:v>9.731481481481481</c:v>
                </c:pt>
                <c:pt idx="64">
                  <c:v>9.7854302264618997</c:v>
                </c:pt>
                <c:pt idx="65">
                  <c:v>9.8058252427184467</c:v>
                </c:pt>
                <c:pt idx="66">
                  <c:v>10.246679316888045</c:v>
                </c:pt>
                <c:pt idx="67">
                  <c:v>11.133448697068404</c:v>
                </c:pt>
                <c:pt idx="68">
                  <c:v>11.358695652173912</c:v>
                </c:pt>
                <c:pt idx="69">
                  <c:v>11.361054305839582</c:v>
                </c:pt>
                <c:pt idx="70">
                  <c:v>11.7548828125</c:v>
                </c:pt>
                <c:pt idx="71">
                  <c:v>12.491891891891893</c:v>
                </c:pt>
                <c:pt idx="72">
                  <c:v>12.594594594594595</c:v>
                </c:pt>
                <c:pt idx="73">
                  <c:v>12.732919254658386</c:v>
                </c:pt>
                <c:pt idx="74">
                  <c:v>13.328776486671224</c:v>
                </c:pt>
                <c:pt idx="75">
                  <c:v>13.798256537982565</c:v>
                </c:pt>
                <c:pt idx="76">
                  <c:v>14.313684210526317</c:v>
                </c:pt>
                <c:pt idx="77">
                  <c:v>14.646341957164257</c:v>
                </c:pt>
                <c:pt idx="78">
                  <c:v>15.795454545454545</c:v>
                </c:pt>
                <c:pt idx="79">
                  <c:v>16.218816436100063</c:v>
                </c:pt>
                <c:pt idx="80">
                  <c:v>16.75888888888889</c:v>
                </c:pt>
                <c:pt idx="81">
                  <c:v>18.063105264552238</c:v>
                </c:pt>
                <c:pt idx="82">
                  <c:v>18.371607515657619</c:v>
                </c:pt>
                <c:pt idx="83">
                  <c:v>18.407004057228271</c:v>
                </c:pt>
                <c:pt idx="84">
                  <c:v>19.753086419753085</c:v>
                </c:pt>
                <c:pt idx="85">
                  <c:v>21.007271747912739</c:v>
                </c:pt>
                <c:pt idx="86">
                  <c:v>21.022442999070829</c:v>
                </c:pt>
                <c:pt idx="87">
                  <c:v>23.368503321610003</c:v>
                </c:pt>
                <c:pt idx="88">
                  <c:v>23.913043478260871</c:v>
                </c:pt>
                <c:pt idx="89">
                  <c:v>24.766881725756317</c:v>
                </c:pt>
                <c:pt idx="90">
                  <c:v>27.807621816343296</c:v>
                </c:pt>
                <c:pt idx="91">
                  <c:v>29.857142857142858</c:v>
                </c:pt>
                <c:pt idx="92">
                  <c:v>30</c:v>
                </c:pt>
                <c:pt idx="93">
                  <c:v>31.121281464530892</c:v>
                </c:pt>
                <c:pt idx="94">
                  <c:v>31.409917063702135</c:v>
                </c:pt>
                <c:pt idx="95">
                  <c:v>32.16229589312222</c:v>
                </c:pt>
                <c:pt idx="96">
                  <c:v>34.109255736039842</c:v>
                </c:pt>
                <c:pt idx="97">
                  <c:v>37.077462735066945</c:v>
                </c:pt>
                <c:pt idx="98">
                  <c:v>39.32</c:v>
                </c:pt>
                <c:pt idx="99">
                  <c:v>65.894338170513123</c:v>
                </c:pt>
                <c:pt idx="100">
                  <c:v>67.303336394245491</c:v>
                </c:pt>
                <c:pt idx="101">
                  <c:v>74.982276686246706</c:v>
                </c:pt>
                <c:pt idx="102">
                  <c:v>132.98293385682172</c:v>
                </c:pt>
              </c:numCache>
            </c:numRef>
          </c:xVal>
          <c:yVal>
            <c:numRef>
              <c:f>'XI Q and A'!$I$30:$I$132</c:f>
              <c:numCache>
                <c:formatCode>#,##0.00</c:formatCode>
                <c:ptCount val="103"/>
                <c:pt idx="0">
                  <c:v>6951.2195121951218</c:v>
                </c:pt>
                <c:pt idx="1">
                  <c:v>3160.7142857142858</c:v>
                </c:pt>
                <c:pt idx="2">
                  <c:v>1728.5714285714287</c:v>
                </c:pt>
                <c:pt idx="3">
                  <c:v>1383.3116036505867</c:v>
                </c:pt>
                <c:pt idx="4">
                  <c:v>1162.3410714285715</c:v>
                </c:pt>
                <c:pt idx="5">
                  <c:v>1032.7102803738317</c:v>
                </c:pt>
                <c:pt idx="6">
                  <c:v>893.44262295081967</c:v>
                </c:pt>
                <c:pt idx="7">
                  <c:v>707.64166666666665</c:v>
                </c:pt>
                <c:pt idx="8">
                  <c:v>622.01257861635224</c:v>
                </c:pt>
                <c:pt idx="9">
                  <c:v>498.94736842105266</c:v>
                </c:pt>
                <c:pt idx="10">
                  <c:v>455.18716577540107</c:v>
                </c:pt>
                <c:pt idx="11">
                  <c:v>424.46601941747571</c:v>
                </c:pt>
                <c:pt idx="12">
                  <c:v>408.18198874296434</c:v>
                </c:pt>
                <c:pt idx="13">
                  <c:v>407.33333333333331</c:v>
                </c:pt>
                <c:pt idx="14">
                  <c:v>381.95642857142855</c:v>
                </c:pt>
                <c:pt idx="15">
                  <c:v>373.94882805510827</c:v>
                </c:pt>
                <c:pt idx="16">
                  <c:v>357.89473684210526</c:v>
                </c:pt>
                <c:pt idx="17">
                  <c:v>327.6521739130435</c:v>
                </c:pt>
                <c:pt idx="18">
                  <c:v>325</c:v>
                </c:pt>
                <c:pt idx="19">
                  <c:v>311.52204836415365</c:v>
                </c:pt>
                <c:pt idx="20">
                  <c:v>309.16167664670661</c:v>
                </c:pt>
                <c:pt idx="21">
                  <c:v>306.75675675675677</c:v>
                </c:pt>
                <c:pt idx="22">
                  <c:v>289.77051730844028</c:v>
                </c:pt>
                <c:pt idx="23">
                  <c:v>287.5</c:v>
                </c:pt>
                <c:pt idx="24">
                  <c:v>272.5409836065574</c:v>
                </c:pt>
                <c:pt idx="25">
                  <c:v>246.94444444444446</c:v>
                </c:pt>
                <c:pt idx="26">
                  <c:v>244.44444444444446</c:v>
                </c:pt>
                <c:pt idx="27">
                  <c:v>243.24324324324326</c:v>
                </c:pt>
                <c:pt idx="28">
                  <c:v>239.67935871743487</c:v>
                </c:pt>
                <c:pt idx="29">
                  <c:v>232.58064516129033</c:v>
                </c:pt>
                <c:pt idx="30">
                  <c:v>216.1109090909091</c:v>
                </c:pt>
                <c:pt idx="31">
                  <c:v>209.30232558139534</c:v>
                </c:pt>
                <c:pt idx="32">
                  <c:v>208.53445850914204</c:v>
                </c:pt>
                <c:pt idx="33">
                  <c:v>199.11602209944752</c:v>
                </c:pt>
                <c:pt idx="34">
                  <c:v>194.75357710651829</c:v>
                </c:pt>
                <c:pt idx="35">
                  <c:v>193.2</c:v>
                </c:pt>
                <c:pt idx="36">
                  <c:v>184.84848484848484</c:v>
                </c:pt>
                <c:pt idx="37">
                  <c:v>180.9917355371901</c:v>
                </c:pt>
                <c:pt idx="38">
                  <c:v>180.40540540540542</c:v>
                </c:pt>
                <c:pt idx="39">
                  <c:v>180.02222222222221</c:v>
                </c:pt>
                <c:pt idx="40">
                  <c:v>177.46545974273462</c:v>
                </c:pt>
                <c:pt idx="41">
                  <c:v>173.78640776699029</c:v>
                </c:pt>
                <c:pt idx="42">
                  <c:v>173.6306641837368</c:v>
                </c:pt>
                <c:pt idx="43">
                  <c:v>170.79207920792078</c:v>
                </c:pt>
                <c:pt idx="44">
                  <c:v>169.47368421052633</c:v>
                </c:pt>
                <c:pt idx="45">
                  <c:v>165.5011655011655</c:v>
                </c:pt>
                <c:pt idx="46">
                  <c:v>162.71929824561403</c:v>
                </c:pt>
                <c:pt idx="47">
                  <c:v>160.64516129032259</c:v>
                </c:pt>
                <c:pt idx="48">
                  <c:v>144.9438202247191</c:v>
                </c:pt>
                <c:pt idx="49">
                  <c:v>144.07114624505928</c:v>
                </c:pt>
                <c:pt idx="50">
                  <c:v>142.93628808864267</c:v>
                </c:pt>
                <c:pt idx="51">
                  <c:v>137.22738095238094</c:v>
                </c:pt>
                <c:pt idx="52">
                  <c:v>136.87600644122384</c:v>
                </c:pt>
                <c:pt idx="53" formatCode="General">
                  <c:v>136.5</c:v>
                </c:pt>
                <c:pt idx="54">
                  <c:v>134.07821229050279</c:v>
                </c:pt>
                <c:pt idx="55">
                  <c:v>131.38888888888889</c:v>
                </c:pt>
                <c:pt idx="56">
                  <c:v>129.64601769911505</c:v>
                </c:pt>
                <c:pt idx="57">
                  <c:v>124.14338983050847</c:v>
                </c:pt>
                <c:pt idx="58">
                  <c:v>123.65853658536585</c:v>
                </c:pt>
                <c:pt idx="59">
                  <c:v>117.39418181818182</c:v>
                </c:pt>
                <c:pt idx="60">
                  <c:v>114.58625525946704</c:v>
                </c:pt>
                <c:pt idx="61">
                  <c:v>107.15846338535414</c:v>
                </c:pt>
                <c:pt idx="62">
                  <c:v>104.31034482758621</c:v>
                </c:pt>
                <c:pt idx="63">
                  <c:v>102.7592768791627</c:v>
                </c:pt>
                <c:pt idx="64">
                  <c:v>102.19274746814766</c:v>
                </c:pt>
                <c:pt idx="65">
                  <c:v>101.98019801980197</c:v>
                </c:pt>
                <c:pt idx="66">
                  <c:v>97.592592592592595</c:v>
                </c:pt>
                <c:pt idx="67">
                  <c:v>89.819428571428574</c:v>
                </c:pt>
                <c:pt idx="68">
                  <c:v>88.038277511961724</c:v>
                </c:pt>
                <c:pt idx="69">
                  <c:v>88.02</c:v>
                </c:pt>
                <c:pt idx="70">
                  <c:v>85.071030987787651</c:v>
                </c:pt>
                <c:pt idx="71">
                  <c:v>80.051925573344874</c:v>
                </c:pt>
                <c:pt idx="72">
                  <c:v>79.399141630901283</c:v>
                </c:pt>
                <c:pt idx="73">
                  <c:v>78.536585365853654</c:v>
                </c:pt>
                <c:pt idx="74">
                  <c:v>75.025641025641022</c:v>
                </c:pt>
                <c:pt idx="75">
                  <c:v>72.472924187725638</c:v>
                </c:pt>
                <c:pt idx="76">
                  <c:v>69.863215178702745</c:v>
                </c:pt>
                <c:pt idx="77">
                  <c:v>68.276434001382171</c:v>
                </c:pt>
                <c:pt idx="78">
                  <c:v>63.309352517985609</c:v>
                </c:pt>
                <c:pt idx="79">
                  <c:v>61.656780193540278</c:v>
                </c:pt>
                <c:pt idx="80">
                  <c:v>59.669826957501826</c:v>
                </c:pt>
                <c:pt idx="81">
                  <c:v>55.361466666666665</c:v>
                </c:pt>
                <c:pt idx="82">
                  <c:v>54.43181818181818</c:v>
                </c:pt>
                <c:pt idx="83">
                  <c:v>54.327146171693734</c:v>
                </c:pt>
                <c:pt idx="84">
                  <c:v>50.625</c:v>
                </c:pt>
                <c:pt idx="85">
                  <c:v>47.602564102564102</c:v>
                </c:pt>
                <c:pt idx="86">
                  <c:v>47.568210794730135</c:v>
                </c:pt>
                <c:pt idx="87">
                  <c:v>42.792642140468224</c:v>
                </c:pt>
                <c:pt idx="88">
                  <c:v>41.81818181818182</c:v>
                </c:pt>
                <c:pt idx="89">
                  <c:v>40.3765</c:v>
                </c:pt>
                <c:pt idx="90">
                  <c:v>35.961363636363636</c:v>
                </c:pt>
                <c:pt idx="91">
                  <c:v>33.492822966507177</c:v>
                </c:pt>
                <c:pt idx="92">
                  <c:v>33.333333333333336</c:v>
                </c:pt>
                <c:pt idx="93">
                  <c:v>32.132352941176471</c:v>
                </c:pt>
                <c:pt idx="94">
                  <c:v>31.837078651685392</c:v>
                </c:pt>
                <c:pt idx="95">
                  <c:v>31.092307692307692</c:v>
                </c:pt>
                <c:pt idx="96">
                  <c:v>29.317555555555554</c:v>
                </c:pt>
                <c:pt idx="97">
                  <c:v>26.970561797752808</c:v>
                </c:pt>
                <c:pt idx="98">
                  <c:v>25.4323499491353</c:v>
                </c:pt>
                <c:pt idx="99">
                  <c:v>15.175810665437222</c:v>
                </c:pt>
                <c:pt idx="100">
                  <c:v>14.858104420593051</c:v>
                </c:pt>
                <c:pt idx="101">
                  <c:v>13.336484889414148</c:v>
                </c:pt>
                <c:pt idx="102">
                  <c:v>7.5197619047619044</c:v>
                </c:pt>
              </c:numCache>
            </c:numRef>
          </c:yVal>
          <c:smooth val="0"/>
          <c:extLst>
            <c:ext xmlns:c16="http://schemas.microsoft.com/office/drawing/2014/chart" uri="{C3380CC4-5D6E-409C-BE32-E72D297353CC}">
              <c16:uniqueId val="{00000000-10DB-4555-ADC3-93F47C2E38B0}"/>
            </c:ext>
          </c:extLst>
        </c:ser>
        <c:dLbls>
          <c:showLegendKey val="0"/>
          <c:showVal val="0"/>
          <c:showCatName val="0"/>
          <c:showSerName val="0"/>
          <c:showPercent val="0"/>
          <c:showBubbleSize val="0"/>
        </c:dLbls>
        <c:axId val="989216776"/>
        <c:axId val="989221456"/>
      </c:scatterChart>
      <c:valAx>
        <c:axId val="989216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21456"/>
        <c:crosses val="autoZero"/>
        <c:crossBetween val="midCat"/>
      </c:valAx>
      <c:valAx>
        <c:axId val="9892214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16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CO2 emissions by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0A9-49EC-A3B0-11D3B5FF00B8}"/>
              </c:ext>
            </c:extLst>
          </c:dPt>
          <c:dPt>
            <c:idx val="1"/>
            <c:bubble3D val="0"/>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0A9-49EC-A3B0-11D3B5FF00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0A9-49EC-A3B0-11D3B5FF00B8}"/>
              </c:ext>
            </c:extLst>
          </c:dPt>
          <c:dPt>
            <c:idx val="3"/>
            <c:bubble3D val="0"/>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0A9-49EC-A3B0-11D3B5FF00B8}"/>
              </c:ext>
            </c:extLst>
          </c:dPt>
          <c:dPt>
            <c:idx val="4"/>
            <c:bubble3D val="0"/>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0A9-49EC-A3B0-11D3B5FF00B8}"/>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'Import 1 Emissions by Sector'!$C$6:$G$6</c:f>
              <c:strCache>
                <c:ptCount val="5"/>
                <c:pt idx="0">
                  <c:v>Energy industry</c:v>
                </c:pt>
                <c:pt idx="1">
                  <c:v>Transport</c:v>
                </c:pt>
                <c:pt idx="2">
                  <c:v>Other industrial combustion</c:v>
                </c:pt>
                <c:pt idx="3">
                  <c:v>Buildings</c:v>
                </c:pt>
                <c:pt idx="4">
                  <c:v>Other sectors</c:v>
                </c:pt>
              </c:strCache>
            </c:strRef>
          </c:cat>
          <c:val>
            <c:numRef>
              <c:f>'Import 1 Emissions by Sector'!$C$11:$G$11</c:f>
              <c:numCache>
                <c:formatCode>#,##0.0</c:formatCode>
                <c:ptCount val="5"/>
                <c:pt idx="0">
                  <c:v>37.659999999999997</c:v>
                </c:pt>
                <c:pt idx="1">
                  <c:v>20.190000000000001</c:v>
                </c:pt>
                <c:pt idx="2">
                  <c:v>21.44</c:v>
                </c:pt>
                <c:pt idx="3">
                  <c:v>9.01</c:v>
                </c:pt>
                <c:pt idx="4">
                  <c:v>11.69</c:v>
                </c:pt>
              </c:numCache>
            </c:numRef>
          </c:val>
          <c:extLst>
            <c:ext xmlns:c16="http://schemas.microsoft.com/office/drawing/2014/chart" uri="{C3380CC4-5D6E-409C-BE32-E72D297353CC}">
              <c16:uniqueId val="{0000000A-C0A9-49EC-A3B0-11D3B5FF00B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'Import 2 Primary Energy Sources'!$B$7</c:f>
              <c:strCache>
                <c:ptCount val="1"/>
                <c:pt idx="0">
                  <c:v>2021</c:v>
                </c:pt>
              </c:strCache>
            </c:strRef>
          </c:tx>
          <c:spPr>
            <a:solidFill>
              <a:schemeClr val="dk1">
                <a:tint val="88500"/>
              </a:schemeClr>
            </a:solidFill>
            <a:ln>
              <a:noFill/>
            </a:ln>
            <a:effectLst/>
          </c:spPr>
          <c:invertIfNegative val="0"/>
          <c:cat>
            <c:strRef>
              <c:f>'Import 2 Primary Energy Sources'!$C$6:$H$6</c:f>
              <c:strCache>
                <c:ptCount val="6"/>
                <c:pt idx="0">
                  <c:v>Oil</c:v>
                </c:pt>
                <c:pt idx="1">
                  <c:v>Coal</c:v>
                </c:pt>
                <c:pt idx="2">
                  <c:v>Natural Gas</c:v>
                </c:pt>
                <c:pt idx="3">
                  <c:v>Hydro-electricity</c:v>
                </c:pt>
                <c:pt idx="4">
                  <c:v>Renewables</c:v>
                </c:pt>
                <c:pt idx="5">
                  <c:v>Nuclear energy</c:v>
                </c:pt>
              </c:strCache>
            </c:strRef>
          </c:cat>
          <c:val>
            <c:numRef>
              <c:f>'Import 2 Primary Energy Sources'!$C$7:$H$7</c:f>
              <c:numCache>
                <c:formatCode>#,##0.0</c:formatCode>
                <c:ptCount val="6"/>
                <c:pt idx="0">
                  <c:v>184.86</c:v>
                </c:pt>
                <c:pt idx="1">
                  <c:v>160.43</c:v>
                </c:pt>
                <c:pt idx="2">
                  <c:v>146.41</c:v>
                </c:pt>
                <c:pt idx="3">
                  <c:v>40.4</c:v>
                </c:pt>
                <c:pt idx="4">
                  <c:v>39.97</c:v>
                </c:pt>
                <c:pt idx="5">
                  <c:v>25.33</c:v>
                </c:pt>
              </c:numCache>
            </c:numRef>
          </c:val>
          <c:extLst>
            <c:ext xmlns:c16="http://schemas.microsoft.com/office/drawing/2014/chart" uri="{C3380CC4-5D6E-409C-BE32-E72D297353CC}">
              <c16:uniqueId val="{00000000-2233-419D-80FA-75202128E6EF}"/>
            </c:ext>
          </c:extLst>
        </c:ser>
        <c:ser>
          <c:idx val="1"/>
          <c:order val="1"/>
          <c:tx>
            <c:strRef>
              <c:f>'Import 2 Primary Energy Sources'!$B$8</c:f>
              <c:strCache>
                <c:ptCount val="1"/>
                <c:pt idx="0">
                  <c:v>2022</c:v>
                </c:pt>
              </c:strCache>
            </c:strRef>
          </c:tx>
          <c:spPr>
            <a:solidFill>
              <a:schemeClr val="dk1">
                <a:tint val="55000"/>
              </a:schemeClr>
            </a:solidFill>
            <a:ln>
              <a:noFill/>
            </a:ln>
            <a:effectLst/>
          </c:spPr>
          <c:invertIfNegative val="0"/>
          <c:cat>
            <c:strRef>
              <c:f>'Import 2 Primary Energy Sources'!$C$6:$H$6</c:f>
              <c:strCache>
                <c:ptCount val="6"/>
                <c:pt idx="0">
                  <c:v>Oil</c:v>
                </c:pt>
                <c:pt idx="1">
                  <c:v>Coal</c:v>
                </c:pt>
                <c:pt idx="2">
                  <c:v>Natural Gas</c:v>
                </c:pt>
                <c:pt idx="3">
                  <c:v>Hydro-electricity</c:v>
                </c:pt>
                <c:pt idx="4">
                  <c:v>Renewables</c:v>
                </c:pt>
                <c:pt idx="5">
                  <c:v>Nuclear energy</c:v>
                </c:pt>
              </c:strCache>
            </c:strRef>
          </c:cat>
          <c:val>
            <c:numRef>
              <c:f>'Import 2 Primary Energy Sources'!$C$8:$H$8</c:f>
              <c:numCache>
                <c:formatCode>#,##0.0</c:formatCode>
                <c:ptCount val="6"/>
                <c:pt idx="0">
                  <c:v>190.69</c:v>
                </c:pt>
                <c:pt idx="1">
                  <c:v>161.47</c:v>
                </c:pt>
                <c:pt idx="2">
                  <c:v>141.88999999999999</c:v>
                </c:pt>
                <c:pt idx="3">
                  <c:v>40.68</c:v>
                </c:pt>
                <c:pt idx="4">
                  <c:v>45.18</c:v>
                </c:pt>
                <c:pt idx="5">
                  <c:v>24.13</c:v>
                </c:pt>
              </c:numCache>
            </c:numRef>
          </c:val>
          <c:extLst>
            <c:ext xmlns:c16="http://schemas.microsoft.com/office/drawing/2014/chart" uri="{C3380CC4-5D6E-409C-BE32-E72D297353CC}">
              <c16:uniqueId val="{00000001-2233-419D-80FA-75202128E6EF}"/>
            </c:ext>
          </c:extLst>
        </c:ser>
        <c:dLbls>
          <c:showLegendKey val="0"/>
          <c:showVal val="0"/>
          <c:showCatName val="0"/>
          <c:showSerName val="0"/>
          <c:showPercent val="0"/>
          <c:showBubbleSize val="0"/>
        </c:dLbls>
        <c:gapWidth val="150"/>
        <c:axId val="606964336"/>
        <c:axId val="606962536"/>
      </c:barChart>
      <c:catAx>
        <c:axId val="6069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62536"/>
        <c:crossesAt val="0"/>
        <c:auto val="1"/>
        <c:lblAlgn val="ctr"/>
        <c:lblOffset val="100"/>
        <c:noMultiLvlLbl val="0"/>
      </c:catAx>
      <c:valAx>
        <c:axId val="606962536"/>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Primary energy consumption [Exajoule]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64336"/>
        <c:crosses val="autoZero"/>
        <c:crossBetween val="between"/>
        <c:majorUnit val="5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'Import 2 Primary Energy Sources'!$B$26</c:f>
              <c:strCache>
                <c:ptCount val="1"/>
                <c:pt idx="0">
                  <c:v>2021</c:v>
                </c:pt>
              </c:strCache>
            </c:strRef>
          </c:tx>
          <c:spPr>
            <a:pattFill prst="weave">
              <a:fgClr>
                <a:srgbClr val="7030A0"/>
              </a:fgClr>
              <a:bgClr>
                <a:srgbClr val="AE78D6"/>
              </a:bgClr>
            </a:pattFill>
            <a:ln>
              <a:solidFill>
                <a:srgbClr val="7030A0"/>
              </a:solidFill>
            </a:ln>
            <a:effectLst/>
          </c:spPr>
          <c:invertIfNegative val="0"/>
          <c:cat>
            <c:strRef>
              <c:f>'Import 2 Primary Energy Sources'!$C$25:$H$25</c:f>
              <c:strCache>
                <c:ptCount val="6"/>
                <c:pt idx="0">
                  <c:v>Oil</c:v>
                </c:pt>
                <c:pt idx="1">
                  <c:v>Coal</c:v>
                </c:pt>
                <c:pt idx="2">
                  <c:v>Natural Gas</c:v>
                </c:pt>
                <c:pt idx="3">
                  <c:v>Hydro-electricity</c:v>
                </c:pt>
                <c:pt idx="4">
                  <c:v>Renewables</c:v>
                </c:pt>
                <c:pt idx="5">
                  <c:v>Nuclear energy</c:v>
                </c:pt>
              </c:strCache>
            </c:strRef>
          </c:cat>
          <c:val>
            <c:numRef>
              <c:f>'Import 2 Primary Energy Sources'!$C$26:$H$26</c:f>
              <c:numCache>
                <c:formatCode>0.0</c:formatCode>
                <c:ptCount val="6"/>
                <c:pt idx="0">
                  <c:v>30.944091061265482</c:v>
                </c:pt>
                <c:pt idx="1">
                  <c:v>26.854703716103113</c:v>
                </c:pt>
                <c:pt idx="2">
                  <c:v>24.50786742551054</c:v>
                </c:pt>
                <c:pt idx="3">
                  <c:v>6.762638098426514</c:v>
                </c:pt>
                <c:pt idx="4">
                  <c:v>6.6906595246066276</c:v>
                </c:pt>
                <c:pt idx="5">
                  <c:v>4.2400401740877127</c:v>
                </c:pt>
              </c:numCache>
            </c:numRef>
          </c:val>
          <c:extLst>
            <c:ext xmlns:c16="http://schemas.microsoft.com/office/drawing/2014/chart" uri="{C3380CC4-5D6E-409C-BE32-E72D297353CC}">
              <c16:uniqueId val="{00000000-CD91-472D-9A71-CD140B4CF397}"/>
            </c:ext>
          </c:extLst>
        </c:ser>
        <c:ser>
          <c:idx val="1"/>
          <c:order val="1"/>
          <c:tx>
            <c:strRef>
              <c:f>'Import 2 Primary Energy Sources'!$B$27</c:f>
              <c:strCache>
                <c:ptCount val="1"/>
                <c:pt idx="0">
                  <c:v>2022</c:v>
                </c:pt>
              </c:strCache>
            </c:strRef>
          </c:tx>
          <c:spPr>
            <a:pattFill prst="dotDmnd">
              <a:fgClr>
                <a:srgbClr val="AE78D6"/>
              </a:fgClr>
              <a:bgClr>
                <a:srgbClr val="7030A0"/>
              </a:bgClr>
            </a:pattFill>
            <a:ln>
              <a:noFill/>
            </a:ln>
            <a:effectLst/>
          </c:spPr>
          <c:invertIfNegative val="0"/>
          <c:cat>
            <c:strRef>
              <c:f>'Import 2 Primary Energy Sources'!$C$25:$H$25</c:f>
              <c:strCache>
                <c:ptCount val="6"/>
                <c:pt idx="0">
                  <c:v>Oil</c:v>
                </c:pt>
                <c:pt idx="1">
                  <c:v>Coal</c:v>
                </c:pt>
                <c:pt idx="2">
                  <c:v>Natural Gas</c:v>
                </c:pt>
                <c:pt idx="3">
                  <c:v>Hydro-electricity</c:v>
                </c:pt>
                <c:pt idx="4">
                  <c:v>Renewables</c:v>
                </c:pt>
                <c:pt idx="5">
                  <c:v>Nuclear energy</c:v>
                </c:pt>
              </c:strCache>
            </c:strRef>
          </c:cat>
          <c:val>
            <c:numRef>
              <c:f>'Import 2 Primary Energy Sources'!$C$27:$H$27</c:f>
              <c:numCache>
                <c:formatCode>0.0</c:formatCode>
                <c:ptCount val="6"/>
                <c:pt idx="0">
                  <c:v>31.56910138401431</c:v>
                </c:pt>
                <c:pt idx="1">
                  <c:v>26.731673399112648</c:v>
                </c:pt>
                <c:pt idx="2">
                  <c:v>23.490166214158005</c:v>
                </c:pt>
                <c:pt idx="3">
                  <c:v>6.7346533342162784</c:v>
                </c:pt>
                <c:pt idx="4">
                  <c:v>7.4796371101251591</c:v>
                </c:pt>
                <c:pt idx="5">
                  <c:v>3.994768558373619</c:v>
                </c:pt>
              </c:numCache>
            </c:numRef>
          </c:val>
          <c:extLst>
            <c:ext xmlns:c16="http://schemas.microsoft.com/office/drawing/2014/chart" uri="{C3380CC4-5D6E-409C-BE32-E72D297353CC}">
              <c16:uniqueId val="{00000001-CD91-472D-9A71-CD140B4CF397}"/>
            </c:ext>
          </c:extLst>
        </c:ser>
        <c:dLbls>
          <c:showLegendKey val="0"/>
          <c:showVal val="0"/>
          <c:showCatName val="0"/>
          <c:showSerName val="0"/>
          <c:showPercent val="0"/>
          <c:showBubbleSize val="0"/>
        </c:dLbls>
        <c:gapWidth val="150"/>
        <c:axId val="629896592"/>
        <c:axId val="629901992"/>
      </c:barChart>
      <c:catAx>
        <c:axId val="62989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01992"/>
        <c:crosses val="autoZero"/>
        <c:auto val="1"/>
        <c:lblAlgn val="ctr"/>
        <c:lblOffset val="100"/>
        <c:noMultiLvlLbl val="0"/>
      </c:catAx>
      <c:valAx>
        <c:axId val="629901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Share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9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'IV H2 ideal'!$S$46</c:f>
              <c:strCache>
                <c:ptCount val="1"/>
                <c:pt idx="0">
                  <c:v>SMR</c:v>
                </c:pt>
              </c:strCache>
            </c:strRef>
          </c:tx>
          <c:spPr>
            <a:pattFill prst="lgConfetti">
              <a:fgClr>
                <a:schemeClr val="tx1"/>
              </a:fgClr>
              <a:bgClr>
                <a:srgbClr val="B07AD8"/>
              </a:bgClr>
            </a:pattFill>
            <a:ln>
              <a:noFill/>
            </a:ln>
            <a:effectLst/>
          </c:spPr>
          <c:invertIfNegative val="0"/>
          <c:cat>
            <c:multiLvlStrRef>
              <c:f>'IV H2 ideal'!$Q$47:$R$50</c:f>
              <c:multiLvlStrCache>
                <c:ptCount val="4"/>
                <c:lvl>
                  <c:pt idx="0">
                    <c:v>Ideal</c:v>
                  </c:pt>
                  <c:pt idx="1">
                    <c:v>reported LCA</c:v>
                  </c:pt>
                  <c:pt idx="2">
                    <c:v>Ideal</c:v>
                  </c:pt>
                  <c:pt idx="3">
                    <c:v>reported LCA</c:v>
                  </c:pt>
                </c:lvl>
                <c:lvl>
                  <c:pt idx="0">
                    <c:v> Water footprint</c:v>
                  </c:pt>
                  <c:pt idx="2">
                    <c:v>Carbon footprint</c:v>
                  </c:pt>
                </c:lvl>
              </c:multiLvlStrCache>
            </c:multiLvlStrRef>
          </c:cat>
          <c:val>
            <c:numRef>
              <c:f>'IV H2 ideal'!$S$47:$S$50</c:f>
              <c:numCache>
                <c:formatCode>General</c:formatCode>
                <c:ptCount val="4"/>
                <c:pt idx="0">
                  <c:v>4.47</c:v>
                </c:pt>
                <c:pt idx="1">
                  <c:v>21.87</c:v>
                </c:pt>
                <c:pt idx="2">
                  <c:v>5.46</c:v>
                </c:pt>
                <c:pt idx="3">
                  <c:v>12.13</c:v>
                </c:pt>
              </c:numCache>
            </c:numRef>
          </c:val>
          <c:extLst>
            <c:ext xmlns:c16="http://schemas.microsoft.com/office/drawing/2014/chart" uri="{C3380CC4-5D6E-409C-BE32-E72D297353CC}">
              <c16:uniqueId val="{00000000-997B-450D-B287-96C4DB02F675}"/>
            </c:ext>
          </c:extLst>
        </c:ser>
        <c:ser>
          <c:idx val="1"/>
          <c:order val="1"/>
          <c:tx>
            <c:strRef>
              <c:f>'IV H2 ideal'!$T$46</c:f>
              <c:strCache>
                <c:ptCount val="1"/>
                <c:pt idx="0">
                  <c:v>DF</c:v>
                </c:pt>
              </c:strCache>
            </c:strRef>
          </c:tx>
          <c:spPr>
            <a:pattFill prst="divot">
              <a:fgClr>
                <a:srgbClr val="7030A0"/>
              </a:fgClr>
              <a:bgClr>
                <a:srgbClr val="BC8EDE"/>
              </a:bgClr>
            </a:pattFill>
            <a:ln>
              <a:noFill/>
            </a:ln>
            <a:effectLst/>
          </c:spPr>
          <c:invertIfNegative val="0"/>
          <c:cat>
            <c:multiLvlStrRef>
              <c:f>'IV H2 ideal'!$Q$47:$R$50</c:f>
              <c:multiLvlStrCache>
                <c:ptCount val="4"/>
                <c:lvl>
                  <c:pt idx="0">
                    <c:v>Ideal</c:v>
                  </c:pt>
                  <c:pt idx="1">
                    <c:v>reported LCA</c:v>
                  </c:pt>
                  <c:pt idx="2">
                    <c:v>Ideal</c:v>
                  </c:pt>
                  <c:pt idx="3">
                    <c:v>reported LCA</c:v>
                  </c:pt>
                </c:lvl>
                <c:lvl>
                  <c:pt idx="0">
                    <c:v> Water footprint</c:v>
                  </c:pt>
                  <c:pt idx="2">
                    <c:v>Carbon footprint</c:v>
                  </c:pt>
                </c:lvl>
              </c:multiLvlStrCache>
            </c:multiLvlStrRef>
          </c:cat>
          <c:val>
            <c:numRef>
              <c:f>'IV H2 ideal'!$T$47:$T$50</c:f>
              <c:numCache>
                <c:formatCode>General</c:formatCode>
                <c:ptCount val="4"/>
                <c:pt idx="0">
                  <c:v>4.47</c:v>
                </c:pt>
                <c:pt idx="1">
                  <c:v>30.96</c:v>
                </c:pt>
                <c:pt idx="2">
                  <c:v>10.92</c:v>
                </c:pt>
                <c:pt idx="3">
                  <c:v>16.29</c:v>
                </c:pt>
              </c:numCache>
            </c:numRef>
          </c:val>
          <c:extLst>
            <c:ext xmlns:c16="http://schemas.microsoft.com/office/drawing/2014/chart" uri="{C3380CC4-5D6E-409C-BE32-E72D297353CC}">
              <c16:uniqueId val="{00000001-997B-450D-B287-96C4DB02F675}"/>
            </c:ext>
          </c:extLst>
        </c:ser>
        <c:dLbls>
          <c:showLegendKey val="0"/>
          <c:showVal val="0"/>
          <c:showCatName val="0"/>
          <c:showSerName val="0"/>
          <c:showPercent val="0"/>
          <c:showBubbleSize val="0"/>
        </c:dLbls>
        <c:gapWidth val="300"/>
        <c:overlap val="-100"/>
        <c:axId val="646887464"/>
        <c:axId val="646885304"/>
      </c:barChart>
      <c:barChart>
        <c:barDir val="col"/>
        <c:grouping val="clustered"/>
        <c:varyColors val="0"/>
        <c:ser>
          <c:idx val="2"/>
          <c:order val="2"/>
          <c:tx>
            <c:strRef>
              <c:f>'IV H2 ideal'!$U$46</c:f>
              <c:strCache>
                <c:ptCount val="1"/>
                <c:pt idx="0">
                  <c:v>PEMWE (Wind)</c:v>
                </c:pt>
              </c:strCache>
            </c:strRef>
          </c:tx>
          <c:spPr>
            <a:pattFill prst="wave">
              <a:fgClr>
                <a:srgbClr val="A86ED4"/>
              </a:fgClr>
              <a:bgClr>
                <a:srgbClr val="ECDEF6"/>
              </a:bgClr>
            </a:pattFill>
            <a:ln>
              <a:noFill/>
            </a:ln>
            <a:effectLst/>
          </c:spPr>
          <c:invertIfNegative val="0"/>
          <c:cat>
            <c:multiLvlStrRef>
              <c:f>'IV H2 ideal'!$Q$47:$R$50</c:f>
              <c:multiLvlStrCache>
                <c:ptCount val="4"/>
                <c:lvl>
                  <c:pt idx="0">
                    <c:v>Ideal</c:v>
                  </c:pt>
                  <c:pt idx="1">
                    <c:v>reported LCA</c:v>
                  </c:pt>
                  <c:pt idx="2">
                    <c:v>Ideal</c:v>
                  </c:pt>
                  <c:pt idx="3">
                    <c:v>reported LCA</c:v>
                  </c:pt>
                </c:lvl>
                <c:lvl>
                  <c:pt idx="0">
                    <c:v> Water footprint</c:v>
                  </c:pt>
                  <c:pt idx="2">
                    <c:v>Carbon footprint</c:v>
                  </c:pt>
                </c:lvl>
              </c:multiLvlStrCache>
            </c:multiLvlStrRef>
          </c:cat>
          <c:val>
            <c:numRef>
              <c:f>'IV H2 ideal'!$U$47:$U$50</c:f>
              <c:numCache>
                <c:formatCode>General</c:formatCode>
                <c:ptCount val="4"/>
                <c:pt idx="0">
                  <c:v>8.94</c:v>
                </c:pt>
                <c:pt idx="1">
                  <c:v>18.04</c:v>
                </c:pt>
                <c:pt idx="2">
                  <c:v>0</c:v>
                </c:pt>
                <c:pt idx="3">
                  <c:v>2.21</c:v>
                </c:pt>
              </c:numCache>
            </c:numRef>
          </c:val>
          <c:extLst>
            <c:ext xmlns:c16="http://schemas.microsoft.com/office/drawing/2014/chart" uri="{C3380CC4-5D6E-409C-BE32-E72D297353CC}">
              <c16:uniqueId val="{00000002-997B-450D-B287-96C4DB02F675}"/>
            </c:ext>
          </c:extLst>
        </c:ser>
        <c:dLbls>
          <c:showLegendKey val="0"/>
          <c:showVal val="0"/>
          <c:showCatName val="0"/>
          <c:showSerName val="0"/>
          <c:showPercent val="0"/>
          <c:showBubbleSize val="0"/>
        </c:dLbls>
        <c:gapWidth val="500"/>
        <c:axId val="656308584"/>
        <c:axId val="656307144"/>
      </c:barChart>
      <c:catAx>
        <c:axId val="64688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885304"/>
        <c:crosses val="autoZero"/>
        <c:auto val="1"/>
        <c:lblAlgn val="ctr"/>
        <c:lblOffset val="100"/>
        <c:noMultiLvlLbl val="0"/>
      </c:catAx>
      <c:valAx>
        <c:axId val="646885304"/>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[kgH</a:t>
                </a:r>
                <a:r>
                  <a:rPr lang="en-GB" baseline="-25000"/>
                  <a:t>2</a:t>
                </a:r>
                <a:r>
                  <a:rPr lang="en-GB" baseline="0"/>
                  <a:t>0/kgH</a:t>
                </a:r>
                <a:r>
                  <a:rPr lang="en-GB" baseline="-25000"/>
                  <a:t>2</a:t>
                </a:r>
                <a:r>
                  <a:rPr lang="en-GB" baseline="0"/>
                  <a:t>]</a:t>
                </a:r>
              </a:p>
            </c:rich>
          </c:tx>
          <c:layout>
            <c:manualLayout>
              <c:xMode val="edge"/>
              <c:yMode val="edge"/>
              <c:x val="8.0568766120069801E-2"/>
              <c:y val="0.129774700390853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887464"/>
        <c:crosses val="autoZero"/>
        <c:crossBetween val="between"/>
      </c:valAx>
      <c:valAx>
        <c:axId val="656307144"/>
        <c:scaling>
          <c:orientation val="minMax"/>
          <c:max val="35"/>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kern="1200" baseline="0">
                    <a:solidFill>
                      <a:sysClr val="windowText" lastClr="000000">
                        <a:lumMod val="65000"/>
                        <a:lumOff val="35000"/>
                      </a:sysClr>
                    </a:solidFill>
                  </a:rPr>
                  <a:t>[kgCO</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/kgH</a:t>
                </a:r>
                <a:r>
                  <a:rPr lang="en-GB" sz="1000" b="0" i="0" u="none" strike="noStrike" kern="1200" baseline="-25000">
                    <a:solidFill>
                      <a:sysClr val="windowText" lastClr="000000">
                        <a:lumMod val="65000"/>
                        <a:lumOff val="35000"/>
                      </a:sysClr>
                    </a:solidFill>
                  </a:rPr>
                  <a:t>2</a:t>
                </a:r>
                <a:r>
                  <a:rPr lang="en-GB" sz="1000" b="0" i="0" u="none" strike="noStrike" kern="1200" baseline="0">
                    <a:solidFill>
                      <a:sysClr val="windowText" lastClr="000000">
                        <a:lumMod val="65000"/>
                        <a:lumOff val="35000"/>
                      </a:sysClr>
                    </a:solidFill>
                  </a:rPr>
                  <a:t>]</a:t>
                </a:r>
              </a:p>
            </c:rich>
          </c:tx>
          <c:layout>
            <c:manualLayout>
              <c:xMode val="edge"/>
              <c:yMode val="edge"/>
              <c:x val="0.95205965965360351"/>
              <c:y val="0.1262911464698331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08584"/>
        <c:crosses val="max"/>
        <c:crossBetween val="between"/>
      </c:valAx>
      <c:catAx>
        <c:axId val="656308584"/>
        <c:scaling>
          <c:orientation val="minMax"/>
        </c:scaling>
        <c:delete val="1"/>
        <c:axPos val="b"/>
        <c:numFmt formatCode="General" sourceLinked="1"/>
        <c:majorTickMark val="out"/>
        <c:minorTickMark val="none"/>
        <c:tickLblPos val="nextTo"/>
        <c:crossAx val="65630714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'IV H2 ideal'!$Q$38:$R$38</c:f>
              <c:strCache>
                <c:ptCount val="2"/>
                <c:pt idx="0">
                  <c:v>gray</c:v>
                </c:pt>
                <c:pt idx="1">
                  <c:v>SMR</c:v>
                </c:pt>
              </c:strCache>
            </c:strRef>
          </c:tx>
          <c:spPr>
            <a:solidFill>
              <a:schemeClr val="accent1"/>
            </a:solidFill>
            <a:ln>
              <a:noFill/>
            </a:ln>
            <a:effectLst/>
          </c:spPr>
          <c:invertIfNegative val="0"/>
          <c:cat>
            <c:multiLvlStrRef>
              <c:f>'IV H2 ideal'!$S$35:$W$37</c:f>
              <c:multiLvlStrCache>
                <c:ptCount val="5"/>
                <c:lvl>
                  <c:pt idx="0">
                    <c:v>[kgH20/kgH2]</c:v>
                  </c:pt>
                  <c:pt idx="1">
                    <c:v>[kgH20/kgH2]</c:v>
                  </c:pt>
                  <c:pt idx="3">
                    <c:v>[kgCO2/kgH2]</c:v>
                  </c:pt>
                  <c:pt idx="4">
                    <c:v>[kgCO2eq/kgH2]</c:v>
                  </c:pt>
                </c:lvl>
                <c:lvl>
                  <c:pt idx="0">
                    <c:v>ideal</c:v>
                  </c:pt>
                  <c:pt idx="1">
                    <c:v>reported</c:v>
                  </c:pt>
                  <c:pt idx="3">
                    <c:v>ideal</c:v>
                  </c:pt>
                  <c:pt idx="4">
                    <c:v>reported</c:v>
                  </c:pt>
                </c:lvl>
                <c:lvl>
                  <c:pt idx="0">
                    <c:v>water footprint</c:v>
                  </c:pt>
                  <c:pt idx="3">
                    <c:v>carbon footprint</c:v>
                  </c:pt>
                </c:lvl>
              </c:multiLvlStrCache>
            </c:multiLvlStrRef>
          </c:cat>
          <c:val>
            <c:numRef>
              <c:f>'IV H2 ideal'!$S$38:$W$38</c:f>
              <c:numCache>
                <c:formatCode>General</c:formatCode>
                <c:ptCount val="5"/>
                <c:pt idx="0">
                  <c:v>4.47</c:v>
                </c:pt>
                <c:pt idx="1">
                  <c:v>21.87</c:v>
                </c:pt>
                <c:pt idx="3">
                  <c:v>5.46</c:v>
                </c:pt>
                <c:pt idx="4">
                  <c:v>12.13</c:v>
                </c:pt>
              </c:numCache>
            </c:numRef>
          </c:val>
          <c:extLst>
            <c:ext xmlns:c16="http://schemas.microsoft.com/office/drawing/2014/chart" uri="{C3380CC4-5D6E-409C-BE32-E72D297353CC}">
              <c16:uniqueId val="{00000000-7375-4C03-B212-B31D93BCB1A7}"/>
            </c:ext>
          </c:extLst>
        </c:ser>
        <c:ser>
          <c:idx val="1"/>
          <c:order val="1"/>
          <c:tx>
            <c:strRef>
              <c:f>'IV H2 ideal'!$Q$39:$R$39</c:f>
              <c:strCache>
                <c:ptCount val="2"/>
                <c:pt idx="0">
                  <c:v>biohy.</c:v>
                </c:pt>
                <c:pt idx="1">
                  <c:v>DF</c:v>
                </c:pt>
              </c:strCache>
            </c:strRef>
          </c:tx>
          <c:spPr>
            <a:solidFill>
              <a:schemeClr val="accent2"/>
            </a:solidFill>
            <a:ln>
              <a:noFill/>
            </a:ln>
            <a:effectLst/>
          </c:spPr>
          <c:invertIfNegative val="0"/>
          <c:cat>
            <c:multiLvlStrRef>
              <c:f>'IV H2 ideal'!$S$35:$W$37</c:f>
              <c:multiLvlStrCache>
                <c:ptCount val="5"/>
                <c:lvl>
                  <c:pt idx="0">
                    <c:v>[kgH20/kgH2]</c:v>
                  </c:pt>
                  <c:pt idx="1">
                    <c:v>[kgH20/kgH2]</c:v>
                  </c:pt>
                  <c:pt idx="3">
                    <c:v>[kgCO2/kgH2]</c:v>
                  </c:pt>
                  <c:pt idx="4">
                    <c:v>[kgCO2eq/kgH2]</c:v>
                  </c:pt>
                </c:lvl>
                <c:lvl>
                  <c:pt idx="0">
                    <c:v>ideal</c:v>
                  </c:pt>
                  <c:pt idx="1">
                    <c:v>reported</c:v>
                  </c:pt>
                  <c:pt idx="3">
                    <c:v>ideal</c:v>
                  </c:pt>
                  <c:pt idx="4">
                    <c:v>reported</c:v>
                  </c:pt>
                </c:lvl>
                <c:lvl>
                  <c:pt idx="0">
                    <c:v>water footprint</c:v>
                  </c:pt>
                  <c:pt idx="3">
                    <c:v>carbon footprint</c:v>
                  </c:pt>
                </c:lvl>
              </c:multiLvlStrCache>
            </c:multiLvlStrRef>
          </c:cat>
          <c:val>
            <c:numRef>
              <c:f>'IV H2 ideal'!$S$39:$W$39</c:f>
              <c:numCache>
                <c:formatCode>General</c:formatCode>
                <c:ptCount val="5"/>
                <c:pt idx="0">
                  <c:v>4.47</c:v>
                </c:pt>
                <c:pt idx="1">
                  <c:v>30.96</c:v>
                </c:pt>
                <c:pt idx="3">
                  <c:v>10.92</c:v>
                </c:pt>
                <c:pt idx="4">
                  <c:v>16.27</c:v>
                </c:pt>
              </c:numCache>
            </c:numRef>
          </c:val>
          <c:extLst>
            <c:ext xmlns:c16="http://schemas.microsoft.com/office/drawing/2014/chart" uri="{C3380CC4-5D6E-409C-BE32-E72D297353CC}">
              <c16:uniqueId val="{00000001-7375-4C03-B212-B31D93BCB1A7}"/>
            </c:ext>
          </c:extLst>
        </c:ser>
        <c:ser>
          <c:idx val="2"/>
          <c:order val="2"/>
          <c:tx>
            <c:strRef>
              <c:f>'IV H2 ideal'!$Q$40:$R$40</c:f>
              <c:strCache>
                <c:ptCount val="2"/>
                <c:pt idx="0">
                  <c:v>green</c:v>
                </c:pt>
                <c:pt idx="1">
                  <c:v>PEMWE (Wind)</c:v>
                </c:pt>
              </c:strCache>
            </c:strRef>
          </c:tx>
          <c:spPr>
            <a:solidFill>
              <a:schemeClr val="accent3"/>
            </a:solidFill>
            <a:ln>
              <a:noFill/>
            </a:ln>
            <a:effectLst/>
          </c:spPr>
          <c:invertIfNegative val="0"/>
          <c:cat>
            <c:multiLvlStrRef>
              <c:f>'IV H2 ideal'!$S$35:$W$37</c:f>
              <c:multiLvlStrCache>
                <c:ptCount val="5"/>
                <c:lvl>
                  <c:pt idx="0">
                    <c:v>[kgH20/kgH2]</c:v>
                  </c:pt>
                  <c:pt idx="1">
                    <c:v>[kgH20/kgH2]</c:v>
                  </c:pt>
                  <c:pt idx="3">
                    <c:v>[kgCO2/kgH2]</c:v>
                  </c:pt>
                  <c:pt idx="4">
                    <c:v>[kgCO2eq/kgH2]</c:v>
                  </c:pt>
                </c:lvl>
                <c:lvl>
                  <c:pt idx="0">
                    <c:v>ideal</c:v>
                  </c:pt>
                  <c:pt idx="1">
                    <c:v>reported</c:v>
                  </c:pt>
                  <c:pt idx="3">
                    <c:v>ideal</c:v>
                  </c:pt>
                  <c:pt idx="4">
                    <c:v>reported</c:v>
                  </c:pt>
                </c:lvl>
                <c:lvl>
                  <c:pt idx="0">
                    <c:v>water footprint</c:v>
                  </c:pt>
                  <c:pt idx="3">
                    <c:v>carbon footprint</c:v>
                  </c:pt>
                </c:lvl>
              </c:multiLvlStrCache>
            </c:multiLvlStrRef>
          </c:cat>
          <c:val>
            <c:numRef>
              <c:f>'IV H2 ideal'!$S$40:$W$40</c:f>
              <c:numCache>
                <c:formatCode>0.00</c:formatCode>
                <c:ptCount val="5"/>
                <c:pt idx="0">
                  <c:v>8.9369977180275821</c:v>
                </c:pt>
                <c:pt idx="1">
                  <c:v>18.04</c:v>
                </c:pt>
                <c:pt idx="3">
                  <c:v>0</c:v>
                </c:pt>
                <c:pt idx="4">
                  <c:v>2.21</c:v>
                </c:pt>
              </c:numCache>
            </c:numRef>
          </c:val>
          <c:extLst>
            <c:ext xmlns:c16="http://schemas.microsoft.com/office/drawing/2014/chart" uri="{C3380CC4-5D6E-409C-BE32-E72D297353CC}">
              <c16:uniqueId val="{00000002-7375-4C03-B212-B31D93BCB1A7}"/>
            </c:ext>
          </c:extLst>
        </c:ser>
        <c:dLbls>
          <c:showLegendKey val="0"/>
          <c:showVal val="0"/>
          <c:showCatName val="0"/>
          <c:showSerName val="0"/>
          <c:showPercent val="0"/>
          <c:showBubbleSize val="0"/>
        </c:dLbls>
        <c:gapWidth val="150"/>
        <c:axId val="459207488"/>
        <c:axId val="459207848"/>
      </c:barChart>
      <c:catAx>
        <c:axId val="45920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07848"/>
        <c:crosses val="autoZero"/>
        <c:auto val="1"/>
        <c:lblAlgn val="ctr"/>
        <c:lblOffset val="100"/>
        <c:noMultiLvlLbl val="0"/>
      </c:catAx>
      <c:valAx>
        <c:axId val="4592078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0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'IV H2 ideal'!$S$46</c:f>
              <c:strCache>
                <c:ptCount val="1"/>
                <c:pt idx="0">
                  <c:v>SMR</c:v>
                </c:pt>
              </c:strCache>
            </c:strRef>
          </c:tx>
          <c:spPr>
            <a:solidFill>
              <a:schemeClr val="accent1"/>
            </a:solidFill>
            <a:ln>
              <a:noFill/>
            </a:ln>
            <a:effectLst/>
          </c:spPr>
          <c:invertIfNegative val="0"/>
          <c:cat>
            <c:multiLvlStrRef>
              <c:f>'IV H2 ideal'!$Q$47:$R$50</c:f>
              <c:multiLvlStrCache>
                <c:ptCount val="4"/>
                <c:lvl>
                  <c:pt idx="0">
                    <c:v>Ideal</c:v>
                  </c:pt>
                  <c:pt idx="1">
                    <c:v>reported LCA</c:v>
                  </c:pt>
                  <c:pt idx="2">
                    <c:v>Ideal</c:v>
                  </c:pt>
                  <c:pt idx="3">
                    <c:v>reported LCA</c:v>
                  </c:pt>
                </c:lvl>
                <c:lvl>
                  <c:pt idx="0">
                    <c:v> Water footprint</c:v>
                  </c:pt>
                  <c:pt idx="2">
                    <c:v>Carbon footprint</c:v>
                  </c:pt>
                </c:lvl>
              </c:multiLvlStrCache>
            </c:multiLvlStrRef>
          </c:cat>
          <c:val>
            <c:numRef>
              <c:f>'IV H2 ideal'!$S$47:$S$50</c:f>
              <c:numCache>
                <c:formatCode>General</c:formatCode>
                <c:ptCount val="4"/>
                <c:pt idx="0">
                  <c:v>4.47</c:v>
                </c:pt>
                <c:pt idx="1">
                  <c:v>21.87</c:v>
                </c:pt>
                <c:pt idx="2">
                  <c:v>5.46</c:v>
                </c:pt>
                <c:pt idx="3">
                  <c:v>12.13</c:v>
                </c:pt>
              </c:numCache>
            </c:numRef>
          </c:val>
          <c:extLst>
            <c:ext xmlns:c16="http://schemas.microsoft.com/office/drawing/2014/chart" uri="{C3380CC4-5D6E-409C-BE32-E72D297353CC}">
              <c16:uniqueId val="{00000000-C50B-4989-B7EB-7BB9BFBC5635}"/>
            </c:ext>
          </c:extLst>
        </c:ser>
        <c:ser>
          <c:idx val="1"/>
          <c:order val="1"/>
          <c:tx>
            <c:strRef>
              <c:f>'IV H2 ideal'!$T$46</c:f>
              <c:strCache>
                <c:ptCount val="1"/>
                <c:pt idx="0">
                  <c:v>DF</c:v>
                </c:pt>
              </c:strCache>
            </c:strRef>
          </c:tx>
          <c:spPr>
            <a:solidFill>
              <a:schemeClr val="accent2"/>
            </a:solidFill>
            <a:ln>
              <a:noFill/>
            </a:ln>
            <a:effectLst/>
          </c:spPr>
          <c:invertIfNegative val="0"/>
          <c:cat>
            <c:multiLvlStrRef>
              <c:f>'IV H2 ideal'!$Q$47:$R$50</c:f>
              <c:multiLvlStrCache>
                <c:ptCount val="4"/>
                <c:lvl>
                  <c:pt idx="0">
                    <c:v>Ideal</c:v>
                  </c:pt>
                  <c:pt idx="1">
                    <c:v>reported LCA</c:v>
                  </c:pt>
                  <c:pt idx="2">
                    <c:v>Ideal</c:v>
                  </c:pt>
                  <c:pt idx="3">
                    <c:v>reported LCA</c:v>
                  </c:pt>
                </c:lvl>
                <c:lvl>
                  <c:pt idx="0">
                    <c:v> Water footprint</c:v>
                  </c:pt>
                  <c:pt idx="2">
                    <c:v>Carbon footprint</c:v>
                  </c:pt>
                </c:lvl>
              </c:multiLvlStrCache>
            </c:multiLvlStrRef>
          </c:cat>
          <c:val>
            <c:numRef>
              <c:f>'IV H2 ideal'!$T$47:$T$50</c:f>
              <c:numCache>
                <c:formatCode>General</c:formatCode>
                <c:ptCount val="4"/>
                <c:pt idx="0">
                  <c:v>4.47</c:v>
                </c:pt>
                <c:pt idx="1">
                  <c:v>30.96</c:v>
                </c:pt>
                <c:pt idx="2">
                  <c:v>10.92</c:v>
                </c:pt>
                <c:pt idx="3">
                  <c:v>16.29</c:v>
                </c:pt>
              </c:numCache>
            </c:numRef>
          </c:val>
          <c:extLst>
            <c:ext xmlns:c16="http://schemas.microsoft.com/office/drawing/2014/chart" uri="{C3380CC4-5D6E-409C-BE32-E72D297353CC}">
              <c16:uniqueId val="{00000001-C50B-4989-B7EB-7BB9BFBC5635}"/>
            </c:ext>
          </c:extLst>
        </c:ser>
        <c:ser>
          <c:idx val="2"/>
          <c:order val="2"/>
          <c:tx>
            <c:strRef>
              <c:f>'IV H2 ideal'!$U$46</c:f>
              <c:strCache>
                <c:ptCount val="1"/>
                <c:pt idx="0">
                  <c:v>PEMWE (Wind)</c:v>
                </c:pt>
              </c:strCache>
            </c:strRef>
          </c:tx>
          <c:spPr>
            <a:solidFill>
              <a:schemeClr val="accent3"/>
            </a:solidFill>
            <a:ln>
              <a:noFill/>
            </a:ln>
            <a:effectLst/>
          </c:spPr>
          <c:invertIfNegative val="0"/>
          <c:cat>
            <c:multiLvlStrRef>
              <c:f>'IV H2 ideal'!$Q$47:$R$50</c:f>
              <c:multiLvlStrCache>
                <c:ptCount val="4"/>
                <c:lvl>
                  <c:pt idx="0">
                    <c:v>Ideal</c:v>
                  </c:pt>
                  <c:pt idx="1">
                    <c:v>reported LCA</c:v>
                  </c:pt>
                  <c:pt idx="2">
                    <c:v>Ideal</c:v>
                  </c:pt>
                  <c:pt idx="3">
                    <c:v>reported LCA</c:v>
                  </c:pt>
                </c:lvl>
                <c:lvl>
                  <c:pt idx="0">
                    <c:v> Water footprint</c:v>
                  </c:pt>
                  <c:pt idx="2">
                    <c:v>Carbon footprint</c:v>
                  </c:pt>
                </c:lvl>
              </c:multiLvlStrCache>
            </c:multiLvlStrRef>
          </c:cat>
          <c:val>
            <c:numRef>
              <c:f>'IV H2 ideal'!$U$47:$U$50</c:f>
              <c:numCache>
                <c:formatCode>General</c:formatCode>
                <c:ptCount val="4"/>
                <c:pt idx="0">
                  <c:v>8.94</c:v>
                </c:pt>
                <c:pt idx="1">
                  <c:v>18.04</c:v>
                </c:pt>
                <c:pt idx="2">
                  <c:v>0</c:v>
                </c:pt>
                <c:pt idx="3">
                  <c:v>2.21</c:v>
                </c:pt>
              </c:numCache>
            </c:numRef>
          </c:val>
          <c:extLst>
            <c:ext xmlns:c16="http://schemas.microsoft.com/office/drawing/2014/chart" uri="{C3380CC4-5D6E-409C-BE32-E72D297353CC}">
              <c16:uniqueId val="{00000002-C50B-4989-B7EB-7BB9BFBC5635}"/>
            </c:ext>
          </c:extLst>
        </c:ser>
        <c:dLbls>
          <c:showLegendKey val="0"/>
          <c:showVal val="0"/>
          <c:showCatName val="0"/>
          <c:showSerName val="0"/>
          <c:showPercent val="0"/>
          <c:showBubbleSize val="0"/>
        </c:dLbls>
        <c:gapWidth val="182"/>
        <c:axId val="518136136"/>
        <c:axId val="518134696"/>
      </c:barChart>
      <c:catAx>
        <c:axId val="518136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34696"/>
        <c:crosses val="autoZero"/>
        <c:auto val="1"/>
        <c:lblAlgn val="ctr"/>
        <c:lblOffset val="100"/>
        <c:noMultiLvlLbl val="0"/>
      </c:catAx>
      <c:valAx>
        <c:axId val="51813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36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[2]Data!$C$5</c:f>
              <c:strCache>
                <c:ptCount val="1"/>
                <c:pt idx="0">
                  <c:v>Refining</c:v>
                </c:pt>
              </c:strCache>
            </c:strRef>
          </c:tx>
          <c:spPr>
            <a:solidFill>
              <a:schemeClr val="accent1"/>
            </a:solidFill>
            <a:ln>
              <a:noFill/>
            </a:ln>
            <a:effectLst/>
          </c:spPr>
          <c:invertIfNegative val="0"/>
          <c:cat>
            <c:strRef>
              <c:f>[2]Data!$B$6:$B$11</c:f>
              <c:strCache>
                <c:ptCount val="6"/>
                <c:pt idx="0">
                  <c:v>2019</c:v>
                </c:pt>
                <c:pt idx="1">
                  <c:v>2030</c:v>
                </c:pt>
                <c:pt idx="2">
                  <c:v>2040</c:v>
                </c:pt>
                <c:pt idx="3">
                  <c:v>2050</c:v>
                </c:pt>
                <c:pt idx="4">
                  <c:v>2060</c:v>
                </c:pt>
                <c:pt idx="5">
                  <c:v>2070</c:v>
                </c:pt>
              </c:strCache>
            </c:strRef>
          </c:cat>
          <c:val>
            <c:numRef>
              <c:f>[2]Data!$C$6:$C$11</c:f>
              <c:numCache>
                <c:formatCode>General</c:formatCode>
                <c:ptCount val="6"/>
                <c:pt idx="0">
                  <c:v>38.4</c:v>
                </c:pt>
                <c:pt idx="1">
                  <c:v>32.9</c:v>
                </c:pt>
                <c:pt idx="2">
                  <c:v>25.1</c:v>
                </c:pt>
                <c:pt idx="3">
                  <c:v>16.899999999999999</c:v>
                </c:pt>
                <c:pt idx="4">
                  <c:v>10.5</c:v>
                </c:pt>
                <c:pt idx="5">
                  <c:v>7.8</c:v>
                </c:pt>
              </c:numCache>
            </c:numRef>
          </c:val>
          <c:extLst>
            <c:ext xmlns:c16="http://schemas.microsoft.com/office/drawing/2014/chart" uri="{C3380CC4-5D6E-409C-BE32-E72D297353CC}">
              <c16:uniqueId val="{00000000-2E3D-402B-8B8F-772B07665E63}"/>
            </c:ext>
          </c:extLst>
        </c:ser>
        <c:ser>
          <c:idx val="1"/>
          <c:order val="1"/>
          <c:tx>
            <c:strRef>
              <c:f>[2]Data!$D$5</c:f>
              <c:strCache>
                <c:ptCount val="1"/>
                <c:pt idx="0">
                  <c:v>Buildings</c:v>
                </c:pt>
              </c:strCache>
            </c:strRef>
          </c:tx>
          <c:spPr>
            <a:solidFill>
              <a:schemeClr val="accent2"/>
            </a:solidFill>
            <a:ln>
              <a:noFill/>
            </a:ln>
            <a:effectLst/>
          </c:spPr>
          <c:invertIfNegative val="0"/>
          <c:cat>
            <c:strRef>
              <c:f>[2]Data!$B$6:$B$11</c:f>
              <c:strCache>
                <c:ptCount val="6"/>
                <c:pt idx="0">
                  <c:v>2019</c:v>
                </c:pt>
                <c:pt idx="1">
                  <c:v>2030</c:v>
                </c:pt>
                <c:pt idx="2">
                  <c:v>2040</c:v>
                </c:pt>
                <c:pt idx="3">
                  <c:v>2050</c:v>
                </c:pt>
                <c:pt idx="4">
                  <c:v>2060</c:v>
                </c:pt>
                <c:pt idx="5">
                  <c:v>2070</c:v>
                </c:pt>
              </c:strCache>
            </c:strRef>
          </c:cat>
          <c:val>
            <c:numRef>
              <c:f>[2]Data!$D$6:$D$11</c:f>
              <c:numCache>
                <c:formatCode>General</c:formatCode>
                <c:ptCount val="6"/>
                <c:pt idx="0">
                  <c:v>0</c:v>
                </c:pt>
                <c:pt idx="1">
                  <c:v>2</c:v>
                </c:pt>
                <c:pt idx="2">
                  <c:v>13.2</c:v>
                </c:pt>
                <c:pt idx="3">
                  <c:v>26.6</c:v>
                </c:pt>
                <c:pt idx="4">
                  <c:v>29.6</c:v>
                </c:pt>
                <c:pt idx="5">
                  <c:v>27.4</c:v>
                </c:pt>
              </c:numCache>
            </c:numRef>
          </c:val>
          <c:extLst>
            <c:ext xmlns:c16="http://schemas.microsoft.com/office/drawing/2014/chart" uri="{C3380CC4-5D6E-409C-BE32-E72D297353CC}">
              <c16:uniqueId val="{00000001-2E3D-402B-8B8F-772B07665E63}"/>
            </c:ext>
          </c:extLst>
        </c:ser>
        <c:ser>
          <c:idx val="2"/>
          <c:order val="2"/>
          <c:tx>
            <c:strRef>
              <c:f>[2]Data!$E$5</c:f>
              <c:strCache>
                <c:ptCount val="1"/>
                <c:pt idx="0">
                  <c:v>Ammonia production</c:v>
                </c:pt>
              </c:strCache>
            </c:strRef>
          </c:tx>
          <c:spPr>
            <a:solidFill>
              <a:schemeClr val="accent3"/>
            </a:solidFill>
            <a:ln>
              <a:noFill/>
            </a:ln>
            <a:effectLst/>
          </c:spPr>
          <c:invertIfNegative val="0"/>
          <c:cat>
            <c:strRef>
              <c:f>[2]Data!$B$6:$B$11</c:f>
              <c:strCache>
                <c:ptCount val="6"/>
                <c:pt idx="0">
                  <c:v>2019</c:v>
                </c:pt>
                <c:pt idx="1">
                  <c:v>2030</c:v>
                </c:pt>
                <c:pt idx="2">
                  <c:v>2040</c:v>
                </c:pt>
                <c:pt idx="3">
                  <c:v>2050</c:v>
                </c:pt>
                <c:pt idx="4">
                  <c:v>2060</c:v>
                </c:pt>
                <c:pt idx="5">
                  <c:v>2070</c:v>
                </c:pt>
              </c:strCache>
            </c:strRef>
          </c:cat>
          <c:val>
            <c:numRef>
              <c:f>[2]Data!$E$6:$E$11</c:f>
              <c:numCache>
                <c:formatCode>General</c:formatCode>
                <c:ptCount val="6"/>
                <c:pt idx="0">
                  <c:v>0</c:v>
                </c:pt>
                <c:pt idx="1">
                  <c:v>0</c:v>
                </c:pt>
                <c:pt idx="2">
                  <c:v>7.2</c:v>
                </c:pt>
                <c:pt idx="3">
                  <c:v>18.3</c:v>
                </c:pt>
                <c:pt idx="4">
                  <c:v>33.299999999999997</c:v>
                </c:pt>
                <c:pt idx="5">
                  <c:v>53.6</c:v>
                </c:pt>
              </c:numCache>
            </c:numRef>
          </c:val>
          <c:extLst>
            <c:ext xmlns:c16="http://schemas.microsoft.com/office/drawing/2014/chart" uri="{C3380CC4-5D6E-409C-BE32-E72D297353CC}">
              <c16:uniqueId val="{00000002-2E3D-402B-8B8F-772B07665E63}"/>
            </c:ext>
          </c:extLst>
        </c:ser>
        <c:ser>
          <c:idx val="3"/>
          <c:order val="3"/>
          <c:tx>
            <c:strRef>
              <c:f>[2]Data!$F$5</c:f>
              <c:strCache>
                <c:ptCount val="1"/>
                <c:pt idx="0">
                  <c:v>Industry</c:v>
                </c:pt>
              </c:strCache>
            </c:strRef>
          </c:tx>
          <c:spPr>
            <a:solidFill>
              <a:schemeClr val="accent4"/>
            </a:solidFill>
            <a:ln>
              <a:noFill/>
            </a:ln>
            <a:effectLst/>
          </c:spPr>
          <c:invertIfNegative val="0"/>
          <c:cat>
            <c:strRef>
              <c:f>[2]Data!$B$6:$B$11</c:f>
              <c:strCache>
                <c:ptCount val="6"/>
                <c:pt idx="0">
                  <c:v>2019</c:v>
                </c:pt>
                <c:pt idx="1">
                  <c:v>2030</c:v>
                </c:pt>
                <c:pt idx="2">
                  <c:v>2040</c:v>
                </c:pt>
                <c:pt idx="3">
                  <c:v>2050</c:v>
                </c:pt>
                <c:pt idx="4">
                  <c:v>2060</c:v>
                </c:pt>
                <c:pt idx="5">
                  <c:v>2070</c:v>
                </c:pt>
              </c:strCache>
            </c:strRef>
          </c:cat>
          <c:val>
            <c:numRef>
              <c:f>[2]Data!$F$6:$F$11</c:f>
              <c:numCache>
                <c:formatCode>General</c:formatCode>
                <c:ptCount val="6"/>
                <c:pt idx="0">
                  <c:v>32.6</c:v>
                </c:pt>
                <c:pt idx="1">
                  <c:v>39.1</c:v>
                </c:pt>
                <c:pt idx="2">
                  <c:v>49.5</c:v>
                </c:pt>
                <c:pt idx="3">
                  <c:v>62.9</c:v>
                </c:pt>
                <c:pt idx="4">
                  <c:v>72</c:v>
                </c:pt>
                <c:pt idx="5">
                  <c:v>77.7</c:v>
                </c:pt>
              </c:numCache>
            </c:numRef>
          </c:val>
          <c:extLst>
            <c:ext xmlns:c16="http://schemas.microsoft.com/office/drawing/2014/chart" uri="{C3380CC4-5D6E-409C-BE32-E72D297353CC}">
              <c16:uniqueId val="{00000003-2E3D-402B-8B8F-772B07665E63}"/>
            </c:ext>
          </c:extLst>
        </c:ser>
        <c:ser>
          <c:idx val="4"/>
          <c:order val="4"/>
          <c:tx>
            <c:strRef>
              <c:f>[2]Data!$G$5</c:f>
              <c:strCache>
                <c:ptCount val="1"/>
                <c:pt idx="0">
                  <c:v>Power</c:v>
                </c:pt>
              </c:strCache>
            </c:strRef>
          </c:tx>
          <c:spPr>
            <a:solidFill>
              <a:schemeClr val="accent5"/>
            </a:solidFill>
            <a:ln>
              <a:noFill/>
            </a:ln>
            <a:effectLst/>
          </c:spPr>
          <c:invertIfNegative val="0"/>
          <c:cat>
            <c:strRef>
              <c:f>[2]Data!$B$6:$B$11</c:f>
              <c:strCache>
                <c:ptCount val="6"/>
                <c:pt idx="0">
                  <c:v>2019</c:v>
                </c:pt>
                <c:pt idx="1">
                  <c:v>2030</c:v>
                </c:pt>
                <c:pt idx="2">
                  <c:v>2040</c:v>
                </c:pt>
                <c:pt idx="3">
                  <c:v>2050</c:v>
                </c:pt>
                <c:pt idx="4">
                  <c:v>2060</c:v>
                </c:pt>
                <c:pt idx="5">
                  <c:v>2070</c:v>
                </c:pt>
              </c:strCache>
            </c:strRef>
          </c:cat>
          <c:val>
            <c:numRef>
              <c:f>[2]Data!$G$6:$G$11</c:f>
              <c:numCache>
                <c:formatCode>General</c:formatCode>
                <c:ptCount val="6"/>
                <c:pt idx="0">
                  <c:v>0</c:v>
                </c:pt>
                <c:pt idx="1">
                  <c:v>4.7</c:v>
                </c:pt>
                <c:pt idx="2">
                  <c:v>6.4</c:v>
                </c:pt>
                <c:pt idx="3">
                  <c:v>55</c:v>
                </c:pt>
                <c:pt idx="4">
                  <c:v>70.7</c:v>
                </c:pt>
                <c:pt idx="5">
                  <c:v>72.900000000000006</c:v>
                </c:pt>
              </c:numCache>
            </c:numRef>
          </c:val>
          <c:extLst>
            <c:ext xmlns:c16="http://schemas.microsoft.com/office/drawing/2014/chart" uri="{C3380CC4-5D6E-409C-BE32-E72D297353CC}">
              <c16:uniqueId val="{00000004-2E3D-402B-8B8F-772B07665E63}"/>
            </c:ext>
          </c:extLst>
        </c:ser>
        <c:ser>
          <c:idx val="5"/>
          <c:order val="5"/>
          <c:tx>
            <c:strRef>
              <c:f>[2]Data!$H$5</c:f>
              <c:strCache>
                <c:ptCount val="1"/>
                <c:pt idx="0">
                  <c:v>Synfuel production</c:v>
                </c:pt>
              </c:strCache>
            </c:strRef>
          </c:tx>
          <c:spPr>
            <a:solidFill>
              <a:schemeClr val="accent6"/>
            </a:solidFill>
            <a:ln>
              <a:noFill/>
            </a:ln>
            <a:effectLst/>
          </c:spPr>
          <c:invertIfNegative val="0"/>
          <c:cat>
            <c:strRef>
              <c:f>[2]Data!$B$6:$B$11</c:f>
              <c:strCache>
                <c:ptCount val="6"/>
                <c:pt idx="0">
                  <c:v>2019</c:v>
                </c:pt>
                <c:pt idx="1">
                  <c:v>2030</c:v>
                </c:pt>
                <c:pt idx="2">
                  <c:v>2040</c:v>
                </c:pt>
                <c:pt idx="3">
                  <c:v>2050</c:v>
                </c:pt>
                <c:pt idx="4">
                  <c:v>2060</c:v>
                </c:pt>
                <c:pt idx="5">
                  <c:v>2070</c:v>
                </c:pt>
              </c:strCache>
            </c:strRef>
          </c:cat>
          <c:val>
            <c:numRef>
              <c:f>[2]Data!$H$6:$H$11</c:f>
              <c:numCache>
                <c:formatCode>General</c:formatCode>
                <c:ptCount val="6"/>
                <c:pt idx="0">
                  <c:v>0</c:v>
                </c:pt>
                <c:pt idx="1">
                  <c:v>6.9</c:v>
                </c:pt>
                <c:pt idx="2">
                  <c:v>15.5</c:v>
                </c:pt>
                <c:pt idx="3">
                  <c:v>40.799999999999997</c:v>
                </c:pt>
                <c:pt idx="4">
                  <c:v>81.5</c:v>
                </c:pt>
                <c:pt idx="5">
                  <c:v>121.5</c:v>
                </c:pt>
              </c:numCache>
            </c:numRef>
          </c:val>
          <c:extLst>
            <c:ext xmlns:c16="http://schemas.microsoft.com/office/drawing/2014/chart" uri="{C3380CC4-5D6E-409C-BE32-E72D297353CC}">
              <c16:uniqueId val="{00000005-2E3D-402B-8B8F-772B07665E63}"/>
            </c:ext>
          </c:extLst>
        </c:ser>
        <c:ser>
          <c:idx val="6"/>
          <c:order val="6"/>
          <c:tx>
            <c:strRef>
              <c:f>[2]Data!$I$5</c:f>
              <c:strCache>
                <c:ptCount val="1"/>
                <c:pt idx="0">
                  <c:v>Transportation</c:v>
                </c:pt>
              </c:strCache>
            </c:strRef>
          </c:tx>
          <c:spPr>
            <a:solidFill>
              <a:schemeClr val="accent1">
                <a:lumMod val="60000"/>
              </a:schemeClr>
            </a:solidFill>
            <a:ln>
              <a:noFill/>
            </a:ln>
            <a:effectLst/>
          </c:spPr>
          <c:invertIfNegative val="0"/>
          <c:cat>
            <c:strRef>
              <c:f>[2]Data!$B$6:$B$11</c:f>
              <c:strCache>
                <c:ptCount val="6"/>
                <c:pt idx="0">
                  <c:v>2019</c:v>
                </c:pt>
                <c:pt idx="1">
                  <c:v>2030</c:v>
                </c:pt>
                <c:pt idx="2">
                  <c:v>2040</c:v>
                </c:pt>
                <c:pt idx="3">
                  <c:v>2050</c:v>
                </c:pt>
                <c:pt idx="4">
                  <c:v>2060</c:v>
                </c:pt>
                <c:pt idx="5">
                  <c:v>2070</c:v>
                </c:pt>
              </c:strCache>
            </c:strRef>
          </c:cat>
          <c:val>
            <c:numRef>
              <c:f>[2]Data!$I$6:$I$11</c:f>
              <c:numCache>
                <c:formatCode>General</c:formatCode>
                <c:ptCount val="6"/>
                <c:pt idx="0">
                  <c:v>0</c:v>
                </c:pt>
                <c:pt idx="1">
                  <c:v>1.6</c:v>
                </c:pt>
                <c:pt idx="2">
                  <c:v>19.600000000000001</c:v>
                </c:pt>
                <c:pt idx="3">
                  <c:v>66.5</c:v>
                </c:pt>
                <c:pt idx="4">
                  <c:v>117.6</c:v>
                </c:pt>
                <c:pt idx="5">
                  <c:v>158.19999999999999</c:v>
                </c:pt>
              </c:numCache>
            </c:numRef>
          </c:val>
          <c:extLst>
            <c:ext xmlns:c16="http://schemas.microsoft.com/office/drawing/2014/chart" uri="{C3380CC4-5D6E-409C-BE32-E72D297353CC}">
              <c16:uniqueId val="{00000006-2E3D-402B-8B8F-772B07665E63}"/>
            </c:ext>
          </c:extLst>
        </c:ser>
        <c:dLbls>
          <c:showLegendKey val="0"/>
          <c:showVal val="0"/>
          <c:showCatName val="0"/>
          <c:showSerName val="0"/>
          <c:showPercent val="0"/>
          <c:showBubbleSize val="0"/>
        </c:dLbls>
        <c:gapWidth val="150"/>
        <c:overlap val="100"/>
        <c:axId val="651294632"/>
        <c:axId val="651291752"/>
      </c:barChart>
      <c:catAx>
        <c:axId val="651294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91752"/>
        <c:crosses val="autoZero"/>
        <c:auto val="1"/>
        <c:lblAlgn val="ctr"/>
        <c:lblOffset val="100"/>
        <c:noMultiLvlLbl val="0"/>
      </c:catAx>
      <c:valAx>
        <c:axId val="651291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Hydrogen</a:t>
                </a:r>
                <a:r>
                  <a:rPr lang="en-GB" baseline="0"/>
                  <a:t> demand projection [million metric tons]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9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'VII Projected H2O Demand'!$D$34</c:f>
              <c:strCache>
                <c:ptCount val="1"/>
                <c:pt idx="0">
                  <c:v>FWS = 0 %</c:v>
                </c:pt>
              </c:strCache>
            </c:strRef>
          </c:tx>
          <c:spPr>
            <a:ln w="15875" cap="rnd">
              <a:solidFill>
                <a:srgbClr val="7030A0"/>
              </a:solidFill>
              <a:prstDash val="solid"/>
              <a:round/>
            </a:ln>
            <a:effectLst/>
          </c:spPr>
          <c:marker>
            <c:symbol val="none"/>
          </c:marker>
          <c:cat>
            <c:numRef>
              <c:f>'VII Projected H2O Demand'!$E$33:$J$33</c:f>
              <c:numCache>
                <c:formatCode>yyyy</c:formatCode>
                <c:ptCount val="6"/>
                <c:pt idx="0">
                  <c:v>43466</c:v>
                </c:pt>
                <c:pt idx="1">
                  <c:v>47484</c:v>
                </c:pt>
                <c:pt idx="2">
                  <c:v>51136</c:v>
                </c:pt>
                <c:pt idx="3">
                  <c:v>54789</c:v>
                </c:pt>
                <c:pt idx="4">
                  <c:v>58441</c:v>
                </c:pt>
                <c:pt idx="5">
                  <c:v>62094</c:v>
                </c:pt>
              </c:numCache>
            </c:numRef>
          </c:cat>
          <c:val>
            <c:numRef>
              <c:f>'VII Projected H2O Demand'!$E$34:$J$34</c:f>
              <c:numCache>
                <c:formatCode>_-* #,##0.00\ _€_-;\-* #,##0.00\ _€_-;_-* "-"??\ _€_-;_-@_-</c:formatCode>
                <c:ptCount val="6"/>
                <c:pt idx="0">
                  <c:v>66.41615930999491</c:v>
                </c:pt>
                <c:pt idx="1">
                  <c:v>81.570268899036009</c:v>
                </c:pt>
                <c:pt idx="2">
                  <c:v>127.68740487062404</c:v>
                </c:pt>
                <c:pt idx="3">
                  <c:v>268.4709538305429</c:v>
                </c:pt>
                <c:pt idx="4">
                  <c:v>388.39421613394217</c:v>
                </c:pt>
                <c:pt idx="5">
                  <c:v>485.58631405377963</c:v>
                </c:pt>
              </c:numCache>
            </c:numRef>
          </c:val>
          <c:smooth val="0"/>
          <c:extLst>
            <c:ext xmlns:c16="http://schemas.microsoft.com/office/drawing/2014/chart" uri="{C3380CC4-5D6E-409C-BE32-E72D297353CC}">
              <c16:uniqueId val="{00000000-4BB0-48C4-8766-7936468070A0}"/>
            </c:ext>
          </c:extLst>
        </c:ser>
        <c:ser>
          <c:idx val="1"/>
          <c:order val="1"/>
          <c:tx>
            <c:strRef>
              <c:f>'VII Projected H2O Demand'!$D$35</c:f>
              <c:strCache>
                <c:ptCount val="1"/>
                <c:pt idx="0">
                  <c:v>FWS = 25 %</c:v>
                </c:pt>
              </c:strCache>
            </c:strRef>
          </c:tx>
          <c:spPr>
            <a:ln w="15875" cap="rnd">
              <a:solidFill>
                <a:srgbClr val="BC8EDE"/>
              </a:solidFill>
              <a:prstDash val="dash"/>
              <a:round/>
            </a:ln>
            <a:effectLst/>
          </c:spPr>
          <c:marker>
            <c:symbol val="none"/>
          </c:marker>
          <c:cat>
            <c:numRef>
              <c:f>'VII Projected H2O Demand'!$E$33:$J$33</c:f>
              <c:numCache>
                <c:formatCode>yyyy</c:formatCode>
                <c:ptCount val="6"/>
                <c:pt idx="0">
                  <c:v>43466</c:v>
                </c:pt>
                <c:pt idx="1">
                  <c:v>47484</c:v>
                </c:pt>
                <c:pt idx="2">
                  <c:v>51136</c:v>
                </c:pt>
                <c:pt idx="3">
                  <c:v>54789</c:v>
                </c:pt>
                <c:pt idx="4">
                  <c:v>58441</c:v>
                </c:pt>
                <c:pt idx="5">
                  <c:v>62094</c:v>
                </c:pt>
              </c:numCache>
            </c:numRef>
          </c:cat>
          <c:val>
            <c:numRef>
              <c:f>'VII Projected H2O Demand'!$E$35:$J$35</c:f>
              <c:numCache>
                <c:formatCode>_-* #,##0.00\ _€_-;\-* #,##0.00\ _€_-;_-* "-"??\ _€_-;_-@_-</c:formatCode>
                <c:ptCount val="6"/>
                <c:pt idx="0">
                  <c:v>59.965911973617438</c:v>
                </c:pt>
                <c:pt idx="1">
                  <c:v>73.648274987316071</c:v>
                </c:pt>
                <c:pt idx="2">
                  <c:v>115.28657724505325</c:v>
                </c:pt>
                <c:pt idx="3">
                  <c:v>242.39741882293251</c:v>
                </c:pt>
                <c:pt idx="4">
                  <c:v>350.67389649923894</c:v>
                </c:pt>
                <c:pt idx="5">
                  <c:v>438.42682965499728</c:v>
                </c:pt>
              </c:numCache>
            </c:numRef>
          </c:val>
          <c:smooth val="0"/>
          <c:extLst>
            <c:ext xmlns:c16="http://schemas.microsoft.com/office/drawing/2014/chart" uri="{C3380CC4-5D6E-409C-BE32-E72D297353CC}">
              <c16:uniqueId val="{00000001-4BB0-48C4-8766-7936468070A0}"/>
            </c:ext>
          </c:extLst>
        </c:ser>
        <c:ser>
          <c:idx val="2"/>
          <c:order val="2"/>
          <c:tx>
            <c:strRef>
              <c:f>'VII Projected H2O Demand'!$D$36</c:f>
              <c:strCache>
                <c:ptCount val="1"/>
                <c:pt idx="0">
                  <c:v>FWS = 50 %</c:v>
                </c:pt>
              </c:strCache>
            </c:strRef>
          </c:tx>
          <c:spPr>
            <a:ln w="15875" cap="rnd">
              <a:solidFill>
                <a:srgbClr val="7030A0"/>
              </a:solidFill>
              <a:prstDash val="dashDot"/>
              <a:round/>
            </a:ln>
            <a:effectLst/>
          </c:spPr>
          <c:marker>
            <c:symbol val="none"/>
          </c:marker>
          <c:cat>
            <c:numRef>
              <c:f>'VII Projected H2O Demand'!$E$33:$J$33</c:f>
              <c:numCache>
                <c:formatCode>yyyy</c:formatCode>
                <c:ptCount val="6"/>
                <c:pt idx="0">
                  <c:v>43466</c:v>
                </c:pt>
                <c:pt idx="1">
                  <c:v>47484</c:v>
                </c:pt>
                <c:pt idx="2">
                  <c:v>51136</c:v>
                </c:pt>
                <c:pt idx="3">
                  <c:v>54789</c:v>
                </c:pt>
                <c:pt idx="4">
                  <c:v>58441</c:v>
                </c:pt>
                <c:pt idx="5">
                  <c:v>62094</c:v>
                </c:pt>
              </c:numCache>
            </c:numRef>
          </c:cat>
          <c:val>
            <c:numRef>
              <c:f>'VII Projected H2O Demand'!$E$36:$J$36</c:f>
              <c:numCache>
                <c:formatCode>_-* #,##0.00\ _€_-;\-* #,##0.00\ _€_-;_-* "-"??\ _€_-;_-@_-</c:formatCode>
                <c:ptCount val="6"/>
                <c:pt idx="0">
                  <c:v>53.515664637239972</c:v>
                </c:pt>
                <c:pt idx="1">
                  <c:v>65.726281075596134</c:v>
                </c:pt>
                <c:pt idx="2">
                  <c:v>102.88574961948248</c:v>
                </c:pt>
                <c:pt idx="3">
                  <c:v>216.32388381532218</c:v>
                </c:pt>
                <c:pt idx="4">
                  <c:v>312.95357686453576</c:v>
                </c:pt>
                <c:pt idx="5">
                  <c:v>391.26734525621498</c:v>
                </c:pt>
              </c:numCache>
            </c:numRef>
          </c:val>
          <c:smooth val="0"/>
          <c:extLst>
            <c:ext xmlns:c16="http://schemas.microsoft.com/office/drawing/2014/chart" uri="{C3380CC4-5D6E-409C-BE32-E72D297353CC}">
              <c16:uniqueId val="{00000002-4BB0-48C4-8766-7936468070A0}"/>
            </c:ext>
          </c:extLst>
        </c:ser>
        <c:ser>
          <c:idx val="3"/>
          <c:order val="3"/>
          <c:tx>
            <c:strRef>
              <c:f>'VII Projected H2O Demand'!$D$37</c:f>
              <c:strCache>
                <c:ptCount val="1"/>
                <c:pt idx="0">
                  <c:v>FWS = 75 %</c:v>
                </c:pt>
              </c:strCache>
            </c:strRef>
          </c:tx>
          <c:spPr>
            <a:ln w="15875" cap="rnd">
              <a:solidFill>
                <a:srgbClr val="BC8EDE"/>
              </a:solidFill>
              <a:prstDash val="sysDash"/>
              <a:round/>
            </a:ln>
            <a:effectLst/>
          </c:spPr>
          <c:marker>
            <c:symbol val="none"/>
          </c:marker>
          <c:cat>
            <c:numRef>
              <c:f>'VII Projected H2O Demand'!$E$33:$J$33</c:f>
              <c:numCache>
                <c:formatCode>yyyy</c:formatCode>
                <c:ptCount val="6"/>
                <c:pt idx="0">
                  <c:v>43466</c:v>
                </c:pt>
                <c:pt idx="1">
                  <c:v>47484</c:v>
                </c:pt>
                <c:pt idx="2">
                  <c:v>51136</c:v>
                </c:pt>
                <c:pt idx="3">
                  <c:v>54789</c:v>
                </c:pt>
                <c:pt idx="4">
                  <c:v>58441</c:v>
                </c:pt>
                <c:pt idx="5">
                  <c:v>62094</c:v>
                </c:pt>
              </c:numCache>
            </c:numRef>
          </c:cat>
          <c:val>
            <c:numRef>
              <c:f>'VII Projected H2O Demand'!$E$37:$J$37</c:f>
              <c:numCache>
                <c:formatCode>_-* #,##0.00\ _€_-;\-* #,##0.00\ _€_-;_-* "-"??\ _€_-;_-@_-</c:formatCode>
                <c:ptCount val="6"/>
                <c:pt idx="0">
                  <c:v>47.065417300862499</c:v>
                </c:pt>
                <c:pt idx="1">
                  <c:v>57.804287163876204</c:v>
                </c:pt>
                <c:pt idx="2">
                  <c:v>90.484921993911726</c:v>
                </c:pt>
                <c:pt idx="3">
                  <c:v>190.25034880771184</c:v>
                </c:pt>
                <c:pt idx="4">
                  <c:v>275.23325722983259</c:v>
                </c:pt>
                <c:pt idx="5">
                  <c:v>344.10786085743268</c:v>
                </c:pt>
              </c:numCache>
            </c:numRef>
          </c:val>
          <c:smooth val="0"/>
          <c:extLst>
            <c:ext xmlns:c16="http://schemas.microsoft.com/office/drawing/2014/chart" uri="{C3380CC4-5D6E-409C-BE32-E72D297353CC}">
              <c16:uniqueId val="{00000003-4BB0-48C4-8766-7936468070A0}"/>
            </c:ext>
          </c:extLst>
        </c:ser>
        <c:ser>
          <c:idx val="4"/>
          <c:order val="4"/>
          <c:tx>
            <c:strRef>
              <c:f>'VII Projected H2O Demand'!$D$38</c:f>
              <c:strCache>
                <c:ptCount val="1"/>
                <c:pt idx="0">
                  <c:v>FWS = 100 %</c:v>
                </c:pt>
              </c:strCache>
            </c:strRef>
          </c:tx>
          <c:spPr>
            <a:ln w="15875" cap="rnd">
              <a:solidFill>
                <a:srgbClr val="7030A0"/>
              </a:solidFill>
              <a:prstDash val="sysDot"/>
              <a:round/>
            </a:ln>
            <a:effectLst/>
          </c:spPr>
          <c:marker>
            <c:symbol val="none"/>
          </c:marker>
          <c:cat>
            <c:numRef>
              <c:f>'VII Projected H2O Demand'!$E$33:$J$33</c:f>
              <c:numCache>
                <c:formatCode>yyyy</c:formatCode>
                <c:ptCount val="6"/>
                <c:pt idx="0">
                  <c:v>43466</c:v>
                </c:pt>
                <c:pt idx="1">
                  <c:v>47484</c:v>
                </c:pt>
                <c:pt idx="2">
                  <c:v>51136</c:v>
                </c:pt>
                <c:pt idx="3">
                  <c:v>54789</c:v>
                </c:pt>
                <c:pt idx="4">
                  <c:v>58441</c:v>
                </c:pt>
                <c:pt idx="5">
                  <c:v>62094</c:v>
                </c:pt>
              </c:numCache>
            </c:numRef>
          </c:cat>
          <c:val>
            <c:numRef>
              <c:f>'VII Projected H2O Demand'!$E$38:$J$38</c:f>
              <c:numCache>
                <c:formatCode>_-* #,##0.00\ _€_-;\-* #,##0.00\ _€_-;_-* "-"??\ _€_-;_-@_-</c:formatCode>
                <c:ptCount val="6"/>
                <c:pt idx="0">
                  <c:v>40.615169964485027</c:v>
                </c:pt>
                <c:pt idx="1">
                  <c:v>49.882293252156259</c:v>
                </c:pt>
                <c:pt idx="2">
                  <c:v>78.084094368340942</c:v>
                </c:pt>
                <c:pt idx="3">
                  <c:v>164.17681380010146</c:v>
                </c:pt>
                <c:pt idx="4">
                  <c:v>237.51293759512936</c:v>
                </c:pt>
                <c:pt idx="5">
                  <c:v>296.94837645865033</c:v>
                </c:pt>
              </c:numCache>
            </c:numRef>
          </c:val>
          <c:smooth val="0"/>
          <c:extLst>
            <c:ext xmlns:c16="http://schemas.microsoft.com/office/drawing/2014/chart" uri="{C3380CC4-5D6E-409C-BE32-E72D297353CC}">
              <c16:uniqueId val="{00000004-4BB0-48C4-8766-7936468070A0}"/>
            </c:ext>
          </c:extLst>
        </c:ser>
        <c:dLbls>
          <c:showLegendKey val="0"/>
          <c:showVal val="0"/>
          <c:showCatName val="0"/>
          <c:showSerName val="0"/>
          <c:showPercent val="0"/>
          <c:showBubbleSize val="0"/>
        </c:dLbls>
        <c:smooth val="0"/>
        <c:axId val="693648696"/>
        <c:axId val="693650856"/>
      </c:lineChart>
      <c:dateAx>
        <c:axId val="693648696"/>
        <c:scaling>
          <c:orientation val="minMax"/>
          <c:min val="43831"/>
        </c:scaling>
        <c:delete val="0"/>
        <c:axPos val="b"/>
        <c:numFmt formatCode="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50856"/>
        <c:crosses val="autoZero"/>
        <c:auto val="1"/>
        <c:lblOffset val="100"/>
        <c:baseTimeUnit val="years"/>
        <c:majorUnit val="10"/>
        <c:majorTimeUnit val="years"/>
      </c:dateAx>
      <c:valAx>
        <c:axId val="693650856"/>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Green hydrogen</a:t>
                </a:r>
                <a:r>
                  <a:rPr lang="en-GB" baseline="0"/>
                  <a:t> </a:t>
                </a:r>
                <a:r>
                  <a:rPr lang="en-GB"/>
                  <a:t>raw water consumption [m³/s]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48696"/>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orientation="landscape"/>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gif"/><Relationship Id="rId1" Type="http://schemas.openxmlformats.org/officeDocument/2006/relationships/image" Target="../media/image27.gif"/><Relationship Id="rId4"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gif"/><Relationship Id="rId1" Type="http://schemas.openxmlformats.org/officeDocument/2006/relationships/image" Target="../media/image27.gif"/><Relationship Id="rId5" Type="http://schemas.openxmlformats.org/officeDocument/2006/relationships/chart" Target="../charts/chart17.xml"/><Relationship Id="rId4"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gif"/><Relationship Id="rId1" Type="http://schemas.openxmlformats.org/officeDocument/2006/relationships/image" Target="../media/image27.gif"/><Relationship Id="rId4"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chart" Target="../charts/chart6.xml"/><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chart" Target="../charts/chart5.xml"/><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3.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95250</xdr:colOff>
      <xdr:row>13</xdr:row>
      <xdr:rowOff>123825</xdr:rowOff>
    </xdr:from>
    <xdr:to>
      <xdr:col>5</xdr:col>
      <xdr:colOff>542925</xdr:colOff>
      <xdr:row>31</xdr:row>
      <xdr:rowOff>95250</xdr:rowOff>
    </xdr:to>
    <xdr:graphicFrame macro="">
      <xdr:nvGraphicFramePr>
        <xdr:cNvPr id="2" name="Diagramm 1">
          <a:extLst>
            <a:ext uri="{FF2B5EF4-FFF2-40B4-BE49-F238E27FC236}">
              <a16:creationId xmlns:a16="http://schemas.microsoft.com/office/drawing/2014/main" id="{5273F9C1-E415-45E6-B68D-A8A514C02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85724</xdr:colOff>
      <xdr:row>4</xdr:row>
      <xdr:rowOff>19050</xdr:rowOff>
    </xdr:from>
    <xdr:to>
      <xdr:col>15</xdr:col>
      <xdr:colOff>152400</xdr:colOff>
      <xdr:row>28</xdr:row>
      <xdr:rowOff>47625</xdr:rowOff>
    </xdr:to>
    <xdr:graphicFrame macro="">
      <xdr:nvGraphicFramePr>
        <xdr:cNvPr id="3" name="Diagramm 2">
          <a:extLst>
            <a:ext uri="{FF2B5EF4-FFF2-40B4-BE49-F238E27FC236}">
              <a16:creationId xmlns:a16="http://schemas.microsoft.com/office/drawing/2014/main" id="{914B1C46-2F3B-40C3-A733-C282B0A96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3</xdr:col>
      <xdr:colOff>75434</xdr:colOff>
      <xdr:row>53</xdr:row>
      <xdr:rowOff>42978</xdr:rowOff>
    </xdr:from>
    <xdr:ext cx="411898" cy="295275"/>
    <xdr:pic>
      <xdr:nvPicPr>
        <xdr:cNvPr id="3" name="Grafik 2">
          <a:extLst>
            <a:ext uri="{FF2B5EF4-FFF2-40B4-BE49-F238E27FC236}">
              <a16:creationId xmlns:a16="http://schemas.microsoft.com/office/drawing/2014/main" id="{3543F01D-7857-4393-833A-67CDE0AD91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084" y="6548553"/>
          <a:ext cx="411898" cy="295275"/>
        </a:xfrm>
        <a:prstGeom prst="rect">
          <a:avLst/>
        </a:prstGeom>
        <a:ln>
          <a:solidFill>
            <a:sysClr val="windowText" lastClr="000000"/>
          </a:solidFill>
        </a:ln>
      </xdr:spPr>
    </xdr:pic>
    <xdr:clientData/>
  </xdr:oneCellAnchor>
  <xdr:oneCellAnchor>
    <xdr:from>
      <xdr:col>3</xdr:col>
      <xdr:colOff>79614</xdr:colOff>
      <xdr:row>56</xdr:row>
      <xdr:rowOff>47624</xdr:rowOff>
    </xdr:from>
    <xdr:ext cx="409575" cy="295275"/>
    <xdr:pic>
      <xdr:nvPicPr>
        <xdr:cNvPr id="4" name="Grafik 3">
          <a:extLst>
            <a:ext uri="{FF2B5EF4-FFF2-40B4-BE49-F238E27FC236}">
              <a16:creationId xmlns:a16="http://schemas.microsoft.com/office/drawing/2014/main" id="{706DE8C4-A30E-4D99-BE5C-E9DF6A04AA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0264" y="7696199"/>
          <a:ext cx="409575" cy="295275"/>
        </a:xfrm>
        <a:prstGeom prst="rect">
          <a:avLst/>
        </a:prstGeom>
        <a:ln>
          <a:solidFill>
            <a:sysClr val="windowText" lastClr="000000"/>
          </a:solidFill>
        </a:ln>
      </xdr:spPr>
    </xdr:pic>
    <xdr:clientData/>
  </xdr:oneCellAnchor>
  <xdr:oneCellAnchor>
    <xdr:from>
      <xdr:col>3</xdr:col>
      <xdr:colOff>70323</xdr:colOff>
      <xdr:row>57</xdr:row>
      <xdr:rowOff>45647</xdr:rowOff>
    </xdr:from>
    <xdr:ext cx="410400" cy="295200"/>
    <xdr:pic>
      <xdr:nvPicPr>
        <xdr:cNvPr id="5" name="Grafik 4">
          <a:extLst>
            <a:ext uri="{FF2B5EF4-FFF2-40B4-BE49-F238E27FC236}">
              <a16:creationId xmlns:a16="http://schemas.microsoft.com/office/drawing/2014/main" id="{A5FC95B0-860E-4653-ACA7-76B5E1C437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0973" y="8075222"/>
          <a:ext cx="410400" cy="295200"/>
        </a:xfrm>
        <a:prstGeom prst="rect">
          <a:avLst/>
        </a:prstGeom>
        <a:ln>
          <a:solidFill>
            <a:sysClr val="windowText" lastClr="000000"/>
          </a:solidFill>
        </a:ln>
      </xdr:spPr>
    </xdr:pic>
    <xdr:clientData/>
  </xdr:oneCellAnchor>
  <xdr:oneCellAnchor>
    <xdr:from>
      <xdr:col>3</xdr:col>
      <xdr:colOff>70090</xdr:colOff>
      <xdr:row>54</xdr:row>
      <xdr:rowOff>40768</xdr:rowOff>
    </xdr:from>
    <xdr:ext cx="410400" cy="295200"/>
    <xdr:pic>
      <xdr:nvPicPr>
        <xdr:cNvPr id="6" name="Grafik 5">
          <a:extLst>
            <a:ext uri="{FF2B5EF4-FFF2-40B4-BE49-F238E27FC236}">
              <a16:creationId xmlns:a16="http://schemas.microsoft.com/office/drawing/2014/main" id="{46F7F3C1-98A7-4F42-9CB0-CABE7027DE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0740" y="7308343"/>
          <a:ext cx="410400" cy="295200"/>
        </a:xfrm>
        <a:prstGeom prst="rect">
          <a:avLst/>
        </a:prstGeom>
        <a:ln>
          <a:solidFill>
            <a:sysClr val="windowText" lastClr="000000"/>
          </a:solidFill>
        </a:ln>
      </xdr:spPr>
    </xdr:pic>
    <xdr:clientData/>
  </xdr:oneCellAnchor>
  <xdr:oneCellAnchor>
    <xdr:from>
      <xdr:col>3</xdr:col>
      <xdr:colOff>75200</xdr:colOff>
      <xdr:row>55</xdr:row>
      <xdr:rowOff>43211</xdr:rowOff>
    </xdr:from>
    <xdr:ext cx="410400" cy="295200"/>
    <xdr:pic>
      <xdr:nvPicPr>
        <xdr:cNvPr id="7" name="Grafik 6">
          <a:extLst>
            <a:ext uri="{FF2B5EF4-FFF2-40B4-BE49-F238E27FC236}">
              <a16:creationId xmlns:a16="http://schemas.microsoft.com/office/drawing/2014/main" id="{84E6E348-71B4-4076-AE4D-C3BA78AA821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5850" y="8453786"/>
          <a:ext cx="410400" cy="295200"/>
        </a:xfrm>
        <a:prstGeom prst="rect">
          <a:avLst/>
        </a:prstGeom>
        <a:ln>
          <a:solidFill>
            <a:sysClr val="windowText" lastClr="000000"/>
          </a:solidFill>
        </a:ln>
      </xdr:spPr>
    </xdr:pic>
    <xdr:clientData/>
  </xdr:oneCellAnchor>
  <xdr:oneCellAnchor>
    <xdr:from>
      <xdr:col>3</xdr:col>
      <xdr:colOff>79846</xdr:colOff>
      <xdr:row>52</xdr:row>
      <xdr:rowOff>42745</xdr:rowOff>
    </xdr:from>
    <xdr:ext cx="410400" cy="295200"/>
    <xdr:pic>
      <xdr:nvPicPr>
        <xdr:cNvPr id="8" name="Grafik 7">
          <a:extLst>
            <a:ext uri="{FF2B5EF4-FFF2-40B4-BE49-F238E27FC236}">
              <a16:creationId xmlns:a16="http://schemas.microsoft.com/office/drawing/2014/main" id="{453A5985-D5C0-4B48-AD3E-3DD39CA51E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70496" y="6929320"/>
          <a:ext cx="410400" cy="295200"/>
        </a:xfrm>
        <a:prstGeom prst="rect">
          <a:avLst/>
        </a:prstGeom>
        <a:ln>
          <a:solidFill>
            <a:sysClr val="windowText" lastClr="000000"/>
          </a:solidFill>
        </a:ln>
      </xdr:spPr>
    </xdr:pic>
    <xdr:clientData/>
  </xdr:oneCellAnchor>
  <xdr:twoCellAnchor>
    <xdr:from>
      <xdr:col>2</xdr:col>
      <xdr:colOff>100855</xdr:colOff>
      <xdr:row>33</xdr:row>
      <xdr:rowOff>62751</xdr:rowOff>
    </xdr:from>
    <xdr:to>
      <xdr:col>12</xdr:col>
      <xdr:colOff>712136</xdr:colOff>
      <xdr:row>49</xdr:row>
      <xdr:rowOff>310402</xdr:rowOff>
    </xdr:to>
    <xdr:graphicFrame macro="">
      <xdr:nvGraphicFramePr>
        <xdr:cNvPr id="9" name="Diagramm 8">
          <a:extLst>
            <a:ext uri="{FF2B5EF4-FFF2-40B4-BE49-F238E27FC236}">
              <a16:creationId xmlns:a16="http://schemas.microsoft.com/office/drawing/2014/main" id="{E1C483A2-92CA-4C01-A0C3-480B62D3B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79614</xdr:colOff>
      <xdr:row>19</xdr:row>
      <xdr:rowOff>47624</xdr:rowOff>
    </xdr:from>
    <xdr:ext cx="409575" cy="295275"/>
    <xdr:pic>
      <xdr:nvPicPr>
        <xdr:cNvPr id="10" name="Grafik 9">
          <a:extLst>
            <a:ext uri="{FF2B5EF4-FFF2-40B4-BE49-F238E27FC236}">
              <a16:creationId xmlns:a16="http://schemas.microsoft.com/office/drawing/2014/main" id="{5B2E8BEB-8D16-4567-AF6B-1C695B3B59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0264" y="3800474"/>
          <a:ext cx="409575" cy="295275"/>
        </a:xfrm>
        <a:prstGeom prst="rect">
          <a:avLst/>
        </a:prstGeom>
        <a:ln>
          <a:solidFill>
            <a:sysClr val="windowText" lastClr="000000"/>
          </a:solidFill>
        </a:ln>
      </xdr:spPr>
    </xdr:pic>
    <xdr:clientData/>
  </xdr:oneCellAnchor>
  <xdr:oneCellAnchor>
    <xdr:from>
      <xdr:col>3</xdr:col>
      <xdr:colOff>77943</xdr:colOff>
      <xdr:row>13</xdr:row>
      <xdr:rowOff>45647</xdr:rowOff>
    </xdr:from>
    <xdr:ext cx="410400" cy="295200"/>
    <xdr:pic>
      <xdr:nvPicPr>
        <xdr:cNvPr id="11" name="Grafik 10">
          <a:extLst>
            <a:ext uri="{FF2B5EF4-FFF2-40B4-BE49-F238E27FC236}">
              <a16:creationId xmlns:a16="http://schemas.microsoft.com/office/drawing/2014/main" id="{EF3A86E6-B354-4B25-A1CF-EBC763DE26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8593" y="2655497"/>
          <a:ext cx="410400" cy="295200"/>
        </a:xfrm>
        <a:prstGeom prst="rect">
          <a:avLst/>
        </a:prstGeom>
        <a:ln>
          <a:solidFill>
            <a:sysClr val="windowText" lastClr="000000"/>
          </a:solidFill>
        </a:ln>
      </xdr:spPr>
    </xdr:pic>
    <xdr:clientData/>
  </xdr:oneCellAnchor>
  <xdr:oneCellAnchor>
    <xdr:from>
      <xdr:col>3</xdr:col>
      <xdr:colOff>77710</xdr:colOff>
      <xdr:row>11</xdr:row>
      <xdr:rowOff>40768</xdr:rowOff>
    </xdr:from>
    <xdr:ext cx="410400" cy="295200"/>
    <xdr:pic>
      <xdr:nvPicPr>
        <xdr:cNvPr id="12" name="Grafik 11">
          <a:extLst>
            <a:ext uri="{FF2B5EF4-FFF2-40B4-BE49-F238E27FC236}">
              <a16:creationId xmlns:a16="http://schemas.microsoft.com/office/drawing/2014/main" id="{1D72E6AD-477A-4383-8561-4D1C3C7322B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8360" y="2269618"/>
          <a:ext cx="410400" cy="295200"/>
        </a:xfrm>
        <a:prstGeom prst="rect">
          <a:avLst/>
        </a:prstGeom>
        <a:ln>
          <a:solidFill>
            <a:sysClr val="windowText" lastClr="000000"/>
          </a:solidFill>
        </a:ln>
      </xdr:spPr>
    </xdr:pic>
    <xdr:clientData/>
  </xdr:oneCellAnchor>
  <xdr:oneCellAnchor>
    <xdr:from>
      <xdr:col>3</xdr:col>
      <xdr:colOff>79010</xdr:colOff>
      <xdr:row>15</xdr:row>
      <xdr:rowOff>43211</xdr:rowOff>
    </xdr:from>
    <xdr:ext cx="410400" cy="295200"/>
    <xdr:pic>
      <xdr:nvPicPr>
        <xdr:cNvPr id="13" name="Grafik 12">
          <a:extLst>
            <a:ext uri="{FF2B5EF4-FFF2-40B4-BE49-F238E27FC236}">
              <a16:creationId xmlns:a16="http://schemas.microsoft.com/office/drawing/2014/main" id="{17FC2391-8454-4269-98B4-D639E1EF8D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9660" y="3034061"/>
          <a:ext cx="410400" cy="295200"/>
        </a:xfrm>
        <a:prstGeom prst="rect">
          <a:avLst/>
        </a:prstGeom>
        <a:ln>
          <a:solidFill>
            <a:sysClr val="windowText" lastClr="000000"/>
          </a:solidFill>
        </a:ln>
      </xdr:spPr>
    </xdr:pic>
    <xdr:clientData/>
  </xdr:oneCellAnchor>
  <xdr:oneCellAnchor>
    <xdr:from>
      <xdr:col>3</xdr:col>
      <xdr:colOff>76036</xdr:colOff>
      <xdr:row>17</xdr:row>
      <xdr:rowOff>42745</xdr:rowOff>
    </xdr:from>
    <xdr:ext cx="410400" cy="295200"/>
    <xdr:pic>
      <xdr:nvPicPr>
        <xdr:cNvPr id="14" name="Grafik 13">
          <a:extLst>
            <a:ext uri="{FF2B5EF4-FFF2-40B4-BE49-F238E27FC236}">
              <a16:creationId xmlns:a16="http://schemas.microsoft.com/office/drawing/2014/main" id="{B159235E-639C-458B-8117-5DE2A00317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6686" y="3414595"/>
          <a:ext cx="410400" cy="295200"/>
        </a:xfrm>
        <a:prstGeom prst="rect">
          <a:avLst/>
        </a:prstGeom>
        <a:ln>
          <a:solidFill>
            <a:sysClr val="windowText" lastClr="000000"/>
          </a:solidFill>
        </a:ln>
      </xdr:spPr>
    </xdr:pic>
    <xdr:clientData/>
  </xdr:oneCellAnchor>
  <xdr:oneCellAnchor>
    <xdr:from>
      <xdr:col>3</xdr:col>
      <xdr:colOff>75434</xdr:colOff>
      <xdr:row>21</xdr:row>
      <xdr:rowOff>42978</xdr:rowOff>
    </xdr:from>
    <xdr:ext cx="411898" cy="295275"/>
    <xdr:pic>
      <xdr:nvPicPr>
        <xdr:cNvPr id="15" name="Grafik 14">
          <a:extLst>
            <a:ext uri="{FF2B5EF4-FFF2-40B4-BE49-F238E27FC236}">
              <a16:creationId xmlns:a16="http://schemas.microsoft.com/office/drawing/2014/main" id="{AEAE7A85-C6E7-4476-8A21-C2E0AE03AE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084" y="4176828"/>
          <a:ext cx="411898" cy="295275"/>
        </a:xfrm>
        <a:prstGeom prst="rect">
          <a:avLst/>
        </a:prstGeom>
        <a:ln>
          <a:solidFill>
            <a:sysClr val="windowText" lastClr="000000"/>
          </a:solidFill>
        </a:ln>
      </xdr:spPr>
    </xdr:pic>
    <xdr:clientData/>
  </xdr:oneCellAnchor>
  <xdr:oneCellAnchor>
    <xdr:from>
      <xdr:col>21</xdr:col>
      <xdr:colOff>260592</xdr:colOff>
      <xdr:row>33</xdr:row>
      <xdr:rowOff>40768</xdr:rowOff>
    </xdr:from>
    <xdr:ext cx="410400" cy="295200"/>
    <xdr:pic>
      <xdr:nvPicPr>
        <xdr:cNvPr id="64" name="Grafik 63">
          <a:extLst>
            <a:ext uri="{FF2B5EF4-FFF2-40B4-BE49-F238E27FC236}">
              <a16:creationId xmlns:a16="http://schemas.microsoft.com/office/drawing/2014/main" id="{58D01204-501A-480E-866B-63BB5937E6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05945" y="6865150"/>
          <a:ext cx="410400" cy="295200"/>
        </a:xfrm>
        <a:prstGeom prst="rect">
          <a:avLst/>
        </a:prstGeom>
        <a:ln>
          <a:solidFill>
            <a:sysClr val="windowText" lastClr="000000"/>
          </a:solidFill>
        </a:ln>
      </xdr:spPr>
    </xdr:pic>
    <xdr:clientData/>
  </xdr:oneCellAnchor>
  <xdr:oneCellAnchor>
    <xdr:from>
      <xdr:col>21</xdr:col>
      <xdr:colOff>260825</xdr:colOff>
      <xdr:row>34</xdr:row>
      <xdr:rowOff>45647</xdr:rowOff>
    </xdr:from>
    <xdr:ext cx="410400" cy="295200"/>
    <xdr:pic>
      <xdr:nvPicPr>
        <xdr:cNvPr id="65" name="Grafik 64">
          <a:extLst>
            <a:ext uri="{FF2B5EF4-FFF2-40B4-BE49-F238E27FC236}">
              <a16:creationId xmlns:a16="http://schemas.microsoft.com/office/drawing/2014/main" id="{C8617709-0D23-4BE0-8642-2A810D5579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06178" y="7251029"/>
          <a:ext cx="410400" cy="295200"/>
        </a:xfrm>
        <a:prstGeom prst="rect">
          <a:avLst/>
        </a:prstGeom>
        <a:ln>
          <a:solidFill>
            <a:sysClr val="windowText" lastClr="000000"/>
          </a:solidFill>
        </a:ln>
      </xdr:spPr>
    </xdr:pic>
    <xdr:clientData/>
  </xdr:oneCellAnchor>
  <xdr:oneCellAnchor>
    <xdr:from>
      <xdr:col>21</xdr:col>
      <xdr:colOff>265702</xdr:colOff>
      <xdr:row>35</xdr:row>
      <xdr:rowOff>43211</xdr:rowOff>
    </xdr:from>
    <xdr:ext cx="410400" cy="295200"/>
    <xdr:pic>
      <xdr:nvPicPr>
        <xdr:cNvPr id="66" name="Grafik 65">
          <a:extLst>
            <a:ext uri="{FF2B5EF4-FFF2-40B4-BE49-F238E27FC236}">
              <a16:creationId xmlns:a16="http://schemas.microsoft.com/office/drawing/2014/main" id="{620E1884-CB92-4831-ADFA-CDCEC057BE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11055" y="7629593"/>
          <a:ext cx="410400" cy="295200"/>
        </a:xfrm>
        <a:prstGeom prst="rect">
          <a:avLst/>
        </a:prstGeom>
        <a:ln>
          <a:solidFill>
            <a:sysClr val="windowText" lastClr="000000"/>
          </a:solidFill>
        </a:ln>
      </xdr:spPr>
    </xdr:pic>
    <xdr:clientData/>
  </xdr:oneCellAnchor>
  <xdr:oneCellAnchor>
    <xdr:from>
      <xdr:col>21</xdr:col>
      <xdr:colOff>263779</xdr:colOff>
      <xdr:row>36</xdr:row>
      <xdr:rowOff>42745</xdr:rowOff>
    </xdr:from>
    <xdr:ext cx="410400" cy="295200"/>
    <xdr:pic>
      <xdr:nvPicPr>
        <xdr:cNvPr id="67" name="Grafik 66">
          <a:extLst>
            <a:ext uri="{FF2B5EF4-FFF2-40B4-BE49-F238E27FC236}">
              <a16:creationId xmlns:a16="http://schemas.microsoft.com/office/drawing/2014/main" id="{5E21E22F-1F9C-46D2-907A-2914A8DD48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09132" y="8010127"/>
          <a:ext cx="410400" cy="295200"/>
        </a:xfrm>
        <a:prstGeom prst="rect">
          <a:avLst/>
        </a:prstGeom>
        <a:ln>
          <a:solidFill>
            <a:sysClr val="windowText" lastClr="000000"/>
          </a:solidFill>
        </a:ln>
      </xdr:spPr>
    </xdr:pic>
    <xdr:clientData/>
  </xdr:oneCellAnchor>
  <xdr:oneCellAnchor>
    <xdr:from>
      <xdr:col>21</xdr:col>
      <xdr:colOff>265936</xdr:colOff>
      <xdr:row>37</xdr:row>
      <xdr:rowOff>42978</xdr:rowOff>
    </xdr:from>
    <xdr:ext cx="411898" cy="295275"/>
    <xdr:pic>
      <xdr:nvPicPr>
        <xdr:cNvPr id="68" name="Grafik 67">
          <a:extLst>
            <a:ext uri="{FF2B5EF4-FFF2-40B4-BE49-F238E27FC236}">
              <a16:creationId xmlns:a16="http://schemas.microsoft.com/office/drawing/2014/main" id="{61DCFFB7-D739-4844-A65A-B85C573763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11289" y="8391360"/>
          <a:ext cx="411898" cy="295275"/>
        </a:xfrm>
        <a:prstGeom prst="rect">
          <a:avLst/>
        </a:prstGeom>
        <a:ln>
          <a:solidFill>
            <a:sysClr val="windowText" lastClr="000000"/>
          </a:solidFill>
        </a:ln>
      </xdr:spPr>
    </xdr:pic>
    <xdr:clientData/>
  </xdr:oneCellAnchor>
  <xdr:oneCellAnchor>
    <xdr:from>
      <xdr:col>21</xdr:col>
      <xdr:colOff>270116</xdr:colOff>
      <xdr:row>38</xdr:row>
      <xdr:rowOff>47624</xdr:rowOff>
    </xdr:from>
    <xdr:ext cx="409575" cy="295275"/>
    <xdr:pic>
      <xdr:nvPicPr>
        <xdr:cNvPr id="69" name="Grafik 68">
          <a:extLst>
            <a:ext uri="{FF2B5EF4-FFF2-40B4-BE49-F238E27FC236}">
              <a16:creationId xmlns:a16="http://schemas.microsoft.com/office/drawing/2014/main" id="{EA427EA1-F30E-4813-9DF2-1168DEAC68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15469" y="8777006"/>
          <a:ext cx="409575" cy="295275"/>
        </a:xfrm>
        <a:prstGeom prst="rect">
          <a:avLst/>
        </a:prstGeom>
        <a:ln>
          <a:solidFill>
            <a:sysClr val="windowText" lastClr="000000"/>
          </a:solidFill>
        </a:ln>
      </xdr:spPr>
    </xdr:pic>
    <xdr:clientData/>
  </xdr:oneCellAnchor>
  <xdr:oneCellAnchor>
    <xdr:from>
      <xdr:col>30</xdr:col>
      <xdr:colOff>260592</xdr:colOff>
      <xdr:row>33</xdr:row>
      <xdr:rowOff>40768</xdr:rowOff>
    </xdr:from>
    <xdr:ext cx="410400" cy="295200"/>
    <xdr:pic>
      <xdr:nvPicPr>
        <xdr:cNvPr id="70" name="Grafik 69">
          <a:extLst>
            <a:ext uri="{FF2B5EF4-FFF2-40B4-BE49-F238E27FC236}">
              <a16:creationId xmlns:a16="http://schemas.microsoft.com/office/drawing/2014/main" id="{2C1153BB-4B42-423F-A191-8BD12A0178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93298" y="6865150"/>
          <a:ext cx="410400" cy="295200"/>
        </a:xfrm>
        <a:prstGeom prst="rect">
          <a:avLst/>
        </a:prstGeom>
        <a:ln>
          <a:solidFill>
            <a:sysClr val="windowText" lastClr="000000"/>
          </a:solidFill>
        </a:ln>
      </xdr:spPr>
    </xdr:pic>
    <xdr:clientData/>
  </xdr:oneCellAnchor>
  <xdr:oneCellAnchor>
    <xdr:from>
      <xdr:col>30</xdr:col>
      <xdr:colOff>260825</xdr:colOff>
      <xdr:row>34</xdr:row>
      <xdr:rowOff>45647</xdr:rowOff>
    </xdr:from>
    <xdr:ext cx="410400" cy="295200"/>
    <xdr:pic>
      <xdr:nvPicPr>
        <xdr:cNvPr id="71" name="Grafik 70">
          <a:extLst>
            <a:ext uri="{FF2B5EF4-FFF2-40B4-BE49-F238E27FC236}">
              <a16:creationId xmlns:a16="http://schemas.microsoft.com/office/drawing/2014/main" id="{FEF0CE15-8658-415B-A486-A22C290FBA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93531" y="7251029"/>
          <a:ext cx="410400" cy="295200"/>
        </a:xfrm>
        <a:prstGeom prst="rect">
          <a:avLst/>
        </a:prstGeom>
        <a:ln>
          <a:solidFill>
            <a:sysClr val="windowText" lastClr="000000"/>
          </a:solidFill>
        </a:ln>
      </xdr:spPr>
    </xdr:pic>
    <xdr:clientData/>
  </xdr:oneCellAnchor>
  <xdr:oneCellAnchor>
    <xdr:from>
      <xdr:col>30</xdr:col>
      <xdr:colOff>265702</xdr:colOff>
      <xdr:row>35</xdr:row>
      <xdr:rowOff>43211</xdr:rowOff>
    </xdr:from>
    <xdr:ext cx="410400" cy="295200"/>
    <xdr:pic>
      <xdr:nvPicPr>
        <xdr:cNvPr id="72" name="Grafik 71">
          <a:extLst>
            <a:ext uri="{FF2B5EF4-FFF2-40B4-BE49-F238E27FC236}">
              <a16:creationId xmlns:a16="http://schemas.microsoft.com/office/drawing/2014/main" id="{3F59D871-E139-414B-9917-97DDD8916E2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98408" y="7629593"/>
          <a:ext cx="410400" cy="295200"/>
        </a:xfrm>
        <a:prstGeom prst="rect">
          <a:avLst/>
        </a:prstGeom>
        <a:ln>
          <a:solidFill>
            <a:sysClr val="windowText" lastClr="000000"/>
          </a:solidFill>
        </a:ln>
      </xdr:spPr>
    </xdr:pic>
    <xdr:clientData/>
  </xdr:oneCellAnchor>
  <xdr:oneCellAnchor>
    <xdr:from>
      <xdr:col>30</xdr:col>
      <xdr:colOff>263779</xdr:colOff>
      <xdr:row>36</xdr:row>
      <xdr:rowOff>42745</xdr:rowOff>
    </xdr:from>
    <xdr:ext cx="410400" cy="295200"/>
    <xdr:pic>
      <xdr:nvPicPr>
        <xdr:cNvPr id="73" name="Grafik 72">
          <a:extLst>
            <a:ext uri="{FF2B5EF4-FFF2-40B4-BE49-F238E27FC236}">
              <a16:creationId xmlns:a16="http://schemas.microsoft.com/office/drawing/2014/main" id="{FB39B000-36F4-4666-BFE9-0F6BA39DC9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96485" y="8010127"/>
          <a:ext cx="410400" cy="295200"/>
        </a:xfrm>
        <a:prstGeom prst="rect">
          <a:avLst/>
        </a:prstGeom>
        <a:ln>
          <a:solidFill>
            <a:sysClr val="windowText" lastClr="000000"/>
          </a:solidFill>
        </a:ln>
      </xdr:spPr>
    </xdr:pic>
    <xdr:clientData/>
  </xdr:oneCellAnchor>
  <xdr:oneCellAnchor>
    <xdr:from>
      <xdr:col>30</xdr:col>
      <xdr:colOff>265936</xdr:colOff>
      <xdr:row>37</xdr:row>
      <xdr:rowOff>42978</xdr:rowOff>
    </xdr:from>
    <xdr:ext cx="411898" cy="295275"/>
    <xdr:pic>
      <xdr:nvPicPr>
        <xdr:cNvPr id="74" name="Grafik 73">
          <a:extLst>
            <a:ext uri="{FF2B5EF4-FFF2-40B4-BE49-F238E27FC236}">
              <a16:creationId xmlns:a16="http://schemas.microsoft.com/office/drawing/2014/main" id="{67A1F1DE-47B4-494E-84D1-3CB679DA94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98642" y="8391360"/>
          <a:ext cx="411898" cy="295275"/>
        </a:xfrm>
        <a:prstGeom prst="rect">
          <a:avLst/>
        </a:prstGeom>
        <a:ln>
          <a:solidFill>
            <a:sysClr val="windowText" lastClr="000000"/>
          </a:solidFill>
        </a:ln>
      </xdr:spPr>
    </xdr:pic>
    <xdr:clientData/>
  </xdr:oneCellAnchor>
  <xdr:oneCellAnchor>
    <xdr:from>
      <xdr:col>30</xdr:col>
      <xdr:colOff>270116</xdr:colOff>
      <xdr:row>38</xdr:row>
      <xdr:rowOff>47624</xdr:rowOff>
    </xdr:from>
    <xdr:ext cx="409575" cy="295275"/>
    <xdr:pic>
      <xdr:nvPicPr>
        <xdr:cNvPr id="75" name="Grafik 74">
          <a:extLst>
            <a:ext uri="{FF2B5EF4-FFF2-40B4-BE49-F238E27FC236}">
              <a16:creationId xmlns:a16="http://schemas.microsoft.com/office/drawing/2014/main" id="{6E64C9EA-CCA2-487A-9DB8-974342C27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902822" y="8777006"/>
          <a:ext cx="409575" cy="295275"/>
        </a:xfrm>
        <a:prstGeom prst="rect">
          <a:avLst/>
        </a:prstGeom>
        <a:ln>
          <a:solidFill>
            <a:sysClr val="windowText" lastClr="000000"/>
          </a:solidFill>
        </a:ln>
      </xdr:spPr>
    </xdr:pic>
    <xdr:clientData/>
  </xdr:oneCellAnchor>
  <xdr:oneCellAnchor>
    <xdr:from>
      <xdr:col>21</xdr:col>
      <xdr:colOff>260592</xdr:colOff>
      <xdr:row>43</xdr:row>
      <xdr:rowOff>40768</xdr:rowOff>
    </xdr:from>
    <xdr:ext cx="410400" cy="295200"/>
    <xdr:pic>
      <xdr:nvPicPr>
        <xdr:cNvPr id="76" name="Grafik 75">
          <a:extLst>
            <a:ext uri="{FF2B5EF4-FFF2-40B4-BE49-F238E27FC236}">
              <a16:creationId xmlns:a16="http://schemas.microsoft.com/office/drawing/2014/main" id="{C5A9910F-435C-4CF8-A772-59ECE6797B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05945" y="10025209"/>
          <a:ext cx="410400" cy="295200"/>
        </a:xfrm>
        <a:prstGeom prst="rect">
          <a:avLst/>
        </a:prstGeom>
        <a:ln>
          <a:solidFill>
            <a:sysClr val="windowText" lastClr="000000"/>
          </a:solidFill>
        </a:ln>
      </xdr:spPr>
    </xdr:pic>
    <xdr:clientData/>
  </xdr:oneCellAnchor>
  <xdr:oneCellAnchor>
    <xdr:from>
      <xdr:col>21</xdr:col>
      <xdr:colOff>260825</xdr:colOff>
      <xdr:row>44</xdr:row>
      <xdr:rowOff>45647</xdr:rowOff>
    </xdr:from>
    <xdr:ext cx="410400" cy="295200"/>
    <xdr:pic>
      <xdr:nvPicPr>
        <xdr:cNvPr id="77" name="Grafik 76">
          <a:extLst>
            <a:ext uri="{FF2B5EF4-FFF2-40B4-BE49-F238E27FC236}">
              <a16:creationId xmlns:a16="http://schemas.microsoft.com/office/drawing/2014/main" id="{AABF5AC0-4461-4307-BE1F-65F7E19346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06178" y="10411088"/>
          <a:ext cx="410400" cy="295200"/>
        </a:xfrm>
        <a:prstGeom prst="rect">
          <a:avLst/>
        </a:prstGeom>
        <a:ln>
          <a:solidFill>
            <a:sysClr val="windowText" lastClr="000000"/>
          </a:solidFill>
        </a:ln>
      </xdr:spPr>
    </xdr:pic>
    <xdr:clientData/>
  </xdr:oneCellAnchor>
  <xdr:oneCellAnchor>
    <xdr:from>
      <xdr:col>21</xdr:col>
      <xdr:colOff>265702</xdr:colOff>
      <xdr:row>45</xdr:row>
      <xdr:rowOff>43211</xdr:rowOff>
    </xdr:from>
    <xdr:ext cx="410400" cy="295200"/>
    <xdr:pic>
      <xdr:nvPicPr>
        <xdr:cNvPr id="78" name="Grafik 77">
          <a:extLst>
            <a:ext uri="{FF2B5EF4-FFF2-40B4-BE49-F238E27FC236}">
              <a16:creationId xmlns:a16="http://schemas.microsoft.com/office/drawing/2014/main" id="{E81C5D56-A484-42E5-AB0E-551F8C68CE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11055" y="10789652"/>
          <a:ext cx="410400" cy="295200"/>
        </a:xfrm>
        <a:prstGeom prst="rect">
          <a:avLst/>
        </a:prstGeom>
        <a:ln>
          <a:solidFill>
            <a:sysClr val="windowText" lastClr="000000"/>
          </a:solidFill>
        </a:ln>
      </xdr:spPr>
    </xdr:pic>
    <xdr:clientData/>
  </xdr:oneCellAnchor>
  <xdr:oneCellAnchor>
    <xdr:from>
      <xdr:col>21</xdr:col>
      <xdr:colOff>263779</xdr:colOff>
      <xdr:row>46</xdr:row>
      <xdr:rowOff>42745</xdr:rowOff>
    </xdr:from>
    <xdr:ext cx="410400" cy="295200"/>
    <xdr:pic>
      <xdr:nvPicPr>
        <xdr:cNvPr id="79" name="Grafik 78">
          <a:extLst>
            <a:ext uri="{FF2B5EF4-FFF2-40B4-BE49-F238E27FC236}">
              <a16:creationId xmlns:a16="http://schemas.microsoft.com/office/drawing/2014/main" id="{3D9607B3-49B5-4F36-9C35-D1DF330DE9D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09132" y="11170186"/>
          <a:ext cx="410400" cy="295200"/>
        </a:xfrm>
        <a:prstGeom prst="rect">
          <a:avLst/>
        </a:prstGeom>
        <a:ln>
          <a:solidFill>
            <a:sysClr val="windowText" lastClr="000000"/>
          </a:solidFill>
        </a:ln>
      </xdr:spPr>
    </xdr:pic>
    <xdr:clientData/>
  </xdr:oneCellAnchor>
  <xdr:oneCellAnchor>
    <xdr:from>
      <xdr:col>21</xdr:col>
      <xdr:colOff>265936</xdr:colOff>
      <xdr:row>47</xdr:row>
      <xdr:rowOff>42978</xdr:rowOff>
    </xdr:from>
    <xdr:ext cx="411898" cy="295275"/>
    <xdr:pic>
      <xdr:nvPicPr>
        <xdr:cNvPr id="80" name="Grafik 79">
          <a:extLst>
            <a:ext uri="{FF2B5EF4-FFF2-40B4-BE49-F238E27FC236}">
              <a16:creationId xmlns:a16="http://schemas.microsoft.com/office/drawing/2014/main" id="{ACD85A63-90ED-494B-BE2B-14CF83923B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11289" y="11551419"/>
          <a:ext cx="411898" cy="295275"/>
        </a:xfrm>
        <a:prstGeom prst="rect">
          <a:avLst/>
        </a:prstGeom>
        <a:ln>
          <a:solidFill>
            <a:sysClr val="windowText" lastClr="000000"/>
          </a:solidFill>
        </a:ln>
      </xdr:spPr>
    </xdr:pic>
    <xdr:clientData/>
  </xdr:oneCellAnchor>
  <xdr:oneCellAnchor>
    <xdr:from>
      <xdr:col>21</xdr:col>
      <xdr:colOff>270116</xdr:colOff>
      <xdr:row>48</xdr:row>
      <xdr:rowOff>47624</xdr:rowOff>
    </xdr:from>
    <xdr:ext cx="409575" cy="295275"/>
    <xdr:pic>
      <xdr:nvPicPr>
        <xdr:cNvPr id="81" name="Grafik 80">
          <a:extLst>
            <a:ext uri="{FF2B5EF4-FFF2-40B4-BE49-F238E27FC236}">
              <a16:creationId xmlns:a16="http://schemas.microsoft.com/office/drawing/2014/main" id="{9C4B129C-E535-4F6D-BF7B-9160355569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15469" y="11937065"/>
          <a:ext cx="409575" cy="295275"/>
        </a:xfrm>
        <a:prstGeom prst="rect">
          <a:avLst/>
        </a:prstGeom>
        <a:ln>
          <a:solidFill>
            <a:sysClr val="windowText" lastClr="000000"/>
          </a:solidFill>
        </a:ln>
      </xdr:spPr>
    </xdr:pic>
    <xdr:clientData/>
  </xdr:oneCellAnchor>
  <xdr:oneCellAnchor>
    <xdr:from>
      <xdr:col>30</xdr:col>
      <xdr:colOff>260592</xdr:colOff>
      <xdr:row>43</xdr:row>
      <xdr:rowOff>40768</xdr:rowOff>
    </xdr:from>
    <xdr:ext cx="410400" cy="295200"/>
    <xdr:pic>
      <xdr:nvPicPr>
        <xdr:cNvPr id="82" name="Grafik 81">
          <a:extLst>
            <a:ext uri="{FF2B5EF4-FFF2-40B4-BE49-F238E27FC236}">
              <a16:creationId xmlns:a16="http://schemas.microsoft.com/office/drawing/2014/main" id="{7C165D39-C9C7-48B9-8BD2-9137DD24D6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93298" y="10025209"/>
          <a:ext cx="410400" cy="295200"/>
        </a:xfrm>
        <a:prstGeom prst="rect">
          <a:avLst/>
        </a:prstGeom>
        <a:ln>
          <a:solidFill>
            <a:sysClr val="windowText" lastClr="000000"/>
          </a:solidFill>
        </a:ln>
      </xdr:spPr>
    </xdr:pic>
    <xdr:clientData/>
  </xdr:oneCellAnchor>
  <xdr:oneCellAnchor>
    <xdr:from>
      <xdr:col>30</xdr:col>
      <xdr:colOff>260825</xdr:colOff>
      <xdr:row>44</xdr:row>
      <xdr:rowOff>45647</xdr:rowOff>
    </xdr:from>
    <xdr:ext cx="410400" cy="295200"/>
    <xdr:pic>
      <xdr:nvPicPr>
        <xdr:cNvPr id="83" name="Grafik 82">
          <a:extLst>
            <a:ext uri="{FF2B5EF4-FFF2-40B4-BE49-F238E27FC236}">
              <a16:creationId xmlns:a16="http://schemas.microsoft.com/office/drawing/2014/main" id="{578D951E-53E8-4CD8-AE1D-AE6B032B03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93531" y="10411088"/>
          <a:ext cx="410400" cy="295200"/>
        </a:xfrm>
        <a:prstGeom prst="rect">
          <a:avLst/>
        </a:prstGeom>
        <a:ln>
          <a:solidFill>
            <a:sysClr val="windowText" lastClr="000000"/>
          </a:solidFill>
        </a:ln>
      </xdr:spPr>
    </xdr:pic>
    <xdr:clientData/>
  </xdr:oneCellAnchor>
  <xdr:oneCellAnchor>
    <xdr:from>
      <xdr:col>30</xdr:col>
      <xdr:colOff>265702</xdr:colOff>
      <xdr:row>45</xdr:row>
      <xdr:rowOff>43211</xdr:rowOff>
    </xdr:from>
    <xdr:ext cx="410400" cy="295200"/>
    <xdr:pic>
      <xdr:nvPicPr>
        <xdr:cNvPr id="84" name="Grafik 83">
          <a:extLst>
            <a:ext uri="{FF2B5EF4-FFF2-40B4-BE49-F238E27FC236}">
              <a16:creationId xmlns:a16="http://schemas.microsoft.com/office/drawing/2014/main" id="{DA34F48D-6646-4B0E-9BA5-6DFEB022C1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98408" y="10789652"/>
          <a:ext cx="410400" cy="295200"/>
        </a:xfrm>
        <a:prstGeom prst="rect">
          <a:avLst/>
        </a:prstGeom>
        <a:ln>
          <a:solidFill>
            <a:sysClr val="windowText" lastClr="000000"/>
          </a:solidFill>
        </a:ln>
      </xdr:spPr>
    </xdr:pic>
    <xdr:clientData/>
  </xdr:oneCellAnchor>
  <xdr:oneCellAnchor>
    <xdr:from>
      <xdr:col>30</xdr:col>
      <xdr:colOff>263779</xdr:colOff>
      <xdr:row>46</xdr:row>
      <xdr:rowOff>42745</xdr:rowOff>
    </xdr:from>
    <xdr:ext cx="410400" cy="295200"/>
    <xdr:pic>
      <xdr:nvPicPr>
        <xdr:cNvPr id="85" name="Grafik 84">
          <a:extLst>
            <a:ext uri="{FF2B5EF4-FFF2-40B4-BE49-F238E27FC236}">
              <a16:creationId xmlns:a16="http://schemas.microsoft.com/office/drawing/2014/main" id="{49B44F29-5796-48AC-8F42-85E53353C7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96485" y="11170186"/>
          <a:ext cx="410400" cy="295200"/>
        </a:xfrm>
        <a:prstGeom prst="rect">
          <a:avLst/>
        </a:prstGeom>
        <a:ln>
          <a:solidFill>
            <a:sysClr val="windowText" lastClr="000000"/>
          </a:solidFill>
        </a:ln>
      </xdr:spPr>
    </xdr:pic>
    <xdr:clientData/>
  </xdr:oneCellAnchor>
  <xdr:oneCellAnchor>
    <xdr:from>
      <xdr:col>30</xdr:col>
      <xdr:colOff>265936</xdr:colOff>
      <xdr:row>47</xdr:row>
      <xdr:rowOff>42978</xdr:rowOff>
    </xdr:from>
    <xdr:ext cx="411898" cy="295275"/>
    <xdr:pic>
      <xdr:nvPicPr>
        <xdr:cNvPr id="86" name="Grafik 85">
          <a:extLst>
            <a:ext uri="{FF2B5EF4-FFF2-40B4-BE49-F238E27FC236}">
              <a16:creationId xmlns:a16="http://schemas.microsoft.com/office/drawing/2014/main" id="{810F94A7-AF2C-4B33-A123-3D87E9C60F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98642" y="11551419"/>
          <a:ext cx="411898" cy="295275"/>
        </a:xfrm>
        <a:prstGeom prst="rect">
          <a:avLst/>
        </a:prstGeom>
        <a:ln>
          <a:solidFill>
            <a:sysClr val="windowText" lastClr="000000"/>
          </a:solidFill>
        </a:ln>
      </xdr:spPr>
    </xdr:pic>
    <xdr:clientData/>
  </xdr:oneCellAnchor>
  <xdr:oneCellAnchor>
    <xdr:from>
      <xdr:col>30</xdr:col>
      <xdr:colOff>270116</xdr:colOff>
      <xdr:row>48</xdr:row>
      <xdr:rowOff>47624</xdr:rowOff>
    </xdr:from>
    <xdr:ext cx="409575" cy="295275"/>
    <xdr:pic>
      <xdr:nvPicPr>
        <xdr:cNvPr id="87" name="Grafik 86">
          <a:extLst>
            <a:ext uri="{FF2B5EF4-FFF2-40B4-BE49-F238E27FC236}">
              <a16:creationId xmlns:a16="http://schemas.microsoft.com/office/drawing/2014/main" id="{91C51179-4DA4-4F43-B94B-D148553445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902822" y="11937065"/>
          <a:ext cx="409575" cy="295275"/>
        </a:xfrm>
        <a:prstGeom prst="rect">
          <a:avLst/>
        </a:prstGeom>
        <a:ln>
          <a:solidFill>
            <a:sysClr val="windowText" lastClr="000000"/>
          </a:solidFill>
        </a:ln>
      </xdr:spPr>
    </xdr:pic>
    <xdr:clientData/>
  </xdr:oneCellAnchor>
</xdr:wsDr>
</file>

<file path=xl/drawings/drawing11.xml><?xml version="1.0" encoding="utf-8"?>
<xdr:wsDr xmlns:xdr="http://schemas.openxmlformats.org/drawingml/2006/spreadsheetDrawing" xmlns:a="http://schemas.openxmlformats.org/drawingml/2006/main">
  <xdr:twoCellAnchor>
    <xdr:from>
      <xdr:col>19</xdr:col>
      <xdr:colOff>8281</xdr:colOff>
      <xdr:row>75</xdr:row>
      <xdr:rowOff>41413</xdr:rowOff>
    </xdr:from>
    <xdr:to>
      <xdr:col>22</xdr:col>
      <xdr:colOff>0</xdr:colOff>
      <xdr:row>77</xdr:row>
      <xdr:rowOff>107674</xdr:rowOff>
    </xdr:to>
    <mc:AlternateContent xmlns:mc="http://schemas.openxmlformats.org/markup-compatibility/2006" xmlns:a14="http://schemas.microsoft.com/office/drawing/2010/main">
      <mc:Choice Requires="a14">
        <xdr:sp macro="" textlink="">
          <xdr:nvSpPr>
            <xdr:cNvPr id="2" name="Textfeld 1">
              <a:extLst>
                <a:ext uri="{FF2B5EF4-FFF2-40B4-BE49-F238E27FC236}">
                  <a16:creationId xmlns:a16="http://schemas.microsoft.com/office/drawing/2014/main" id="{FAC8ED3D-29AB-459F-B49C-1BD5FA59F1D6}"/>
                </a:ext>
              </a:extLst>
            </xdr:cNvPr>
            <xdr:cNvSpPr txBox="1"/>
          </xdr:nvSpPr>
          <xdr:spPr>
            <a:xfrm>
              <a:off x="12753975" y="18558013"/>
              <a:ext cx="0" cy="447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de-DE" sz="1100" b="0" i="1">
                        <a:latin typeface="Cambria Math" panose="02040503050406030204" pitchFamily="18" charset="0"/>
                      </a:rPr>
                      <m:t>𝑅𝐸</m:t>
                    </m:r>
                    <m:r>
                      <a:rPr lang="de-DE" sz="1100" b="0" i="1">
                        <a:latin typeface="Cambria Math" panose="02040503050406030204" pitchFamily="18" charset="0"/>
                      </a:rPr>
                      <m:t>=</m:t>
                    </m:r>
                    <m:sSup>
                      <m:sSupPr>
                        <m:ctrlPr>
                          <a:rPr lang="de-DE" sz="1100" b="0" i="1">
                            <a:latin typeface="Cambria Math" panose="02040503050406030204" pitchFamily="18" charset="0"/>
                          </a:rPr>
                        </m:ctrlPr>
                      </m:sSupPr>
                      <m:e>
                        <m:d>
                          <m:dPr>
                            <m:ctrlPr>
                              <a:rPr lang="de-DE" sz="1100" b="0" i="1">
                                <a:latin typeface="Cambria Math" panose="02040503050406030204" pitchFamily="18" charset="0"/>
                              </a:rPr>
                            </m:ctrlPr>
                          </m:dPr>
                          <m:e>
                            <m:rad>
                              <m:radPr>
                                <m:degHide m:val="on"/>
                                <m:ctrlPr>
                                  <a:rPr lang="de-DE" sz="1100" b="0" i="1">
                                    <a:latin typeface="Cambria Math" panose="02040503050406030204" pitchFamily="18" charset="0"/>
                                  </a:rPr>
                                </m:ctrlPr>
                              </m:radPr>
                              <m:deg/>
                              <m:e>
                                <m:r>
                                  <a:rPr lang="de-DE" sz="1100" b="0" i="1">
                                    <a:latin typeface="Cambria Math" panose="02040503050406030204" pitchFamily="18" charset="0"/>
                                  </a:rPr>
                                  <m:t>𝑆𝑜𝑙𝑎𝑟</m:t>
                                </m:r>
                              </m:e>
                            </m:rad>
                            <m:r>
                              <a:rPr lang="de-DE" sz="1100" b="0" i="1">
                                <a:latin typeface="Cambria Math" panose="02040503050406030204" pitchFamily="18" charset="0"/>
                              </a:rPr>
                              <m:t>+</m:t>
                            </m:r>
                            <m:rad>
                              <m:radPr>
                                <m:degHide m:val="on"/>
                                <m:ctrlPr>
                                  <a:rPr lang="de-DE" sz="1100" b="0" i="1">
                                    <a:latin typeface="Cambria Math" panose="02040503050406030204" pitchFamily="18" charset="0"/>
                                  </a:rPr>
                                </m:ctrlPr>
                              </m:radPr>
                              <m:deg/>
                              <m:e>
                                <m:r>
                                  <a:rPr lang="de-DE" sz="1100" b="0" i="1">
                                    <a:latin typeface="Cambria Math" panose="02040503050406030204" pitchFamily="18" charset="0"/>
                                  </a:rPr>
                                  <m:t>𝑊𝑖𝑛𝑑</m:t>
                                </m:r>
                              </m:e>
                            </m:rad>
                          </m:e>
                        </m:d>
                      </m:e>
                      <m:sup>
                        <m:r>
                          <a:rPr lang="de-DE" sz="1100" b="0" i="1">
                            <a:latin typeface="Cambria Math" panose="02040503050406030204" pitchFamily="18" charset="0"/>
                          </a:rPr>
                          <m:t>2</m:t>
                        </m:r>
                      </m:sup>
                    </m:sSup>
                    <m:r>
                      <a:rPr lang="de-DE" sz="1100" b="0" i="1">
                        <a:latin typeface="Cambria Math" panose="02040503050406030204" pitchFamily="18" charset="0"/>
                      </a:rPr>
                      <m:t>∗</m:t>
                    </m:r>
                    <m:sSub>
                      <m:sSubPr>
                        <m:ctrlPr>
                          <a:rPr lang="de-DE" sz="1100" b="0" i="1">
                            <a:latin typeface="Cambria Math" panose="02040503050406030204" pitchFamily="18" charset="0"/>
                          </a:rPr>
                        </m:ctrlPr>
                      </m:sSubPr>
                      <m:e>
                        <m:r>
                          <a:rPr lang="de-DE" sz="1100" b="0" i="1">
                            <a:latin typeface="Cambria Math" panose="02040503050406030204" pitchFamily="18" charset="0"/>
                          </a:rPr>
                          <m:t>𝑤</m:t>
                        </m:r>
                      </m:e>
                      <m:sub>
                        <m:r>
                          <a:rPr lang="de-DE" sz="1100" b="0" i="1">
                            <a:latin typeface="Cambria Math" panose="02040503050406030204" pitchFamily="18" charset="0"/>
                          </a:rPr>
                          <m:t>𝑖</m:t>
                        </m:r>
                      </m:sub>
                    </m:sSub>
                  </m:oMath>
                </m:oMathPara>
              </a14:m>
              <a:endParaRPr lang="en-GB" sz="1100"/>
            </a:p>
          </xdr:txBody>
        </xdr:sp>
      </mc:Choice>
      <mc:Fallback xmlns="">
        <xdr:sp macro="" textlink="">
          <xdr:nvSpPr>
            <xdr:cNvPr id="2" name="Textfeld 1">
              <a:extLst>
                <a:ext uri="{FF2B5EF4-FFF2-40B4-BE49-F238E27FC236}">
                  <a16:creationId xmlns:a16="http://schemas.microsoft.com/office/drawing/2014/main" id="{FAC8ED3D-29AB-459F-B49C-1BD5FA59F1D6}"/>
                </a:ext>
              </a:extLst>
            </xdr:cNvPr>
            <xdr:cNvSpPr txBox="1"/>
          </xdr:nvSpPr>
          <xdr:spPr>
            <a:xfrm>
              <a:off x="12753975" y="18558013"/>
              <a:ext cx="0" cy="447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de-DE" sz="1100" b="0" i="0">
                  <a:latin typeface="Cambria Math" panose="02040503050406030204" pitchFamily="18" charset="0"/>
                </a:rPr>
                <a:t>𝑅𝐸=(√𝑆𝑜𝑙𝑎𝑟+√𝑊𝑖𝑛𝑑)^2∗𝑤_𝑖</a:t>
              </a:r>
              <a:endParaRPr lang="en-GB" sz="1100"/>
            </a:p>
          </xdr:txBody>
        </xdr:sp>
      </mc:Fallback>
    </mc:AlternateContent>
    <xdr:clientData/>
  </xdr:twoCellAnchor>
  <xdr:oneCellAnchor>
    <xdr:from>
      <xdr:col>3</xdr:col>
      <xdr:colOff>75434</xdr:colOff>
      <xdr:row>32</xdr:row>
      <xdr:rowOff>42978</xdr:rowOff>
    </xdr:from>
    <xdr:ext cx="411898" cy="295275"/>
    <xdr:pic>
      <xdr:nvPicPr>
        <xdr:cNvPr id="3" name="Grafik 2">
          <a:extLst>
            <a:ext uri="{FF2B5EF4-FFF2-40B4-BE49-F238E27FC236}">
              <a16:creationId xmlns:a16="http://schemas.microsoft.com/office/drawing/2014/main" id="{AB77D316-45E2-4731-B9CF-10912C0127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084" y="6548553"/>
          <a:ext cx="411898" cy="295275"/>
        </a:xfrm>
        <a:prstGeom prst="rect">
          <a:avLst/>
        </a:prstGeom>
        <a:ln>
          <a:solidFill>
            <a:sysClr val="windowText" lastClr="000000"/>
          </a:solidFill>
        </a:ln>
      </xdr:spPr>
    </xdr:pic>
    <xdr:clientData/>
  </xdr:oneCellAnchor>
  <xdr:oneCellAnchor>
    <xdr:from>
      <xdr:col>3</xdr:col>
      <xdr:colOff>79614</xdr:colOff>
      <xdr:row>35</xdr:row>
      <xdr:rowOff>47624</xdr:rowOff>
    </xdr:from>
    <xdr:ext cx="409575" cy="295275"/>
    <xdr:pic>
      <xdr:nvPicPr>
        <xdr:cNvPr id="4" name="Grafik 3">
          <a:extLst>
            <a:ext uri="{FF2B5EF4-FFF2-40B4-BE49-F238E27FC236}">
              <a16:creationId xmlns:a16="http://schemas.microsoft.com/office/drawing/2014/main" id="{AAE11C9B-D84E-48BD-AD78-49B63B6985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0264" y="7696199"/>
          <a:ext cx="409575" cy="295275"/>
        </a:xfrm>
        <a:prstGeom prst="rect">
          <a:avLst/>
        </a:prstGeom>
        <a:ln>
          <a:solidFill>
            <a:sysClr val="windowText" lastClr="000000"/>
          </a:solidFill>
        </a:ln>
      </xdr:spPr>
    </xdr:pic>
    <xdr:clientData/>
  </xdr:oneCellAnchor>
  <xdr:oneCellAnchor>
    <xdr:from>
      <xdr:col>3</xdr:col>
      <xdr:colOff>70323</xdr:colOff>
      <xdr:row>36</xdr:row>
      <xdr:rowOff>45647</xdr:rowOff>
    </xdr:from>
    <xdr:ext cx="410400" cy="295200"/>
    <xdr:pic>
      <xdr:nvPicPr>
        <xdr:cNvPr id="5" name="Grafik 4">
          <a:extLst>
            <a:ext uri="{FF2B5EF4-FFF2-40B4-BE49-F238E27FC236}">
              <a16:creationId xmlns:a16="http://schemas.microsoft.com/office/drawing/2014/main" id="{60DBDF41-5107-4563-AFFA-77906AA8CA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0973" y="8075222"/>
          <a:ext cx="410400" cy="295200"/>
        </a:xfrm>
        <a:prstGeom prst="rect">
          <a:avLst/>
        </a:prstGeom>
        <a:ln>
          <a:solidFill>
            <a:sysClr val="windowText" lastClr="000000"/>
          </a:solidFill>
        </a:ln>
      </xdr:spPr>
    </xdr:pic>
    <xdr:clientData/>
  </xdr:oneCellAnchor>
  <xdr:oneCellAnchor>
    <xdr:from>
      <xdr:col>3</xdr:col>
      <xdr:colOff>70090</xdr:colOff>
      <xdr:row>34</xdr:row>
      <xdr:rowOff>40768</xdr:rowOff>
    </xdr:from>
    <xdr:ext cx="410400" cy="295200"/>
    <xdr:pic>
      <xdr:nvPicPr>
        <xdr:cNvPr id="6" name="Grafik 5">
          <a:extLst>
            <a:ext uri="{FF2B5EF4-FFF2-40B4-BE49-F238E27FC236}">
              <a16:creationId xmlns:a16="http://schemas.microsoft.com/office/drawing/2014/main" id="{AAFFFF63-AECC-4A33-BE91-1A7C7AF18C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0740" y="7308343"/>
          <a:ext cx="410400" cy="295200"/>
        </a:xfrm>
        <a:prstGeom prst="rect">
          <a:avLst/>
        </a:prstGeom>
        <a:ln>
          <a:solidFill>
            <a:sysClr val="windowText" lastClr="000000"/>
          </a:solidFill>
        </a:ln>
      </xdr:spPr>
    </xdr:pic>
    <xdr:clientData/>
  </xdr:oneCellAnchor>
  <xdr:oneCellAnchor>
    <xdr:from>
      <xdr:col>3</xdr:col>
      <xdr:colOff>75200</xdr:colOff>
      <xdr:row>37</xdr:row>
      <xdr:rowOff>43211</xdr:rowOff>
    </xdr:from>
    <xdr:ext cx="410400" cy="295200"/>
    <xdr:pic>
      <xdr:nvPicPr>
        <xdr:cNvPr id="7" name="Grafik 6">
          <a:extLst>
            <a:ext uri="{FF2B5EF4-FFF2-40B4-BE49-F238E27FC236}">
              <a16:creationId xmlns:a16="http://schemas.microsoft.com/office/drawing/2014/main" id="{8DD04E81-417C-4AAC-BF8F-8B39ACD8A6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5850" y="8453786"/>
          <a:ext cx="410400" cy="295200"/>
        </a:xfrm>
        <a:prstGeom prst="rect">
          <a:avLst/>
        </a:prstGeom>
        <a:ln>
          <a:solidFill>
            <a:sysClr val="windowText" lastClr="000000"/>
          </a:solidFill>
        </a:ln>
      </xdr:spPr>
    </xdr:pic>
    <xdr:clientData/>
  </xdr:oneCellAnchor>
  <xdr:oneCellAnchor>
    <xdr:from>
      <xdr:col>3</xdr:col>
      <xdr:colOff>79846</xdr:colOff>
      <xdr:row>33</xdr:row>
      <xdr:rowOff>42745</xdr:rowOff>
    </xdr:from>
    <xdr:ext cx="410400" cy="295200"/>
    <xdr:pic>
      <xdr:nvPicPr>
        <xdr:cNvPr id="8" name="Grafik 7">
          <a:extLst>
            <a:ext uri="{FF2B5EF4-FFF2-40B4-BE49-F238E27FC236}">
              <a16:creationId xmlns:a16="http://schemas.microsoft.com/office/drawing/2014/main" id="{3BF783EB-ADD1-48C2-A9A2-021C8BE70FA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70496" y="6929320"/>
          <a:ext cx="410400" cy="295200"/>
        </a:xfrm>
        <a:prstGeom prst="rect">
          <a:avLst/>
        </a:prstGeom>
        <a:ln>
          <a:solidFill>
            <a:sysClr val="windowText" lastClr="000000"/>
          </a:solidFill>
        </a:ln>
      </xdr:spPr>
    </xdr:pic>
    <xdr:clientData/>
  </xdr:oneCellAnchor>
  <xdr:twoCellAnchor>
    <xdr:from>
      <xdr:col>25</xdr:col>
      <xdr:colOff>317767</xdr:colOff>
      <xdr:row>1</xdr:row>
      <xdr:rowOff>132388</xdr:rowOff>
    </xdr:from>
    <xdr:to>
      <xdr:col>38</xdr:col>
      <xdr:colOff>748393</xdr:colOff>
      <xdr:row>31</xdr:row>
      <xdr:rowOff>122463</xdr:rowOff>
    </xdr:to>
    <xdr:graphicFrame macro="">
      <xdr:nvGraphicFramePr>
        <xdr:cNvPr id="9" name="Diagramm 8">
          <a:extLst>
            <a:ext uri="{FF2B5EF4-FFF2-40B4-BE49-F238E27FC236}">
              <a16:creationId xmlns:a16="http://schemas.microsoft.com/office/drawing/2014/main" id="{901C00AC-1CD3-4D5E-97CD-5AFC7FD6B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79614</xdr:colOff>
      <xdr:row>19</xdr:row>
      <xdr:rowOff>47624</xdr:rowOff>
    </xdr:from>
    <xdr:ext cx="409575" cy="295275"/>
    <xdr:pic>
      <xdr:nvPicPr>
        <xdr:cNvPr id="10" name="Grafik 9">
          <a:extLst>
            <a:ext uri="{FF2B5EF4-FFF2-40B4-BE49-F238E27FC236}">
              <a16:creationId xmlns:a16="http://schemas.microsoft.com/office/drawing/2014/main" id="{ACA418EC-3F8E-46E5-A557-43952AC327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0264" y="3800474"/>
          <a:ext cx="409575" cy="295275"/>
        </a:xfrm>
        <a:prstGeom prst="rect">
          <a:avLst/>
        </a:prstGeom>
        <a:ln>
          <a:solidFill>
            <a:sysClr val="windowText" lastClr="000000"/>
          </a:solidFill>
        </a:ln>
      </xdr:spPr>
    </xdr:pic>
    <xdr:clientData/>
  </xdr:oneCellAnchor>
  <xdr:oneCellAnchor>
    <xdr:from>
      <xdr:col>3</xdr:col>
      <xdr:colOff>77943</xdr:colOff>
      <xdr:row>13</xdr:row>
      <xdr:rowOff>45647</xdr:rowOff>
    </xdr:from>
    <xdr:ext cx="410400" cy="295200"/>
    <xdr:pic>
      <xdr:nvPicPr>
        <xdr:cNvPr id="11" name="Grafik 10">
          <a:extLst>
            <a:ext uri="{FF2B5EF4-FFF2-40B4-BE49-F238E27FC236}">
              <a16:creationId xmlns:a16="http://schemas.microsoft.com/office/drawing/2014/main" id="{BF140090-0B96-4ABB-9116-A49641CDB2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8593" y="2655497"/>
          <a:ext cx="410400" cy="295200"/>
        </a:xfrm>
        <a:prstGeom prst="rect">
          <a:avLst/>
        </a:prstGeom>
        <a:ln>
          <a:solidFill>
            <a:sysClr val="windowText" lastClr="000000"/>
          </a:solidFill>
        </a:ln>
      </xdr:spPr>
    </xdr:pic>
    <xdr:clientData/>
  </xdr:oneCellAnchor>
  <xdr:oneCellAnchor>
    <xdr:from>
      <xdr:col>3</xdr:col>
      <xdr:colOff>77710</xdr:colOff>
      <xdr:row>11</xdr:row>
      <xdr:rowOff>40768</xdr:rowOff>
    </xdr:from>
    <xdr:ext cx="410400" cy="295200"/>
    <xdr:pic>
      <xdr:nvPicPr>
        <xdr:cNvPr id="12" name="Grafik 11">
          <a:extLst>
            <a:ext uri="{FF2B5EF4-FFF2-40B4-BE49-F238E27FC236}">
              <a16:creationId xmlns:a16="http://schemas.microsoft.com/office/drawing/2014/main" id="{5C960D65-9ACC-43C1-84A2-2D297EC435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8360" y="2269618"/>
          <a:ext cx="410400" cy="295200"/>
        </a:xfrm>
        <a:prstGeom prst="rect">
          <a:avLst/>
        </a:prstGeom>
        <a:ln>
          <a:solidFill>
            <a:sysClr val="windowText" lastClr="000000"/>
          </a:solidFill>
        </a:ln>
      </xdr:spPr>
    </xdr:pic>
    <xdr:clientData/>
  </xdr:oneCellAnchor>
  <xdr:oneCellAnchor>
    <xdr:from>
      <xdr:col>3</xdr:col>
      <xdr:colOff>79010</xdr:colOff>
      <xdr:row>15</xdr:row>
      <xdr:rowOff>43211</xdr:rowOff>
    </xdr:from>
    <xdr:ext cx="410400" cy="295200"/>
    <xdr:pic>
      <xdr:nvPicPr>
        <xdr:cNvPr id="13" name="Grafik 12">
          <a:extLst>
            <a:ext uri="{FF2B5EF4-FFF2-40B4-BE49-F238E27FC236}">
              <a16:creationId xmlns:a16="http://schemas.microsoft.com/office/drawing/2014/main" id="{22928EAF-C461-4585-A3A8-A6D823D4F52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9660" y="3034061"/>
          <a:ext cx="410400" cy="295200"/>
        </a:xfrm>
        <a:prstGeom prst="rect">
          <a:avLst/>
        </a:prstGeom>
        <a:ln>
          <a:solidFill>
            <a:sysClr val="windowText" lastClr="000000"/>
          </a:solidFill>
        </a:ln>
      </xdr:spPr>
    </xdr:pic>
    <xdr:clientData/>
  </xdr:oneCellAnchor>
  <xdr:oneCellAnchor>
    <xdr:from>
      <xdr:col>3</xdr:col>
      <xdr:colOff>76036</xdr:colOff>
      <xdr:row>17</xdr:row>
      <xdr:rowOff>42745</xdr:rowOff>
    </xdr:from>
    <xdr:ext cx="410400" cy="295200"/>
    <xdr:pic>
      <xdr:nvPicPr>
        <xdr:cNvPr id="14" name="Grafik 13">
          <a:extLst>
            <a:ext uri="{FF2B5EF4-FFF2-40B4-BE49-F238E27FC236}">
              <a16:creationId xmlns:a16="http://schemas.microsoft.com/office/drawing/2014/main" id="{058B21FC-2E39-4F6F-851D-BCB6B0346F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6686" y="3414595"/>
          <a:ext cx="410400" cy="295200"/>
        </a:xfrm>
        <a:prstGeom prst="rect">
          <a:avLst/>
        </a:prstGeom>
        <a:ln>
          <a:solidFill>
            <a:sysClr val="windowText" lastClr="000000"/>
          </a:solidFill>
        </a:ln>
      </xdr:spPr>
    </xdr:pic>
    <xdr:clientData/>
  </xdr:oneCellAnchor>
  <xdr:oneCellAnchor>
    <xdr:from>
      <xdr:col>3</xdr:col>
      <xdr:colOff>75434</xdr:colOff>
      <xdr:row>21</xdr:row>
      <xdr:rowOff>42978</xdr:rowOff>
    </xdr:from>
    <xdr:ext cx="411898" cy="295275"/>
    <xdr:pic>
      <xdr:nvPicPr>
        <xdr:cNvPr id="15" name="Grafik 14">
          <a:extLst>
            <a:ext uri="{FF2B5EF4-FFF2-40B4-BE49-F238E27FC236}">
              <a16:creationId xmlns:a16="http://schemas.microsoft.com/office/drawing/2014/main" id="{B45A5535-B9A8-42E2-82C3-F59E69D31D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084" y="4176828"/>
          <a:ext cx="411898" cy="295275"/>
        </a:xfrm>
        <a:prstGeom prst="rect">
          <a:avLst/>
        </a:prstGeom>
        <a:ln>
          <a:solidFill>
            <a:sysClr val="windowText" lastClr="000000"/>
          </a:solidFill>
        </a:ln>
      </xdr:spPr>
    </xdr:pic>
    <xdr:clientData/>
  </xdr:oneCellAnchor>
  <xdr:oneCellAnchor>
    <xdr:from>
      <xdr:col>3</xdr:col>
      <xdr:colOff>75434</xdr:colOff>
      <xdr:row>43</xdr:row>
      <xdr:rowOff>42978</xdr:rowOff>
    </xdr:from>
    <xdr:ext cx="411898" cy="295275"/>
    <xdr:pic>
      <xdr:nvPicPr>
        <xdr:cNvPr id="16" name="Grafik 15">
          <a:extLst>
            <a:ext uri="{FF2B5EF4-FFF2-40B4-BE49-F238E27FC236}">
              <a16:creationId xmlns:a16="http://schemas.microsoft.com/office/drawing/2014/main" id="{92413B4B-3762-4D2E-B0A3-98E07840E7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084" y="10177578"/>
          <a:ext cx="411898" cy="295275"/>
        </a:xfrm>
        <a:prstGeom prst="rect">
          <a:avLst/>
        </a:prstGeom>
        <a:ln>
          <a:solidFill>
            <a:sysClr val="windowText" lastClr="000000"/>
          </a:solidFill>
        </a:ln>
      </xdr:spPr>
    </xdr:pic>
    <xdr:clientData/>
  </xdr:oneCellAnchor>
  <xdr:oneCellAnchor>
    <xdr:from>
      <xdr:col>3</xdr:col>
      <xdr:colOff>79614</xdr:colOff>
      <xdr:row>46</xdr:row>
      <xdr:rowOff>47624</xdr:rowOff>
    </xdr:from>
    <xdr:ext cx="409575" cy="295275"/>
    <xdr:pic>
      <xdr:nvPicPr>
        <xdr:cNvPr id="17" name="Grafik 16">
          <a:extLst>
            <a:ext uri="{FF2B5EF4-FFF2-40B4-BE49-F238E27FC236}">
              <a16:creationId xmlns:a16="http://schemas.microsoft.com/office/drawing/2014/main" id="{8F914150-51DC-419B-9D3F-CD9C8BF91C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0264" y="11325224"/>
          <a:ext cx="409575" cy="295275"/>
        </a:xfrm>
        <a:prstGeom prst="rect">
          <a:avLst/>
        </a:prstGeom>
        <a:ln>
          <a:solidFill>
            <a:sysClr val="windowText" lastClr="000000"/>
          </a:solidFill>
        </a:ln>
      </xdr:spPr>
    </xdr:pic>
    <xdr:clientData/>
  </xdr:oneCellAnchor>
  <xdr:oneCellAnchor>
    <xdr:from>
      <xdr:col>3</xdr:col>
      <xdr:colOff>70323</xdr:colOff>
      <xdr:row>47</xdr:row>
      <xdr:rowOff>45647</xdr:rowOff>
    </xdr:from>
    <xdr:ext cx="410400" cy="295200"/>
    <xdr:pic>
      <xdr:nvPicPr>
        <xdr:cNvPr id="18" name="Grafik 17">
          <a:extLst>
            <a:ext uri="{FF2B5EF4-FFF2-40B4-BE49-F238E27FC236}">
              <a16:creationId xmlns:a16="http://schemas.microsoft.com/office/drawing/2014/main" id="{860ED241-B86E-4F71-A1E1-91E4AD0545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0973" y="11704247"/>
          <a:ext cx="410400" cy="295200"/>
        </a:xfrm>
        <a:prstGeom prst="rect">
          <a:avLst/>
        </a:prstGeom>
        <a:ln>
          <a:solidFill>
            <a:sysClr val="windowText" lastClr="000000"/>
          </a:solidFill>
        </a:ln>
      </xdr:spPr>
    </xdr:pic>
    <xdr:clientData/>
  </xdr:oneCellAnchor>
  <xdr:oneCellAnchor>
    <xdr:from>
      <xdr:col>3</xdr:col>
      <xdr:colOff>70090</xdr:colOff>
      <xdr:row>45</xdr:row>
      <xdr:rowOff>40768</xdr:rowOff>
    </xdr:from>
    <xdr:ext cx="410400" cy="295200"/>
    <xdr:pic>
      <xdr:nvPicPr>
        <xdr:cNvPr id="19" name="Grafik 18">
          <a:extLst>
            <a:ext uri="{FF2B5EF4-FFF2-40B4-BE49-F238E27FC236}">
              <a16:creationId xmlns:a16="http://schemas.microsoft.com/office/drawing/2014/main" id="{90362AC4-B742-40FF-B8E2-D5D38953F2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60740" y="10937368"/>
          <a:ext cx="410400" cy="295200"/>
        </a:xfrm>
        <a:prstGeom prst="rect">
          <a:avLst/>
        </a:prstGeom>
        <a:ln>
          <a:solidFill>
            <a:sysClr val="windowText" lastClr="000000"/>
          </a:solidFill>
        </a:ln>
      </xdr:spPr>
    </xdr:pic>
    <xdr:clientData/>
  </xdr:oneCellAnchor>
  <xdr:oneCellAnchor>
    <xdr:from>
      <xdr:col>3</xdr:col>
      <xdr:colOff>75200</xdr:colOff>
      <xdr:row>48</xdr:row>
      <xdr:rowOff>43211</xdr:rowOff>
    </xdr:from>
    <xdr:ext cx="410400" cy="295200"/>
    <xdr:pic>
      <xdr:nvPicPr>
        <xdr:cNvPr id="20" name="Grafik 19">
          <a:extLst>
            <a:ext uri="{FF2B5EF4-FFF2-40B4-BE49-F238E27FC236}">
              <a16:creationId xmlns:a16="http://schemas.microsoft.com/office/drawing/2014/main" id="{372B5F4E-7174-4964-B317-FF2801E5B4E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5850" y="12082811"/>
          <a:ext cx="410400" cy="295200"/>
        </a:xfrm>
        <a:prstGeom prst="rect">
          <a:avLst/>
        </a:prstGeom>
        <a:ln>
          <a:solidFill>
            <a:sysClr val="windowText" lastClr="000000"/>
          </a:solidFill>
        </a:ln>
      </xdr:spPr>
    </xdr:pic>
    <xdr:clientData/>
  </xdr:oneCellAnchor>
  <xdr:oneCellAnchor>
    <xdr:from>
      <xdr:col>3</xdr:col>
      <xdr:colOff>79846</xdr:colOff>
      <xdr:row>44</xdr:row>
      <xdr:rowOff>42745</xdr:rowOff>
    </xdr:from>
    <xdr:ext cx="410400" cy="295200"/>
    <xdr:pic>
      <xdr:nvPicPr>
        <xdr:cNvPr id="21" name="Grafik 20">
          <a:extLst>
            <a:ext uri="{FF2B5EF4-FFF2-40B4-BE49-F238E27FC236}">
              <a16:creationId xmlns:a16="http://schemas.microsoft.com/office/drawing/2014/main" id="{D5AFC18C-9CBD-44F4-BA2B-B14550ECC7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70496" y="10558345"/>
          <a:ext cx="410400" cy="295200"/>
        </a:xfrm>
        <a:prstGeom prst="rect">
          <a:avLst/>
        </a:prstGeom>
        <a:ln>
          <a:solidFill>
            <a:sysClr val="windowText" lastClr="000000"/>
          </a:solidFill>
        </a:ln>
      </xdr:spPr>
    </xdr:pic>
    <xdr:clientData/>
  </xdr:oneCellAnchor>
  <xdr:twoCellAnchor>
    <xdr:from>
      <xdr:col>25</xdr:col>
      <xdr:colOff>359110</xdr:colOff>
      <xdr:row>33</xdr:row>
      <xdr:rowOff>124239</xdr:rowOff>
    </xdr:from>
    <xdr:to>
      <xdr:col>38</xdr:col>
      <xdr:colOff>757858</xdr:colOff>
      <xdr:row>52</xdr:row>
      <xdr:rowOff>48513</xdr:rowOff>
    </xdr:to>
    <xdr:graphicFrame macro="">
      <xdr:nvGraphicFramePr>
        <xdr:cNvPr id="24" name="Diagramm 23">
          <a:extLst>
            <a:ext uri="{FF2B5EF4-FFF2-40B4-BE49-F238E27FC236}">
              <a16:creationId xmlns:a16="http://schemas.microsoft.com/office/drawing/2014/main" id="{E8B83647-0E6C-D057-99ED-FC398E5D7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8281</xdr:colOff>
      <xdr:row>75</xdr:row>
      <xdr:rowOff>41413</xdr:rowOff>
    </xdr:from>
    <xdr:to>
      <xdr:col>22</xdr:col>
      <xdr:colOff>0</xdr:colOff>
      <xdr:row>77</xdr:row>
      <xdr:rowOff>107674</xdr:rowOff>
    </xdr:to>
    <mc:AlternateContent xmlns:mc="http://schemas.openxmlformats.org/markup-compatibility/2006" xmlns:a14="http://schemas.microsoft.com/office/drawing/2010/main">
      <mc:Choice Requires="a14">
        <xdr:sp macro="" textlink="">
          <xdr:nvSpPr>
            <xdr:cNvPr id="3" name="Textfeld 2">
              <a:extLst>
                <a:ext uri="{FF2B5EF4-FFF2-40B4-BE49-F238E27FC236}">
                  <a16:creationId xmlns:a16="http://schemas.microsoft.com/office/drawing/2014/main" id="{4FF39688-A9CB-DF7E-D33B-C4ED737F9145}"/>
                </a:ext>
              </a:extLst>
            </xdr:cNvPr>
            <xdr:cNvSpPr txBox="1"/>
          </xdr:nvSpPr>
          <xdr:spPr>
            <a:xfrm>
              <a:off x="15786651" y="3155674"/>
              <a:ext cx="2277719" cy="447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de-DE" sz="1100" b="0" i="1">
                        <a:latin typeface="Cambria Math" panose="02040503050406030204" pitchFamily="18" charset="0"/>
                      </a:rPr>
                      <m:t>𝑅𝐸</m:t>
                    </m:r>
                    <m:r>
                      <a:rPr lang="de-DE" sz="1100" b="0" i="1">
                        <a:latin typeface="Cambria Math" panose="02040503050406030204" pitchFamily="18" charset="0"/>
                      </a:rPr>
                      <m:t>=</m:t>
                    </m:r>
                    <m:sSup>
                      <m:sSupPr>
                        <m:ctrlPr>
                          <a:rPr lang="de-DE" sz="1100" b="0" i="1">
                            <a:latin typeface="Cambria Math" panose="02040503050406030204" pitchFamily="18" charset="0"/>
                          </a:rPr>
                        </m:ctrlPr>
                      </m:sSupPr>
                      <m:e>
                        <m:d>
                          <m:dPr>
                            <m:ctrlPr>
                              <a:rPr lang="de-DE" sz="1100" b="0" i="1">
                                <a:latin typeface="Cambria Math" panose="02040503050406030204" pitchFamily="18" charset="0"/>
                              </a:rPr>
                            </m:ctrlPr>
                          </m:dPr>
                          <m:e>
                            <m:rad>
                              <m:radPr>
                                <m:degHide m:val="on"/>
                                <m:ctrlPr>
                                  <a:rPr lang="de-DE" sz="1100" b="0" i="1">
                                    <a:latin typeface="Cambria Math" panose="02040503050406030204" pitchFamily="18" charset="0"/>
                                  </a:rPr>
                                </m:ctrlPr>
                              </m:radPr>
                              <m:deg/>
                              <m:e>
                                <m:r>
                                  <a:rPr lang="de-DE" sz="1100" b="0" i="1">
                                    <a:latin typeface="Cambria Math" panose="02040503050406030204" pitchFamily="18" charset="0"/>
                                  </a:rPr>
                                  <m:t>𝑆𝑜𝑙𝑎𝑟</m:t>
                                </m:r>
                              </m:e>
                            </m:rad>
                            <m:r>
                              <a:rPr lang="de-DE" sz="1100" b="0" i="1">
                                <a:latin typeface="Cambria Math" panose="02040503050406030204" pitchFamily="18" charset="0"/>
                              </a:rPr>
                              <m:t>+</m:t>
                            </m:r>
                            <m:rad>
                              <m:radPr>
                                <m:degHide m:val="on"/>
                                <m:ctrlPr>
                                  <a:rPr lang="de-DE" sz="1100" b="0" i="1">
                                    <a:latin typeface="Cambria Math" panose="02040503050406030204" pitchFamily="18" charset="0"/>
                                  </a:rPr>
                                </m:ctrlPr>
                              </m:radPr>
                              <m:deg/>
                              <m:e>
                                <m:r>
                                  <a:rPr lang="de-DE" sz="1100" b="0" i="1">
                                    <a:latin typeface="Cambria Math" panose="02040503050406030204" pitchFamily="18" charset="0"/>
                                  </a:rPr>
                                  <m:t>𝑊𝑖𝑛𝑑</m:t>
                                </m:r>
                              </m:e>
                            </m:rad>
                          </m:e>
                        </m:d>
                      </m:e>
                      <m:sup>
                        <m:r>
                          <a:rPr lang="de-DE" sz="1100" b="0" i="1">
                            <a:latin typeface="Cambria Math" panose="02040503050406030204" pitchFamily="18" charset="0"/>
                          </a:rPr>
                          <m:t>2</m:t>
                        </m:r>
                      </m:sup>
                    </m:sSup>
                    <m:r>
                      <a:rPr lang="de-DE" sz="1100" b="0" i="1">
                        <a:latin typeface="Cambria Math" panose="02040503050406030204" pitchFamily="18" charset="0"/>
                      </a:rPr>
                      <m:t>∗</m:t>
                    </m:r>
                    <m:sSub>
                      <m:sSubPr>
                        <m:ctrlPr>
                          <a:rPr lang="de-DE" sz="1100" b="0" i="1">
                            <a:latin typeface="Cambria Math" panose="02040503050406030204" pitchFamily="18" charset="0"/>
                          </a:rPr>
                        </m:ctrlPr>
                      </m:sSubPr>
                      <m:e>
                        <m:r>
                          <a:rPr lang="de-DE" sz="1100" b="0" i="1">
                            <a:latin typeface="Cambria Math" panose="02040503050406030204" pitchFamily="18" charset="0"/>
                          </a:rPr>
                          <m:t>𝑤</m:t>
                        </m:r>
                      </m:e>
                      <m:sub>
                        <m:r>
                          <a:rPr lang="de-DE" sz="1100" b="0" i="1">
                            <a:latin typeface="Cambria Math" panose="02040503050406030204" pitchFamily="18" charset="0"/>
                          </a:rPr>
                          <m:t>𝑖</m:t>
                        </m:r>
                      </m:sub>
                    </m:sSub>
                  </m:oMath>
                </m:oMathPara>
              </a14:m>
              <a:endParaRPr lang="en-GB" sz="1100"/>
            </a:p>
          </xdr:txBody>
        </xdr:sp>
      </mc:Choice>
      <mc:Fallback xmlns="">
        <xdr:sp macro="" textlink="">
          <xdr:nvSpPr>
            <xdr:cNvPr id="3" name="Textfeld 2">
              <a:extLst>
                <a:ext uri="{FF2B5EF4-FFF2-40B4-BE49-F238E27FC236}">
                  <a16:creationId xmlns:a16="http://schemas.microsoft.com/office/drawing/2014/main" id="{4FF39688-A9CB-DF7E-D33B-C4ED737F9145}"/>
                </a:ext>
              </a:extLst>
            </xdr:cNvPr>
            <xdr:cNvSpPr txBox="1"/>
          </xdr:nvSpPr>
          <xdr:spPr>
            <a:xfrm>
              <a:off x="15786651" y="3155674"/>
              <a:ext cx="2277719" cy="447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de-DE" sz="1100" b="0" i="0">
                  <a:latin typeface="Cambria Math" panose="02040503050406030204" pitchFamily="18" charset="0"/>
                </a:rPr>
                <a:t>𝑅𝐸=(√𝑆𝑜𝑙𝑎𝑟+√𝑊𝑖𝑛𝑑)^2∗𝑤_𝑖</a:t>
              </a:r>
              <a:endParaRPr lang="en-GB" sz="1100"/>
            </a:p>
          </xdr:txBody>
        </xdr:sp>
      </mc:Fallback>
    </mc:AlternateContent>
    <xdr:clientData/>
  </xdr:twoCellAnchor>
  <xdr:oneCellAnchor>
    <xdr:from>
      <xdr:col>3</xdr:col>
      <xdr:colOff>75434</xdr:colOff>
      <xdr:row>32</xdr:row>
      <xdr:rowOff>42978</xdr:rowOff>
    </xdr:from>
    <xdr:ext cx="411898" cy="295275"/>
    <xdr:pic>
      <xdr:nvPicPr>
        <xdr:cNvPr id="18" name="Grafik 17">
          <a:extLst>
            <a:ext uri="{FF2B5EF4-FFF2-40B4-BE49-F238E27FC236}">
              <a16:creationId xmlns:a16="http://schemas.microsoft.com/office/drawing/2014/main" id="{B673D2FF-A052-4EBC-838F-FE6EDBBD07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4088" y="6241555"/>
          <a:ext cx="411898" cy="295275"/>
        </a:xfrm>
        <a:prstGeom prst="rect">
          <a:avLst/>
        </a:prstGeom>
        <a:ln>
          <a:solidFill>
            <a:sysClr val="windowText" lastClr="000000"/>
          </a:solidFill>
        </a:ln>
      </xdr:spPr>
    </xdr:pic>
    <xdr:clientData/>
  </xdr:oneCellAnchor>
  <xdr:oneCellAnchor>
    <xdr:from>
      <xdr:col>3</xdr:col>
      <xdr:colOff>79614</xdr:colOff>
      <xdr:row>35</xdr:row>
      <xdr:rowOff>47624</xdr:rowOff>
    </xdr:from>
    <xdr:ext cx="409575" cy="295275"/>
    <xdr:pic>
      <xdr:nvPicPr>
        <xdr:cNvPr id="19" name="Grafik 18">
          <a:extLst>
            <a:ext uri="{FF2B5EF4-FFF2-40B4-BE49-F238E27FC236}">
              <a16:creationId xmlns:a16="http://schemas.microsoft.com/office/drawing/2014/main" id="{9196BF4F-0C4D-4044-B2F8-7F6EBE5DE2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8268" y="7389201"/>
          <a:ext cx="409575" cy="295275"/>
        </a:xfrm>
        <a:prstGeom prst="rect">
          <a:avLst/>
        </a:prstGeom>
        <a:ln>
          <a:solidFill>
            <a:sysClr val="windowText" lastClr="000000"/>
          </a:solidFill>
        </a:ln>
      </xdr:spPr>
    </xdr:pic>
    <xdr:clientData/>
  </xdr:oneCellAnchor>
  <xdr:oneCellAnchor>
    <xdr:from>
      <xdr:col>3</xdr:col>
      <xdr:colOff>70323</xdr:colOff>
      <xdr:row>36</xdr:row>
      <xdr:rowOff>45647</xdr:rowOff>
    </xdr:from>
    <xdr:ext cx="410400" cy="295200"/>
    <xdr:pic>
      <xdr:nvPicPr>
        <xdr:cNvPr id="20" name="Grafik 19">
          <a:extLst>
            <a:ext uri="{FF2B5EF4-FFF2-40B4-BE49-F238E27FC236}">
              <a16:creationId xmlns:a16="http://schemas.microsoft.com/office/drawing/2014/main" id="{602FEBC0-E01A-4C73-9A7F-1B8AF22F64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08977" y="7768224"/>
          <a:ext cx="410400" cy="295200"/>
        </a:xfrm>
        <a:prstGeom prst="rect">
          <a:avLst/>
        </a:prstGeom>
        <a:ln>
          <a:solidFill>
            <a:sysClr val="windowText" lastClr="000000"/>
          </a:solidFill>
        </a:ln>
      </xdr:spPr>
    </xdr:pic>
    <xdr:clientData/>
  </xdr:oneCellAnchor>
  <xdr:oneCellAnchor>
    <xdr:from>
      <xdr:col>3</xdr:col>
      <xdr:colOff>70090</xdr:colOff>
      <xdr:row>34</xdr:row>
      <xdr:rowOff>40768</xdr:rowOff>
    </xdr:from>
    <xdr:ext cx="410400" cy="295200"/>
    <xdr:pic>
      <xdr:nvPicPr>
        <xdr:cNvPr id="21" name="Grafik 20">
          <a:extLst>
            <a:ext uri="{FF2B5EF4-FFF2-40B4-BE49-F238E27FC236}">
              <a16:creationId xmlns:a16="http://schemas.microsoft.com/office/drawing/2014/main" id="{737795AE-30D1-40B7-9FD4-E85EF8B449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08744" y="7001345"/>
          <a:ext cx="410400" cy="295200"/>
        </a:xfrm>
        <a:prstGeom prst="rect">
          <a:avLst/>
        </a:prstGeom>
        <a:ln>
          <a:solidFill>
            <a:sysClr val="windowText" lastClr="000000"/>
          </a:solidFill>
        </a:ln>
      </xdr:spPr>
    </xdr:pic>
    <xdr:clientData/>
  </xdr:oneCellAnchor>
  <xdr:oneCellAnchor>
    <xdr:from>
      <xdr:col>3</xdr:col>
      <xdr:colOff>75200</xdr:colOff>
      <xdr:row>37</xdr:row>
      <xdr:rowOff>43211</xdr:rowOff>
    </xdr:from>
    <xdr:ext cx="410400" cy="295200"/>
    <xdr:pic>
      <xdr:nvPicPr>
        <xdr:cNvPr id="22" name="Grafik 21">
          <a:extLst>
            <a:ext uri="{FF2B5EF4-FFF2-40B4-BE49-F238E27FC236}">
              <a16:creationId xmlns:a16="http://schemas.microsoft.com/office/drawing/2014/main" id="{88669EA0-03F9-45A8-AB3B-EECEF1DE48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13854" y="8146788"/>
          <a:ext cx="410400" cy="295200"/>
        </a:xfrm>
        <a:prstGeom prst="rect">
          <a:avLst/>
        </a:prstGeom>
        <a:ln>
          <a:solidFill>
            <a:sysClr val="windowText" lastClr="000000"/>
          </a:solidFill>
        </a:ln>
      </xdr:spPr>
    </xdr:pic>
    <xdr:clientData/>
  </xdr:oneCellAnchor>
  <xdr:oneCellAnchor>
    <xdr:from>
      <xdr:col>3</xdr:col>
      <xdr:colOff>79846</xdr:colOff>
      <xdr:row>33</xdr:row>
      <xdr:rowOff>42745</xdr:rowOff>
    </xdr:from>
    <xdr:ext cx="410400" cy="295200"/>
    <xdr:pic>
      <xdr:nvPicPr>
        <xdr:cNvPr id="23" name="Grafik 22">
          <a:extLst>
            <a:ext uri="{FF2B5EF4-FFF2-40B4-BE49-F238E27FC236}">
              <a16:creationId xmlns:a16="http://schemas.microsoft.com/office/drawing/2014/main" id="{13C98CAF-DE38-466D-BCA9-23B7758C9B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18500" y="6622322"/>
          <a:ext cx="410400" cy="295200"/>
        </a:xfrm>
        <a:prstGeom prst="rect">
          <a:avLst/>
        </a:prstGeom>
        <a:ln>
          <a:solidFill>
            <a:sysClr val="windowText" lastClr="000000"/>
          </a:solidFill>
        </a:ln>
      </xdr:spPr>
    </xdr:pic>
    <xdr:clientData/>
  </xdr:oneCellAnchor>
  <xdr:twoCellAnchor>
    <xdr:from>
      <xdr:col>22</xdr:col>
      <xdr:colOff>739589</xdr:colOff>
      <xdr:row>3</xdr:row>
      <xdr:rowOff>118782</xdr:rowOff>
    </xdr:from>
    <xdr:to>
      <xdr:col>32</xdr:col>
      <xdr:colOff>739589</xdr:colOff>
      <xdr:row>31</xdr:row>
      <xdr:rowOff>30257</xdr:rowOff>
    </xdr:to>
    <xdr:graphicFrame macro="">
      <xdr:nvGraphicFramePr>
        <xdr:cNvPr id="31" name="Diagramm 30">
          <a:extLst>
            <a:ext uri="{FF2B5EF4-FFF2-40B4-BE49-F238E27FC236}">
              <a16:creationId xmlns:a16="http://schemas.microsoft.com/office/drawing/2014/main" id="{3E60666B-1993-363E-12DC-47815D9CB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79614</xdr:colOff>
      <xdr:row>19</xdr:row>
      <xdr:rowOff>47624</xdr:rowOff>
    </xdr:from>
    <xdr:ext cx="409575" cy="295275"/>
    <xdr:pic>
      <xdr:nvPicPr>
        <xdr:cNvPr id="11" name="Grafik 10">
          <a:extLst>
            <a:ext uri="{FF2B5EF4-FFF2-40B4-BE49-F238E27FC236}">
              <a16:creationId xmlns:a16="http://schemas.microsoft.com/office/drawing/2014/main" id="{88F9A907-E8D6-4305-8747-60F45F4E63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8268" y="4663586"/>
          <a:ext cx="409575" cy="295275"/>
        </a:xfrm>
        <a:prstGeom prst="rect">
          <a:avLst/>
        </a:prstGeom>
        <a:ln>
          <a:solidFill>
            <a:sysClr val="windowText" lastClr="000000"/>
          </a:solidFill>
        </a:ln>
      </xdr:spPr>
    </xdr:pic>
    <xdr:clientData/>
  </xdr:oneCellAnchor>
  <xdr:oneCellAnchor>
    <xdr:from>
      <xdr:col>3</xdr:col>
      <xdr:colOff>77943</xdr:colOff>
      <xdr:row>13</xdr:row>
      <xdr:rowOff>45647</xdr:rowOff>
    </xdr:from>
    <xdr:ext cx="410400" cy="295200"/>
    <xdr:pic>
      <xdr:nvPicPr>
        <xdr:cNvPr id="12" name="Grafik 11">
          <a:extLst>
            <a:ext uri="{FF2B5EF4-FFF2-40B4-BE49-F238E27FC236}">
              <a16:creationId xmlns:a16="http://schemas.microsoft.com/office/drawing/2014/main" id="{692AA16A-7550-4062-AC1A-8CBE408842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3373" y="3539417"/>
          <a:ext cx="410400" cy="295200"/>
        </a:xfrm>
        <a:prstGeom prst="rect">
          <a:avLst/>
        </a:prstGeom>
        <a:ln>
          <a:solidFill>
            <a:sysClr val="windowText" lastClr="000000"/>
          </a:solidFill>
        </a:ln>
      </xdr:spPr>
    </xdr:pic>
    <xdr:clientData/>
  </xdr:oneCellAnchor>
  <xdr:oneCellAnchor>
    <xdr:from>
      <xdr:col>3</xdr:col>
      <xdr:colOff>77710</xdr:colOff>
      <xdr:row>11</xdr:row>
      <xdr:rowOff>40768</xdr:rowOff>
    </xdr:from>
    <xdr:ext cx="410400" cy="295200"/>
    <xdr:pic>
      <xdr:nvPicPr>
        <xdr:cNvPr id="30" name="Grafik 29">
          <a:extLst>
            <a:ext uri="{FF2B5EF4-FFF2-40B4-BE49-F238E27FC236}">
              <a16:creationId xmlns:a16="http://schemas.microsoft.com/office/drawing/2014/main" id="{1FCD4DB2-A61E-49DB-8D94-8E638709D76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3140" y="3153538"/>
          <a:ext cx="410400" cy="295200"/>
        </a:xfrm>
        <a:prstGeom prst="rect">
          <a:avLst/>
        </a:prstGeom>
        <a:ln>
          <a:solidFill>
            <a:sysClr val="windowText" lastClr="000000"/>
          </a:solidFill>
        </a:ln>
      </xdr:spPr>
    </xdr:pic>
    <xdr:clientData/>
  </xdr:oneCellAnchor>
  <xdr:oneCellAnchor>
    <xdr:from>
      <xdr:col>3</xdr:col>
      <xdr:colOff>79010</xdr:colOff>
      <xdr:row>15</xdr:row>
      <xdr:rowOff>43211</xdr:rowOff>
    </xdr:from>
    <xdr:ext cx="410400" cy="295200"/>
    <xdr:pic>
      <xdr:nvPicPr>
        <xdr:cNvPr id="32" name="Grafik 31">
          <a:extLst>
            <a:ext uri="{FF2B5EF4-FFF2-40B4-BE49-F238E27FC236}">
              <a16:creationId xmlns:a16="http://schemas.microsoft.com/office/drawing/2014/main" id="{632EAEA5-E1EC-4D88-9A4A-12B5D947AB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14440" y="3917981"/>
          <a:ext cx="410400" cy="295200"/>
        </a:xfrm>
        <a:prstGeom prst="rect">
          <a:avLst/>
        </a:prstGeom>
        <a:ln>
          <a:solidFill>
            <a:sysClr val="windowText" lastClr="000000"/>
          </a:solidFill>
        </a:ln>
      </xdr:spPr>
    </xdr:pic>
    <xdr:clientData/>
  </xdr:oneCellAnchor>
  <xdr:oneCellAnchor>
    <xdr:from>
      <xdr:col>3</xdr:col>
      <xdr:colOff>76036</xdr:colOff>
      <xdr:row>17</xdr:row>
      <xdr:rowOff>42745</xdr:rowOff>
    </xdr:from>
    <xdr:ext cx="410400" cy="295200"/>
    <xdr:pic>
      <xdr:nvPicPr>
        <xdr:cNvPr id="33" name="Grafik 32">
          <a:extLst>
            <a:ext uri="{FF2B5EF4-FFF2-40B4-BE49-F238E27FC236}">
              <a16:creationId xmlns:a16="http://schemas.microsoft.com/office/drawing/2014/main" id="{EF3541ED-BC43-4A13-B881-FFB43FFEB2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3114" y="3215761"/>
          <a:ext cx="410400" cy="295200"/>
        </a:xfrm>
        <a:prstGeom prst="rect">
          <a:avLst/>
        </a:prstGeom>
        <a:ln>
          <a:solidFill>
            <a:sysClr val="windowText" lastClr="000000"/>
          </a:solidFill>
        </a:ln>
      </xdr:spPr>
    </xdr:pic>
    <xdr:clientData/>
  </xdr:oneCellAnchor>
  <xdr:oneCellAnchor>
    <xdr:from>
      <xdr:col>3</xdr:col>
      <xdr:colOff>75434</xdr:colOff>
      <xdr:row>21</xdr:row>
      <xdr:rowOff>42978</xdr:rowOff>
    </xdr:from>
    <xdr:ext cx="411898" cy="295275"/>
    <xdr:pic>
      <xdr:nvPicPr>
        <xdr:cNvPr id="43" name="Grafik 42">
          <a:extLst>
            <a:ext uri="{FF2B5EF4-FFF2-40B4-BE49-F238E27FC236}">
              <a16:creationId xmlns:a16="http://schemas.microsoft.com/office/drawing/2014/main" id="{D1599AA5-6702-40CA-99CC-58E9D19A46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4088" y="5039940"/>
          <a:ext cx="411898" cy="295275"/>
        </a:xfrm>
        <a:prstGeom prst="rect">
          <a:avLst/>
        </a:prstGeom>
        <a:ln>
          <a:solidFill>
            <a:sysClr val="windowText" lastClr="000000"/>
          </a:solidFill>
        </a:ln>
      </xdr:spPr>
    </xdr:pic>
    <xdr:clientData/>
  </xdr:oneCellAnchor>
  <xdr:oneCellAnchor>
    <xdr:from>
      <xdr:col>3</xdr:col>
      <xdr:colOff>75434</xdr:colOff>
      <xdr:row>43</xdr:row>
      <xdr:rowOff>42978</xdr:rowOff>
    </xdr:from>
    <xdr:ext cx="411898" cy="295275"/>
    <xdr:pic>
      <xdr:nvPicPr>
        <xdr:cNvPr id="27" name="Grafik 26">
          <a:extLst>
            <a:ext uri="{FF2B5EF4-FFF2-40B4-BE49-F238E27FC236}">
              <a16:creationId xmlns:a16="http://schemas.microsoft.com/office/drawing/2014/main" id="{5347EDA9-E6E5-4CBA-891F-8405F24E79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8630" y="6544826"/>
          <a:ext cx="411898" cy="295275"/>
        </a:xfrm>
        <a:prstGeom prst="rect">
          <a:avLst/>
        </a:prstGeom>
        <a:ln>
          <a:solidFill>
            <a:sysClr val="windowText" lastClr="000000"/>
          </a:solidFill>
        </a:ln>
      </xdr:spPr>
    </xdr:pic>
    <xdr:clientData/>
  </xdr:oneCellAnchor>
  <xdr:oneCellAnchor>
    <xdr:from>
      <xdr:col>3</xdr:col>
      <xdr:colOff>79614</xdr:colOff>
      <xdr:row>46</xdr:row>
      <xdr:rowOff>47624</xdr:rowOff>
    </xdr:from>
    <xdr:ext cx="409575" cy="295275"/>
    <xdr:pic>
      <xdr:nvPicPr>
        <xdr:cNvPr id="28" name="Grafik 27">
          <a:extLst>
            <a:ext uri="{FF2B5EF4-FFF2-40B4-BE49-F238E27FC236}">
              <a16:creationId xmlns:a16="http://schemas.microsoft.com/office/drawing/2014/main" id="{2F79398E-57E8-4454-B7C4-DB8BC3FC53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2810" y="7692472"/>
          <a:ext cx="409575" cy="295275"/>
        </a:xfrm>
        <a:prstGeom prst="rect">
          <a:avLst/>
        </a:prstGeom>
        <a:ln>
          <a:solidFill>
            <a:sysClr val="windowText" lastClr="000000"/>
          </a:solidFill>
        </a:ln>
      </xdr:spPr>
    </xdr:pic>
    <xdr:clientData/>
  </xdr:oneCellAnchor>
  <xdr:oneCellAnchor>
    <xdr:from>
      <xdr:col>3</xdr:col>
      <xdr:colOff>70323</xdr:colOff>
      <xdr:row>47</xdr:row>
      <xdr:rowOff>45647</xdr:rowOff>
    </xdr:from>
    <xdr:ext cx="410400" cy="295200"/>
    <xdr:pic>
      <xdr:nvPicPr>
        <xdr:cNvPr id="29" name="Grafik 28">
          <a:extLst>
            <a:ext uri="{FF2B5EF4-FFF2-40B4-BE49-F238E27FC236}">
              <a16:creationId xmlns:a16="http://schemas.microsoft.com/office/drawing/2014/main" id="{72C427A5-5B33-452E-AA7A-7A837D36E0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53519" y="8071495"/>
          <a:ext cx="410400" cy="295200"/>
        </a:xfrm>
        <a:prstGeom prst="rect">
          <a:avLst/>
        </a:prstGeom>
        <a:ln>
          <a:solidFill>
            <a:sysClr val="windowText" lastClr="000000"/>
          </a:solidFill>
        </a:ln>
      </xdr:spPr>
    </xdr:pic>
    <xdr:clientData/>
  </xdr:oneCellAnchor>
  <xdr:oneCellAnchor>
    <xdr:from>
      <xdr:col>3</xdr:col>
      <xdr:colOff>70090</xdr:colOff>
      <xdr:row>45</xdr:row>
      <xdr:rowOff>40768</xdr:rowOff>
    </xdr:from>
    <xdr:ext cx="410400" cy="295200"/>
    <xdr:pic>
      <xdr:nvPicPr>
        <xdr:cNvPr id="34" name="Grafik 33">
          <a:extLst>
            <a:ext uri="{FF2B5EF4-FFF2-40B4-BE49-F238E27FC236}">
              <a16:creationId xmlns:a16="http://schemas.microsoft.com/office/drawing/2014/main" id="{B62DF530-A22F-4803-92D1-C3A2FE43B9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53286" y="7304616"/>
          <a:ext cx="410400" cy="295200"/>
        </a:xfrm>
        <a:prstGeom prst="rect">
          <a:avLst/>
        </a:prstGeom>
        <a:ln>
          <a:solidFill>
            <a:sysClr val="windowText" lastClr="000000"/>
          </a:solidFill>
        </a:ln>
      </xdr:spPr>
    </xdr:pic>
    <xdr:clientData/>
  </xdr:oneCellAnchor>
  <xdr:oneCellAnchor>
    <xdr:from>
      <xdr:col>3</xdr:col>
      <xdr:colOff>75200</xdr:colOff>
      <xdr:row>48</xdr:row>
      <xdr:rowOff>43211</xdr:rowOff>
    </xdr:from>
    <xdr:ext cx="410400" cy="295200"/>
    <xdr:pic>
      <xdr:nvPicPr>
        <xdr:cNvPr id="35" name="Grafik 34">
          <a:extLst>
            <a:ext uri="{FF2B5EF4-FFF2-40B4-BE49-F238E27FC236}">
              <a16:creationId xmlns:a16="http://schemas.microsoft.com/office/drawing/2014/main" id="{5B9D8DD9-19A8-4273-B133-6CA3F0DAB40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58396" y="8450059"/>
          <a:ext cx="410400" cy="295200"/>
        </a:xfrm>
        <a:prstGeom prst="rect">
          <a:avLst/>
        </a:prstGeom>
        <a:ln>
          <a:solidFill>
            <a:sysClr val="windowText" lastClr="000000"/>
          </a:solidFill>
        </a:ln>
      </xdr:spPr>
    </xdr:pic>
    <xdr:clientData/>
  </xdr:oneCellAnchor>
  <xdr:oneCellAnchor>
    <xdr:from>
      <xdr:col>3</xdr:col>
      <xdr:colOff>79846</xdr:colOff>
      <xdr:row>44</xdr:row>
      <xdr:rowOff>42745</xdr:rowOff>
    </xdr:from>
    <xdr:ext cx="410400" cy="295200"/>
    <xdr:pic>
      <xdr:nvPicPr>
        <xdr:cNvPr id="36" name="Grafik 35">
          <a:extLst>
            <a:ext uri="{FF2B5EF4-FFF2-40B4-BE49-F238E27FC236}">
              <a16:creationId xmlns:a16="http://schemas.microsoft.com/office/drawing/2014/main" id="{DD85493A-444C-4E6E-80FE-DAE14EE9D5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3042" y="6925593"/>
          <a:ext cx="410400" cy="295200"/>
        </a:xfrm>
        <a:prstGeom prst="rect">
          <a:avLst/>
        </a:prstGeom>
        <a:ln>
          <a:solidFill>
            <a:sysClr val="windowText" lastClr="000000"/>
          </a:solidFill>
        </a:ln>
      </xdr:spPr>
    </xdr:pic>
    <xdr:clientData/>
  </xdr:oneCellAnchor>
</xdr:wsDr>
</file>

<file path=xl/drawings/drawing13.xml><?xml version="1.0" encoding="utf-8"?>
<xdr:wsDr xmlns:xdr="http://schemas.openxmlformats.org/drawingml/2006/spreadsheetDrawing" xmlns:a="http://schemas.openxmlformats.org/drawingml/2006/main">
  <xdr:twoCellAnchor>
    <xdr:from>
      <xdr:col>3</xdr:col>
      <xdr:colOff>44823</xdr:colOff>
      <xdr:row>1</xdr:row>
      <xdr:rowOff>20212</xdr:rowOff>
    </xdr:from>
    <xdr:to>
      <xdr:col>8</xdr:col>
      <xdr:colOff>1322294</xdr:colOff>
      <xdr:row>21</xdr:row>
      <xdr:rowOff>112060</xdr:rowOff>
    </xdr:to>
    <xdr:graphicFrame macro="">
      <xdr:nvGraphicFramePr>
        <xdr:cNvPr id="2" name="Diagramm 1">
          <a:extLst>
            <a:ext uri="{FF2B5EF4-FFF2-40B4-BE49-F238E27FC236}">
              <a16:creationId xmlns:a16="http://schemas.microsoft.com/office/drawing/2014/main" id="{B53B850F-25E7-38F3-BDB6-6037E8F03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158613</xdr:colOff>
      <xdr:row>29</xdr:row>
      <xdr:rowOff>32716</xdr:rowOff>
    </xdr:from>
    <xdr:to>
      <xdr:col>14</xdr:col>
      <xdr:colOff>352011</xdr:colOff>
      <xdr:row>46</xdr:row>
      <xdr:rowOff>23191</xdr:rowOff>
    </xdr:to>
    <xdr:graphicFrame macro="">
      <xdr:nvGraphicFramePr>
        <xdr:cNvPr id="2" name="Diagramm 1">
          <a:extLst>
            <a:ext uri="{FF2B5EF4-FFF2-40B4-BE49-F238E27FC236}">
              <a16:creationId xmlns:a16="http://schemas.microsoft.com/office/drawing/2014/main" id="{E3AE9033-7C89-4C54-A1A3-E4CFF8EF1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339794</xdr:colOff>
      <xdr:row>29</xdr:row>
      <xdr:rowOff>75786</xdr:rowOff>
    </xdr:from>
    <xdr:to>
      <xdr:col>6</xdr:col>
      <xdr:colOff>952707</xdr:colOff>
      <xdr:row>46</xdr:row>
      <xdr:rowOff>66261</xdr:rowOff>
    </xdr:to>
    <xdr:graphicFrame macro="">
      <xdr:nvGraphicFramePr>
        <xdr:cNvPr id="3" name="Diagramm 2">
          <a:extLst>
            <a:ext uri="{FF2B5EF4-FFF2-40B4-BE49-F238E27FC236}">
              <a16:creationId xmlns:a16="http://schemas.microsoft.com/office/drawing/2014/main" id="{ACD252BA-EECD-4AAD-8B4E-C1D37FE4B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714375</xdr:colOff>
      <xdr:row>31</xdr:row>
      <xdr:rowOff>157162</xdr:rowOff>
    </xdr:from>
    <xdr:ext cx="1660968" cy="438390"/>
    <mc:AlternateContent xmlns:mc="http://schemas.openxmlformats.org/markup-compatibility/2006" xmlns:a14="http://schemas.microsoft.com/office/drawing/2010/main">
      <mc:Choice Requires="a14">
        <xdr:sp macro="" textlink="">
          <xdr:nvSpPr>
            <xdr:cNvPr id="3" name="Textfeld 2">
              <a:extLst>
                <a:ext uri="{FF2B5EF4-FFF2-40B4-BE49-F238E27FC236}">
                  <a16:creationId xmlns:a16="http://schemas.microsoft.com/office/drawing/2014/main" id="{DFFFB142-9BFF-8C6E-0EEE-9C269D02A81D}"/>
                </a:ext>
              </a:extLst>
            </xdr:cNvPr>
            <xdr:cNvSpPr txBox="1"/>
          </xdr:nvSpPr>
          <xdr:spPr>
            <a:xfrm>
              <a:off x="2857500" y="5776912"/>
              <a:ext cx="1660968" cy="438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DE" sz="1400" b="0" i="1">
                            <a:latin typeface="Cambria Math" panose="02040503050406030204" pitchFamily="18" charset="0"/>
                            <a:ea typeface="Cambria Math" panose="02040503050406030204" pitchFamily="18" charset="0"/>
                          </a:rPr>
                        </m:ctrlPr>
                      </m:sSubPr>
                      <m:e>
                        <m:r>
                          <a:rPr lang="de-DE" sz="1400" b="0" i="1">
                            <a:latin typeface="Cambria Math" panose="02040503050406030204" pitchFamily="18" charset="0"/>
                            <a:ea typeface="Cambria Math" panose="02040503050406030204" pitchFamily="18" charset="0"/>
                          </a:rPr>
                          <m:t>∆</m:t>
                        </m:r>
                      </m:e>
                      <m:sub>
                        <m:r>
                          <a:rPr lang="de-DE" sz="1400" b="0" i="1">
                            <a:latin typeface="Cambria Math" panose="02040503050406030204" pitchFamily="18" charset="0"/>
                            <a:ea typeface="Cambria Math" panose="02040503050406030204" pitchFamily="18" charset="0"/>
                          </a:rPr>
                          <m:t>𝑖</m:t>
                        </m:r>
                      </m:sub>
                    </m:sSub>
                    <m:r>
                      <a:rPr lang="de-DE" sz="1400" b="0" i="1">
                        <a:latin typeface="Cambria Math" panose="02040503050406030204" pitchFamily="18" charset="0"/>
                        <a:ea typeface="Cambria Math" panose="02040503050406030204" pitchFamily="18" charset="0"/>
                      </a:rPr>
                      <m:t> [−]=</m:t>
                    </m:r>
                    <m:rad>
                      <m:radPr>
                        <m:degHide m:val="on"/>
                        <m:ctrlPr>
                          <a:rPr lang="en-GB" sz="1400" i="1">
                            <a:latin typeface="Cambria Math" panose="02040503050406030204" pitchFamily="18" charset="0"/>
                          </a:rPr>
                        </m:ctrlPr>
                      </m:radPr>
                      <m:deg/>
                      <m:e>
                        <m:sSup>
                          <m:sSupPr>
                            <m:ctrlPr>
                              <a:rPr lang="en-GB" sz="1400" i="1">
                                <a:latin typeface="Cambria Math" panose="02040503050406030204" pitchFamily="18" charset="0"/>
                              </a:rPr>
                            </m:ctrlPr>
                          </m:sSupPr>
                          <m:e>
                            <m:r>
                              <a:rPr lang="de-DE" sz="1400" b="0" i="1">
                                <a:latin typeface="Cambria Math" panose="02040503050406030204" pitchFamily="18" charset="0"/>
                              </a:rPr>
                              <m:t>(</m:t>
                            </m:r>
                            <m:sSub>
                              <m:sSubPr>
                                <m:ctrlPr>
                                  <a:rPr lang="de-DE" sz="1400" b="0" i="1">
                                    <a:latin typeface="Cambria Math" panose="02040503050406030204" pitchFamily="18" charset="0"/>
                                  </a:rPr>
                                </m:ctrlPr>
                              </m:sSubPr>
                              <m:e>
                                <m:r>
                                  <a:rPr lang="de-DE" sz="1400" b="0" i="1">
                                    <a:latin typeface="Cambria Math" panose="02040503050406030204" pitchFamily="18" charset="0"/>
                                  </a:rPr>
                                  <m:t>𝐶</m:t>
                                </m:r>
                              </m:e>
                              <m:sub>
                                <m:r>
                                  <a:rPr lang="de-DE" sz="1400" b="0" i="1">
                                    <a:latin typeface="Cambria Math" panose="02040503050406030204" pitchFamily="18" charset="0"/>
                                  </a:rPr>
                                  <m:t>𝑗</m:t>
                                </m:r>
                              </m:sub>
                            </m:sSub>
                            <m:r>
                              <a:rPr lang="de-DE" sz="1400" b="0" i="1">
                                <a:latin typeface="Cambria Math" panose="02040503050406030204" pitchFamily="18" charset="0"/>
                              </a:rPr>
                              <m:t>−</m:t>
                            </m:r>
                            <m:sSub>
                              <m:sSubPr>
                                <m:ctrlPr>
                                  <a:rPr lang="de-DE" sz="1400" b="0" i="1">
                                    <a:latin typeface="Cambria Math" panose="02040503050406030204" pitchFamily="18" charset="0"/>
                                  </a:rPr>
                                </m:ctrlPr>
                              </m:sSubPr>
                              <m:e>
                                <m:r>
                                  <a:rPr lang="de-DE" sz="1400" b="0" i="1">
                                    <a:latin typeface="Cambria Math" panose="02040503050406030204" pitchFamily="18" charset="0"/>
                                  </a:rPr>
                                  <m:t>𝐶</m:t>
                                </m:r>
                              </m:e>
                              <m:sub>
                                <m:r>
                                  <a:rPr lang="de-DE" sz="1400" b="0" i="1">
                                    <a:latin typeface="Cambria Math" panose="02040503050406030204" pitchFamily="18" charset="0"/>
                                  </a:rPr>
                                  <m:t>𝑘</m:t>
                                </m:r>
                              </m:sub>
                            </m:sSub>
                            <m:r>
                              <a:rPr lang="de-DE" sz="1400" b="0" i="1">
                                <a:latin typeface="Cambria Math" panose="02040503050406030204" pitchFamily="18" charset="0"/>
                              </a:rPr>
                              <m:t>)</m:t>
                            </m:r>
                          </m:e>
                          <m:sup>
                            <m:r>
                              <a:rPr lang="de-DE" sz="1400" b="0" i="1">
                                <a:latin typeface="Cambria Math" panose="02040503050406030204" pitchFamily="18" charset="0"/>
                              </a:rPr>
                              <m:t>2</m:t>
                            </m:r>
                          </m:sup>
                        </m:sSup>
                      </m:e>
                    </m:rad>
                  </m:oMath>
                </m:oMathPara>
              </a14:m>
              <a:endParaRPr lang="en-GB" sz="1400"/>
            </a:p>
          </xdr:txBody>
        </xdr:sp>
      </mc:Choice>
      <mc:Fallback xmlns="">
        <xdr:sp macro="" textlink="">
          <xdr:nvSpPr>
            <xdr:cNvPr id="3" name="Textfeld 2">
              <a:extLst>
                <a:ext uri="{FF2B5EF4-FFF2-40B4-BE49-F238E27FC236}">
                  <a16:creationId xmlns:a16="http://schemas.microsoft.com/office/drawing/2014/main" id="{DFFFB142-9BFF-8C6E-0EEE-9C269D02A81D}"/>
                </a:ext>
              </a:extLst>
            </xdr:cNvPr>
            <xdr:cNvSpPr txBox="1"/>
          </xdr:nvSpPr>
          <xdr:spPr>
            <a:xfrm>
              <a:off x="2857500" y="5776912"/>
              <a:ext cx="1660968" cy="438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DE" sz="1400" b="0" i="0">
                  <a:latin typeface="Cambria Math" panose="02040503050406030204" pitchFamily="18" charset="0"/>
                  <a:ea typeface="Cambria Math" panose="02040503050406030204" pitchFamily="18" charset="0"/>
                </a:rPr>
                <a:t>∆_𝑖  [−]=</a:t>
              </a:r>
              <a:r>
                <a:rPr lang="en-GB" sz="1400" i="0">
                  <a:latin typeface="Cambria Math" panose="02040503050406030204" pitchFamily="18" charset="0"/>
                </a:rPr>
                <a:t>√(〖</a:t>
              </a:r>
              <a:r>
                <a:rPr lang="de-DE" sz="1400" b="0" i="0">
                  <a:latin typeface="Cambria Math" panose="02040503050406030204" pitchFamily="18" charset="0"/>
                </a:rPr>
                <a:t>(𝐶_𝑗−𝐶_𝑘)</a:t>
              </a:r>
              <a:r>
                <a:rPr lang="en-GB" sz="1400" b="0" i="0">
                  <a:latin typeface="Cambria Math" panose="02040503050406030204" pitchFamily="18" charset="0"/>
                </a:rPr>
                <a:t>〗^</a:t>
              </a:r>
              <a:r>
                <a:rPr lang="de-DE" sz="1400" b="0" i="0">
                  <a:latin typeface="Cambria Math" panose="02040503050406030204" pitchFamily="18" charset="0"/>
                </a:rPr>
                <a:t>2</a:t>
              </a:r>
              <a:r>
                <a:rPr lang="en-GB" sz="1400" b="0" i="0">
                  <a:latin typeface="Cambria Math" panose="02040503050406030204" pitchFamily="18" charset="0"/>
                </a:rPr>
                <a:t> )</a:t>
              </a:r>
              <a:endParaRPr lang="en-GB" sz="1400"/>
            </a:p>
          </xdr:txBody>
        </xdr:sp>
      </mc:Fallback>
    </mc:AlternateContent>
    <xdr:clientData/>
  </xdr:oneCellAnchor>
  <xdr:oneCellAnchor>
    <xdr:from>
      <xdr:col>7</xdr:col>
      <xdr:colOff>38100</xdr:colOff>
      <xdr:row>32</xdr:row>
      <xdr:rowOff>4762</xdr:rowOff>
    </xdr:from>
    <xdr:ext cx="1702004" cy="465448"/>
    <mc:AlternateContent xmlns:mc="http://schemas.openxmlformats.org/markup-compatibility/2006" xmlns:a14="http://schemas.microsoft.com/office/drawing/2010/main">
      <mc:Choice Requires="a14">
        <xdr:sp macro="" textlink="">
          <xdr:nvSpPr>
            <xdr:cNvPr id="4" name="Textfeld 3">
              <a:extLst>
                <a:ext uri="{FF2B5EF4-FFF2-40B4-BE49-F238E27FC236}">
                  <a16:creationId xmlns:a16="http://schemas.microsoft.com/office/drawing/2014/main" id="{E059E173-525C-FCBB-E7CC-8A7F07661BDA}"/>
                </a:ext>
              </a:extLst>
            </xdr:cNvPr>
            <xdr:cNvSpPr txBox="1"/>
          </xdr:nvSpPr>
          <xdr:spPr>
            <a:xfrm>
              <a:off x="6419850" y="5815012"/>
              <a:ext cx="1702004" cy="465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DE" sz="1400" b="0" i="1">
                        <a:latin typeface="Cambria Math" panose="02040503050406030204" pitchFamily="18" charset="0"/>
                      </a:rPr>
                      <m:t>𝑆h𝑎𝑟𝑒</m:t>
                    </m:r>
                    <m:r>
                      <a:rPr lang="de-DE" sz="1400" b="0" i="1">
                        <a:latin typeface="Cambria Math" panose="02040503050406030204" pitchFamily="18" charset="0"/>
                      </a:rPr>
                      <m:t> </m:t>
                    </m:r>
                    <m:d>
                      <m:dPr>
                        <m:begChr m:val="["/>
                        <m:endChr m:val="]"/>
                        <m:ctrlPr>
                          <a:rPr lang="de-DE" sz="1400" b="0" i="1">
                            <a:latin typeface="Cambria Math" panose="02040503050406030204" pitchFamily="18" charset="0"/>
                          </a:rPr>
                        </m:ctrlPr>
                      </m:dPr>
                      <m:e>
                        <m:r>
                          <a:rPr lang="de-DE" sz="1400" b="0" i="1">
                            <a:latin typeface="Cambria Math" panose="02040503050406030204" pitchFamily="18" charset="0"/>
                          </a:rPr>
                          <m:t>%</m:t>
                        </m:r>
                      </m:e>
                    </m:d>
                    <m:r>
                      <a:rPr lang="de-DE" sz="1400" b="0" i="1">
                        <a:latin typeface="Cambria Math" panose="02040503050406030204" pitchFamily="18" charset="0"/>
                      </a:rPr>
                      <m:t>=100∗</m:t>
                    </m:r>
                    <m:f>
                      <m:fPr>
                        <m:ctrlPr>
                          <a:rPr lang="de-DE" sz="1400" b="0" i="1">
                            <a:latin typeface="Cambria Math" panose="02040503050406030204" pitchFamily="18" charset="0"/>
                          </a:rPr>
                        </m:ctrlPr>
                      </m:fPr>
                      <m:num>
                        <m:sSub>
                          <m:sSubPr>
                            <m:ctrlPr>
                              <a:rPr lang="de-DE" sz="1400" b="0" i="1">
                                <a:latin typeface="Cambria Math" panose="02040503050406030204" pitchFamily="18" charset="0"/>
                              </a:rPr>
                            </m:ctrlPr>
                          </m:sSubPr>
                          <m:e>
                            <m:r>
                              <a:rPr lang="de-DE" sz="1400" b="0" i="1">
                                <a:latin typeface="Cambria Math" panose="02040503050406030204" pitchFamily="18" charset="0"/>
                                <a:ea typeface="Cambria Math" panose="02040503050406030204" pitchFamily="18" charset="0"/>
                              </a:rPr>
                              <m:t>∆</m:t>
                            </m:r>
                          </m:e>
                          <m:sub>
                            <m:r>
                              <a:rPr lang="de-DE" sz="1400" b="0" i="1">
                                <a:latin typeface="Cambria Math" panose="02040503050406030204" pitchFamily="18" charset="0"/>
                              </a:rPr>
                              <m:t>𝑖</m:t>
                            </m:r>
                          </m:sub>
                        </m:sSub>
                      </m:num>
                      <m:den>
                        <m:sSub>
                          <m:sSubPr>
                            <m:ctrlPr>
                              <a:rPr lang="de-DE" sz="1400" b="0" i="1">
                                <a:latin typeface="Cambria Math" panose="02040503050406030204" pitchFamily="18" charset="0"/>
                              </a:rPr>
                            </m:ctrlPr>
                          </m:sSubPr>
                          <m:e>
                            <m:r>
                              <a:rPr lang="de-DE" sz="1400" b="0" i="1">
                                <a:latin typeface="Cambria Math" panose="02040503050406030204" pitchFamily="18" charset="0"/>
                              </a:rPr>
                              <m:t>𝐶</m:t>
                            </m:r>
                          </m:e>
                          <m:sub>
                            <m:r>
                              <a:rPr lang="de-DE" sz="1400" b="0" i="1">
                                <a:latin typeface="Cambria Math" panose="02040503050406030204" pitchFamily="18" charset="0"/>
                              </a:rPr>
                              <m:t>𝑗</m:t>
                            </m:r>
                          </m:sub>
                        </m:sSub>
                      </m:den>
                    </m:f>
                  </m:oMath>
                </m:oMathPara>
              </a14:m>
              <a:endParaRPr lang="en-GB" sz="1400"/>
            </a:p>
          </xdr:txBody>
        </xdr:sp>
      </mc:Choice>
      <mc:Fallback xmlns="">
        <xdr:sp macro="" textlink="">
          <xdr:nvSpPr>
            <xdr:cNvPr id="4" name="Textfeld 3">
              <a:extLst>
                <a:ext uri="{FF2B5EF4-FFF2-40B4-BE49-F238E27FC236}">
                  <a16:creationId xmlns:a16="http://schemas.microsoft.com/office/drawing/2014/main" id="{E059E173-525C-FCBB-E7CC-8A7F07661BDA}"/>
                </a:ext>
              </a:extLst>
            </xdr:cNvPr>
            <xdr:cNvSpPr txBox="1"/>
          </xdr:nvSpPr>
          <xdr:spPr>
            <a:xfrm>
              <a:off x="6419850" y="5815012"/>
              <a:ext cx="1702004" cy="465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DE" sz="1400" b="0" i="0">
                  <a:latin typeface="Cambria Math" panose="02040503050406030204" pitchFamily="18" charset="0"/>
                </a:rPr>
                <a:t>𝑆ℎ𝑎𝑟𝑒 [%]=100∗</a:t>
              </a:r>
              <a:r>
                <a:rPr lang="de-DE" sz="1400" b="0" i="0">
                  <a:latin typeface="Cambria Math" panose="02040503050406030204" pitchFamily="18" charset="0"/>
                  <a:ea typeface="Cambria Math" panose="02040503050406030204" pitchFamily="18" charset="0"/>
                </a:rPr>
                <a:t>∆_</a:t>
              </a:r>
              <a:r>
                <a:rPr lang="de-DE" sz="1400" b="0" i="0">
                  <a:latin typeface="Cambria Math" panose="02040503050406030204" pitchFamily="18" charset="0"/>
                </a:rPr>
                <a:t>𝑖/𝐶_𝑗 </a:t>
              </a:r>
              <a:endParaRPr lang="en-GB" sz="14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26</xdr:col>
      <xdr:colOff>107498</xdr:colOff>
      <xdr:row>16</xdr:row>
      <xdr:rowOff>21772</xdr:rowOff>
    </xdr:from>
    <xdr:to>
      <xdr:col>32</xdr:col>
      <xdr:colOff>342900</xdr:colOff>
      <xdr:row>17</xdr:row>
      <xdr:rowOff>57150</xdr:rowOff>
    </xdr:to>
    <xdr:pic>
      <xdr:nvPicPr>
        <xdr:cNvPr id="9" name="Grafik 8">
          <a:extLst>
            <a:ext uri="{FF2B5EF4-FFF2-40B4-BE49-F238E27FC236}">
              <a16:creationId xmlns:a16="http://schemas.microsoft.com/office/drawing/2014/main" id="{95D5FEA7-95D7-6674-33C1-D87CC324289F}"/>
            </a:ext>
          </a:extLst>
        </xdr:cNvPr>
        <xdr:cNvPicPr>
          <a:picLocks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81423" y="3203122"/>
          <a:ext cx="2921452" cy="273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95250</xdr:colOff>
      <xdr:row>17</xdr:row>
      <xdr:rowOff>5442</xdr:rowOff>
    </xdr:from>
    <xdr:to>
      <xdr:col>33</xdr:col>
      <xdr:colOff>38100</xdr:colOff>
      <xdr:row>18</xdr:row>
      <xdr:rowOff>28575</xdr:rowOff>
    </xdr:to>
    <xdr:pic>
      <xdr:nvPicPr>
        <xdr:cNvPr id="10" name="Grafik 9">
          <a:extLst>
            <a:ext uri="{FF2B5EF4-FFF2-40B4-BE49-F238E27FC236}">
              <a16:creationId xmlns:a16="http://schemas.microsoft.com/office/drawing/2014/main" id="{1FB2D430-CADD-EC60-3930-45525F2DC916}"/>
            </a:ext>
          </a:extLst>
        </xdr:cNvPr>
        <xdr:cNvPicPr>
          <a:picLocks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73950" y="4120242"/>
          <a:ext cx="2676525" cy="261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110218</xdr:colOff>
      <xdr:row>18</xdr:row>
      <xdr:rowOff>39464</xdr:rowOff>
    </xdr:from>
    <xdr:to>
      <xdr:col>29</xdr:col>
      <xdr:colOff>247650</xdr:colOff>
      <xdr:row>19</xdr:row>
      <xdr:rowOff>38100</xdr:rowOff>
    </xdr:to>
    <xdr:pic>
      <xdr:nvPicPr>
        <xdr:cNvPr id="11" name="Grafik 10">
          <a:extLst>
            <a:ext uri="{FF2B5EF4-FFF2-40B4-BE49-F238E27FC236}">
              <a16:creationId xmlns:a16="http://schemas.microsoft.com/office/drawing/2014/main" id="{9CCDB11A-A8DB-5E0E-4771-450E3C94820C}"/>
            </a:ext>
          </a:extLst>
        </xdr:cNvPr>
        <xdr:cNvPicPr>
          <a:picLocks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88918" y="4392389"/>
          <a:ext cx="1175657" cy="236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219075</xdr:colOff>
      <xdr:row>29</xdr:row>
      <xdr:rowOff>39420</xdr:rowOff>
    </xdr:from>
    <xdr:to>
      <xdr:col>2</xdr:col>
      <xdr:colOff>2581275</xdr:colOff>
      <xdr:row>30</xdr:row>
      <xdr:rowOff>48945</xdr:rowOff>
    </xdr:to>
    <xdr:pic>
      <xdr:nvPicPr>
        <xdr:cNvPr id="2" name="Grafik 1">
          <a:extLst>
            <a:ext uri="{FF2B5EF4-FFF2-40B4-BE49-F238E27FC236}">
              <a16:creationId xmlns:a16="http://schemas.microsoft.com/office/drawing/2014/main" id="{30F21DF3-68DA-D234-9467-D6189B6AEE1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38325" y="6211620"/>
          <a:ext cx="23622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152400</xdr:colOff>
      <xdr:row>23</xdr:row>
      <xdr:rowOff>36928</xdr:rowOff>
    </xdr:from>
    <xdr:to>
      <xdr:col>2</xdr:col>
      <xdr:colOff>2535555</xdr:colOff>
      <xdr:row>23</xdr:row>
      <xdr:rowOff>301723</xdr:rowOff>
    </xdr:to>
    <xdr:pic>
      <xdr:nvPicPr>
        <xdr:cNvPr id="8" name="Grafik 7">
          <a:extLst>
            <a:ext uri="{FF2B5EF4-FFF2-40B4-BE49-F238E27FC236}">
              <a16:creationId xmlns:a16="http://schemas.microsoft.com/office/drawing/2014/main" id="{860ACFD5-CE27-80AF-39F6-987F86BA9E57}"/>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71650" y="6924236"/>
          <a:ext cx="2383155" cy="26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95250</xdr:colOff>
      <xdr:row>23</xdr:row>
      <xdr:rowOff>415729</xdr:rowOff>
    </xdr:from>
    <xdr:to>
      <xdr:col>2</xdr:col>
      <xdr:colOff>2686050</xdr:colOff>
      <xdr:row>23</xdr:row>
      <xdr:rowOff>666896</xdr:rowOff>
    </xdr:to>
    <xdr:pic>
      <xdr:nvPicPr>
        <xdr:cNvPr id="12" name="Grafik 11">
          <a:extLst>
            <a:ext uri="{FF2B5EF4-FFF2-40B4-BE49-F238E27FC236}">
              <a16:creationId xmlns:a16="http://schemas.microsoft.com/office/drawing/2014/main" id="{2F1C619F-3CD4-DE53-3B72-A846CA742F67}"/>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14500" y="7303037"/>
          <a:ext cx="2590800" cy="251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38100</xdr:colOff>
      <xdr:row>23</xdr:row>
      <xdr:rowOff>225669</xdr:rowOff>
    </xdr:from>
    <xdr:to>
      <xdr:col>2</xdr:col>
      <xdr:colOff>2819400</xdr:colOff>
      <xdr:row>23</xdr:row>
      <xdr:rowOff>473319</xdr:rowOff>
    </xdr:to>
    <xdr:pic>
      <xdr:nvPicPr>
        <xdr:cNvPr id="13" name="Grafik 12">
          <a:extLst>
            <a:ext uri="{FF2B5EF4-FFF2-40B4-BE49-F238E27FC236}">
              <a16:creationId xmlns:a16="http://schemas.microsoft.com/office/drawing/2014/main" id="{DDAA41BE-DF1A-8A0A-F3D9-6DC0DD16EBD2}"/>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57350" y="7112977"/>
          <a:ext cx="27813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85725</xdr:colOff>
      <xdr:row>24</xdr:row>
      <xdr:rowOff>16852</xdr:rowOff>
    </xdr:from>
    <xdr:to>
      <xdr:col>2</xdr:col>
      <xdr:colOff>2800350</xdr:colOff>
      <xdr:row>25</xdr:row>
      <xdr:rowOff>45427</xdr:rowOff>
    </xdr:to>
    <xdr:pic>
      <xdr:nvPicPr>
        <xdr:cNvPr id="14" name="Grafik 13">
          <a:extLst>
            <a:ext uri="{FF2B5EF4-FFF2-40B4-BE49-F238E27FC236}">
              <a16:creationId xmlns:a16="http://schemas.microsoft.com/office/drawing/2014/main" id="{FF89565C-7D8A-0A9C-6E91-FBB2571AC7D5}"/>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04975" y="7578237"/>
          <a:ext cx="2714625" cy="270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205740</xdr:colOff>
      <xdr:row>25</xdr:row>
      <xdr:rowOff>16559</xdr:rowOff>
    </xdr:from>
    <xdr:to>
      <xdr:col>2</xdr:col>
      <xdr:colOff>2571750</xdr:colOff>
      <xdr:row>26</xdr:row>
      <xdr:rowOff>64184</xdr:rowOff>
    </xdr:to>
    <xdr:pic>
      <xdr:nvPicPr>
        <xdr:cNvPr id="15" name="Grafik 14">
          <a:extLst>
            <a:ext uri="{FF2B5EF4-FFF2-40B4-BE49-F238E27FC236}">
              <a16:creationId xmlns:a16="http://schemas.microsoft.com/office/drawing/2014/main" id="{29920492-0C9A-07C1-005C-E4E1739BC297}"/>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74105" y="4918271"/>
          <a:ext cx="2366010" cy="260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205740</xdr:colOff>
      <xdr:row>26</xdr:row>
      <xdr:rowOff>16559</xdr:rowOff>
    </xdr:from>
    <xdr:to>
      <xdr:col>2</xdr:col>
      <xdr:colOff>2609850</xdr:colOff>
      <xdr:row>27</xdr:row>
      <xdr:rowOff>64184</xdr:rowOff>
    </xdr:to>
    <xdr:pic>
      <xdr:nvPicPr>
        <xdr:cNvPr id="19" name="Grafik 18">
          <a:extLst>
            <a:ext uri="{FF2B5EF4-FFF2-40B4-BE49-F238E27FC236}">
              <a16:creationId xmlns:a16="http://schemas.microsoft.com/office/drawing/2014/main" id="{40A87214-0C23-07A7-87D4-BFAFF1BF835C}"/>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74105" y="5130751"/>
          <a:ext cx="2404110" cy="274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217170</xdr:colOff>
      <xdr:row>27</xdr:row>
      <xdr:rowOff>19343</xdr:rowOff>
    </xdr:from>
    <xdr:to>
      <xdr:col>2</xdr:col>
      <xdr:colOff>2628900</xdr:colOff>
      <xdr:row>28</xdr:row>
      <xdr:rowOff>30773</xdr:rowOff>
    </xdr:to>
    <xdr:pic>
      <xdr:nvPicPr>
        <xdr:cNvPr id="23" name="Grafik 22">
          <a:extLst>
            <a:ext uri="{FF2B5EF4-FFF2-40B4-BE49-F238E27FC236}">
              <a16:creationId xmlns:a16="http://schemas.microsoft.com/office/drawing/2014/main" id="{0EE3AC3D-4A2D-2B38-54B8-93189210646D}"/>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535" y="5360670"/>
          <a:ext cx="2411730" cy="260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28</xdr:row>
      <xdr:rowOff>46746</xdr:rowOff>
    </xdr:from>
    <xdr:to>
      <xdr:col>2</xdr:col>
      <xdr:colOff>2415540</xdr:colOff>
      <xdr:row>29</xdr:row>
      <xdr:rowOff>46746</xdr:rowOff>
    </xdr:to>
    <xdr:pic>
      <xdr:nvPicPr>
        <xdr:cNvPr id="24" name="Grafik 23">
          <a:extLst>
            <a:ext uri="{FF2B5EF4-FFF2-40B4-BE49-F238E27FC236}">
              <a16:creationId xmlns:a16="http://schemas.microsoft.com/office/drawing/2014/main" id="{1E5D7667-A9F4-6E85-255E-6973BC35DB3A}"/>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6015" y="5637188"/>
          <a:ext cx="2167890" cy="2491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113180</xdr:colOff>
      <xdr:row>16</xdr:row>
      <xdr:rowOff>29782</xdr:rowOff>
    </xdr:from>
    <xdr:to>
      <xdr:col>2</xdr:col>
      <xdr:colOff>2465855</xdr:colOff>
      <xdr:row>16</xdr:row>
      <xdr:rowOff>277432</xdr:rowOff>
    </xdr:to>
    <xdr:pic>
      <xdr:nvPicPr>
        <xdr:cNvPr id="26" name="Grafik 25">
          <a:extLst>
            <a:ext uri="{FF2B5EF4-FFF2-40B4-BE49-F238E27FC236}">
              <a16:creationId xmlns:a16="http://schemas.microsoft.com/office/drawing/2014/main" id="{2B4E8BC4-2F11-E30B-C2E1-769BACEABACF}"/>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32430" y="3942359"/>
          <a:ext cx="23526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1073605</xdr:colOff>
      <xdr:row>21</xdr:row>
      <xdr:rowOff>21248</xdr:rowOff>
    </xdr:from>
    <xdr:to>
      <xdr:col>2</xdr:col>
      <xdr:colOff>2035630</xdr:colOff>
      <xdr:row>22</xdr:row>
      <xdr:rowOff>30773</xdr:rowOff>
    </xdr:to>
    <xdr:pic>
      <xdr:nvPicPr>
        <xdr:cNvPr id="3" name="Grafik 2">
          <a:extLst>
            <a:ext uri="{FF2B5EF4-FFF2-40B4-BE49-F238E27FC236}">
              <a16:creationId xmlns:a16="http://schemas.microsoft.com/office/drawing/2014/main" id="{F89AFFBA-70F0-007F-85D8-16A1CF2AF0F5}"/>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92855" y="6424979"/>
          <a:ext cx="962025" cy="251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381000</xdr:colOff>
      <xdr:row>17</xdr:row>
      <xdr:rowOff>246961</xdr:rowOff>
    </xdr:from>
    <xdr:to>
      <xdr:col>2</xdr:col>
      <xdr:colOff>2143125</xdr:colOff>
      <xdr:row>17</xdr:row>
      <xdr:rowOff>492930</xdr:rowOff>
    </xdr:to>
    <xdr:pic>
      <xdr:nvPicPr>
        <xdr:cNvPr id="21" name="Grafik 20">
          <a:extLst>
            <a:ext uri="{FF2B5EF4-FFF2-40B4-BE49-F238E27FC236}">
              <a16:creationId xmlns:a16="http://schemas.microsoft.com/office/drawing/2014/main" id="{C94BEEA8-CB02-6D20-5BE8-D8269AA414F8}"/>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0250" y="4599153"/>
          <a:ext cx="1762125" cy="245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276225</xdr:colOff>
      <xdr:row>15</xdr:row>
      <xdr:rowOff>194896</xdr:rowOff>
    </xdr:from>
    <xdr:to>
      <xdr:col>2</xdr:col>
      <xdr:colOff>2114550</xdr:colOff>
      <xdr:row>16</xdr:row>
      <xdr:rowOff>61546</xdr:rowOff>
    </xdr:to>
    <xdr:pic>
      <xdr:nvPicPr>
        <xdr:cNvPr id="22" name="Grafik 21">
          <a:extLst>
            <a:ext uri="{FF2B5EF4-FFF2-40B4-BE49-F238E27FC236}">
              <a16:creationId xmlns:a16="http://schemas.microsoft.com/office/drawing/2014/main" id="{73ABCEC0-4E85-FE1E-4870-99ECCFCFC517}"/>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95475" y="3726473"/>
          <a:ext cx="18383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285750</xdr:colOff>
      <xdr:row>16</xdr:row>
      <xdr:rowOff>198258</xdr:rowOff>
    </xdr:from>
    <xdr:to>
      <xdr:col>2</xdr:col>
      <xdr:colOff>2124075</xdr:colOff>
      <xdr:row>17</xdr:row>
      <xdr:rowOff>18964</xdr:rowOff>
    </xdr:to>
    <xdr:pic>
      <xdr:nvPicPr>
        <xdr:cNvPr id="25" name="Grafik 24">
          <a:extLst>
            <a:ext uri="{FF2B5EF4-FFF2-40B4-BE49-F238E27FC236}">
              <a16:creationId xmlns:a16="http://schemas.microsoft.com/office/drawing/2014/main" id="{ABB4067B-1F2B-6D72-892D-7F9BF5C67ED5}"/>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00" y="4110835"/>
          <a:ext cx="1838325" cy="260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381000</xdr:colOff>
      <xdr:row>14</xdr:row>
      <xdr:rowOff>166321</xdr:rowOff>
    </xdr:from>
    <xdr:to>
      <xdr:col>2</xdr:col>
      <xdr:colOff>2190750</xdr:colOff>
      <xdr:row>15</xdr:row>
      <xdr:rowOff>32971</xdr:rowOff>
    </xdr:to>
    <xdr:pic>
      <xdr:nvPicPr>
        <xdr:cNvPr id="27" name="Grafik 26">
          <a:extLst>
            <a:ext uri="{FF2B5EF4-FFF2-40B4-BE49-F238E27FC236}">
              <a16:creationId xmlns:a16="http://schemas.microsoft.com/office/drawing/2014/main" id="{B2A61288-6F67-F0B8-3E0E-F5DA2C8C5A4C}"/>
            </a:ext>
          </a:extLst>
        </xdr:cNvPr>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0250" y="3316898"/>
          <a:ext cx="18097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133350</xdr:colOff>
      <xdr:row>14</xdr:row>
      <xdr:rowOff>14654</xdr:rowOff>
    </xdr:from>
    <xdr:to>
      <xdr:col>2</xdr:col>
      <xdr:colOff>2305050</xdr:colOff>
      <xdr:row>14</xdr:row>
      <xdr:rowOff>262304</xdr:rowOff>
    </xdr:to>
    <xdr:pic>
      <xdr:nvPicPr>
        <xdr:cNvPr id="28" name="Grafik 27">
          <a:extLst>
            <a:ext uri="{FF2B5EF4-FFF2-40B4-BE49-F238E27FC236}">
              <a16:creationId xmlns:a16="http://schemas.microsoft.com/office/drawing/2014/main" id="{5D24BA65-15D9-2BF4-8B32-A400D39845F0}"/>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52600" y="3165231"/>
          <a:ext cx="21717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295275</xdr:colOff>
      <xdr:row>18</xdr:row>
      <xdr:rowOff>250408</xdr:rowOff>
    </xdr:from>
    <xdr:to>
      <xdr:col>2</xdr:col>
      <xdr:colOff>2133600</xdr:colOff>
      <xdr:row>19</xdr:row>
      <xdr:rowOff>4999</xdr:rowOff>
    </xdr:to>
    <xdr:pic>
      <xdr:nvPicPr>
        <xdr:cNvPr id="30" name="Grafik 29">
          <a:extLst>
            <a:ext uri="{FF2B5EF4-FFF2-40B4-BE49-F238E27FC236}">
              <a16:creationId xmlns:a16="http://schemas.microsoft.com/office/drawing/2014/main" id="{4E3C42F9-372D-61C4-33A7-069D3F25A9C2}"/>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14525" y="5115485"/>
          <a:ext cx="1838325" cy="267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19</xdr:row>
      <xdr:rowOff>62279</xdr:rowOff>
    </xdr:from>
    <xdr:to>
      <xdr:col>2</xdr:col>
      <xdr:colOff>2476500</xdr:colOff>
      <xdr:row>19</xdr:row>
      <xdr:rowOff>309929</xdr:rowOff>
    </xdr:to>
    <xdr:pic>
      <xdr:nvPicPr>
        <xdr:cNvPr id="31" name="Grafik 30">
          <a:extLst>
            <a:ext uri="{FF2B5EF4-FFF2-40B4-BE49-F238E27FC236}">
              <a16:creationId xmlns:a16="http://schemas.microsoft.com/office/drawing/2014/main" id="{33CF41C1-250A-73C2-5AC7-EC69D911310A}"/>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24050" y="5440241"/>
          <a:ext cx="21717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390525</xdr:colOff>
      <xdr:row>19</xdr:row>
      <xdr:rowOff>250407</xdr:rowOff>
    </xdr:from>
    <xdr:to>
      <xdr:col>2</xdr:col>
      <xdr:colOff>2152650</xdr:colOff>
      <xdr:row>20</xdr:row>
      <xdr:rowOff>11722</xdr:rowOff>
    </xdr:to>
    <xdr:pic>
      <xdr:nvPicPr>
        <xdr:cNvPr id="33" name="Grafik 32">
          <a:extLst>
            <a:ext uri="{FF2B5EF4-FFF2-40B4-BE49-F238E27FC236}">
              <a16:creationId xmlns:a16="http://schemas.microsoft.com/office/drawing/2014/main" id="{1E16A98B-63A2-A529-8CCB-DEB8BED1C468}"/>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9775" y="5628369"/>
          <a:ext cx="1762125" cy="274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95250</xdr:colOff>
      <xdr:row>20</xdr:row>
      <xdr:rowOff>69606</xdr:rowOff>
    </xdr:from>
    <xdr:to>
      <xdr:col>2</xdr:col>
      <xdr:colOff>2647950</xdr:colOff>
      <xdr:row>20</xdr:row>
      <xdr:rowOff>317256</xdr:rowOff>
    </xdr:to>
    <xdr:pic>
      <xdr:nvPicPr>
        <xdr:cNvPr id="34" name="Grafik 33">
          <a:extLst>
            <a:ext uri="{FF2B5EF4-FFF2-40B4-BE49-F238E27FC236}">
              <a16:creationId xmlns:a16="http://schemas.microsoft.com/office/drawing/2014/main" id="{48D5F923-582A-105D-EFB2-018D9CA9E244}"/>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714500" y="5960452"/>
          <a:ext cx="25527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285750</xdr:colOff>
      <xdr:row>20</xdr:row>
      <xdr:rowOff>269372</xdr:rowOff>
    </xdr:from>
    <xdr:to>
      <xdr:col>2</xdr:col>
      <xdr:colOff>2124075</xdr:colOff>
      <xdr:row>20</xdr:row>
      <xdr:rowOff>509954</xdr:rowOff>
    </xdr:to>
    <xdr:pic>
      <xdr:nvPicPr>
        <xdr:cNvPr id="35" name="Grafik 34">
          <a:extLst>
            <a:ext uri="{FF2B5EF4-FFF2-40B4-BE49-F238E27FC236}">
              <a16:creationId xmlns:a16="http://schemas.microsoft.com/office/drawing/2014/main" id="{D1BB7715-6441-A9E4-54FB-F437D3C5887D}"/>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00" y="6160218"/>
          <a:ext cx="1838325" cy="240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209550</xdr:colOff>
      <xdr:row>18</xdr:row>
      <xdr:rowOff>48358</xdr:rowOff>
    </xdr:from>
    <xdr:to>
      <xdr:col>2</xdr:col>
      <xdr:colOff>2657475</xdr:colOff>
      <xdr:row>18</xdr:row>
      <xdr:rowOff>296008</xdr:rowOff>
    </xdr:to>
    <xdr:pic>
      <xdr:nvPicPr>
        <xdr:cNvPr id="36" name="Grafik 35">
          <a:extLst>
            <a:ext uri="{FF2B5EF4-FFF2-40B4-BE49-F238E27FC236}">
              <a16:creationId xmlns:a16="http://schemas.microsoft.com/office/drawing/2014/main" id="{0095B2BB-C8F6-F48F-ABD9-14F50B4375FE}"/>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28800" y="4913435"/>
          <a:ext cx="24479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285750</xdr:colOff>
      <xdr:row>22</xdr:row>
      <xdr:rowOff>38100</xdr:rowOff>
    </xdr:from>
    <xdr:to>
      <xdr:col>2</xdr:col>
      <xdr:colOff>2409825</xdr:colOff>
      <xdr:row>23</xdr:row>
      <xdr:rowOff>47625</xdr:rowOff>
    </xdr:to>
    <xdr:pic>
      <xdr:nvPicPr>
        <xdr:cNvPr id="37" name="Grafik 36">
          <a:extLst>
            <a:ext uri="{FF2B5EF4-FFF2-40B4-BE49-F238E27FC236}">
              <a16:creationId xmlns:a16="http://schemas.microsoft.com/office/drawing/2014/main" id="{10F06BE6-07FD-9C1F-C8CF-B55A0826299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00" y="4152900"/>
          <a:ext cx="21240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190500</xdr:colOff>
      <xdr:row>15</xdr:row>
      <xdr:rowOff>24179</xdr:rowOff>
    </xdr:from>
    <xdr:to>
      <xdr:col>2</xdr:col>
      <xdr:colOff>2533650</xdr:colOff>
      <xdr:row>15</xdr:row>
      <xdr:rowOff>271829</xdr:rowOff>
    </xdr:to>
    <xdr:pic>
      <xdr:nvPicPr>
        <xdr:cNvPr id="7" name="Grafik 6">
          <a:extLst>
            <a:ext uri="{FF2B5EF4-FFF2-40B4-BE49-F238E27FC236}">
              <a16:creationId xmlns:a16="http://schemas.microsoft.com/office/drawing/2014/main" id="{E562395C-8E0B-8159-42C3-0297E01034C5}"/>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09750" y="3555756"/>
          <a:ext cx="23431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285750</xdr:colOff>
      <xdr:row>17</xdr:row>
      <xdr:rowOff>74649</xdr:rowOff>
    </xdr:from>
    <xdr:to>
      <xdr:col>2</xdr:col>
      <xdr:colOff>2381250</xdr:colOff>
      <xdr:row>17</xdr:row>
      <xdr:rowOff>322299</xdr:rowOff>
    </xdr:to>
    <xdr:pic>
      <xdr:nvPicPr>
        <xdr:cNvPr id="17" name="Grafik 16">
          <a:extLst>
            <a:ext uri="{FF2B5EF4-FFF2-40B4-BE49-F238E27FC236}">
              <a16:creationId xmlns:a16="http://schemas.microsoft.com/office/drawing/2014/main" id="{9B6C22BC-7A62-8DA6-5501-26B7D9C6242B}"/>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00" y="4426841"/>
          <a:ext cx="20955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638175</xdr:colOff>
      <xdr:row>13</xdr:row>
      <xdr:rowOff>19050</xdr:rowOff>
    </xdr:from>
    <xdr:to>
      <xdr:col>2</xdr:col>
      <xdr:colOff>2114550</xdr:colOff>
      <xdr:row>13</xdr:row>
      <xdr:rowOff>266700</xdr:rowOff>
    </xdr:to>
    <xdr:pic>
      <xdr:nvPicPr>
        <xdr:cNvPr id="6" name="Grafik 5">
          <a:extLst>
            <a:ext uri="{FF2B5EF4-FFF2-40B4-BE49-F238E27FC236}">
              <a16:creationId xmlns:a16="http://schemas.microsoft.com/office/drawing/2014/main" id="{1CCDD376-5A1D-7ED3-26A4-F3C8B26D8FCD}"/>
            </a:ext>
          </a:extLst>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57425" y="2800350"/>
          <a:ext cx="14763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704850</xdr:colOff>
      <xdr:row>13</xdr:row>
      <xdr:rowOff>183173</xdr:rowOff>
    </xdr:from>
    <xdr:to>
      <xdr:col>2</xdr:col>
      <xdr:colOff>2066925</xdr:colOff>
      <xdr:row>14</xdr:row>
      <xdr:rowOff>49823</xdr:rowOff>
    </xdr:to>
    <xdr:pic>
      <xdr:nvPicPr>
        <xdr:cNvPr id="9" name="Grafik 8">
          <a:extLst>
            <a:ext uri="{FF2B5EF4-FFF2-40B4-BE49-F238E27FC236}">
              <a16:creationId xmlns:a16="http://schemas.microsoft.com/office/drawing/2014/main" id="{6C6DD966-312A-D582-0DF8-43C783A648F5}"/>
            </a:ext>
          </a:extLst>
        </xdr:cNvPr>
        <xdr:cNvPicPr>
          <a:picLocks noChangeAspect="1" noChangeArrowheads="1"/>
        </xdr:cNvPicPr>
      </xdr:nvPicPr>
      <xdr:blipFill>
        <a:blip xmlns:r="http://schemas.openxmlformats.org/officeDocument/2006/relationships" r:embed="rId2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24100" y="2952750"/>
          <a:ext cx="13620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56029</xdr:colOff>
      <xdr:row>19</xdr:row>
      <xdr:rowOff>179294</xdr:rowOff>
    </xdr:from>
    <xdr:to>
      <xdr:col>20</xdr:col>
      <xdr:colOff>997324</xdr:colOff>
      <xdr:row>30</xdr:row>
      <xdr:rowOff>32498</xdr:rowOff>
    </xdr:to>
    <xdr:graphicFrame macro="">
      <xdr:nvGraphicFramePr>
        <xdr:cNvPr id="11" name="Diagramm 10">
          <a:extLst>
            <a:ext uri="{FF2B5EF4-FFF2-40B4-BE49-F238E27FC236}">
              <a16:creationId xmlns:a16="http://schemas.microsoft.com/office/drawing/2014/main" id="{4F93112D-E89B-4C73-FA86-052BBE241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23</xdr:col>
      <xdr:colOff>238125</xdr:colOff>
      <xdr:row>24</xdr:row>
      <xdr:rowOff>95250</xdr:rowOff>
    </xdr:from>
    <xdr:to>
      <xdr:col>28</xdr:col>
      <xdr:colOff>904874</xdr:colOff>
      <xdr:row>41</xdr:row>
      <xdr:rowOff>19050</xdr:rowOff>
    </xdr:to>
    <xdr:graphicFrame macro="">
      <xdr:nvGraphicFramePr>
        <xdr:cNvPr id="5" name="Diagramm 4">
          <a:extLst>
            <a:ext uri="{FF2B5EF4-FFF2-40B4-BE49-F238E27FC236}">
              <a16:creationId xmlns:a16="http://schemas.microsoft.com/office/drawing/2014/main" id="{93A80C27-2050-61C5-0D1E-9C98BFC0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95248</xdr:colOff>
      <xdr:row>39</xdr:row>
      <xdr:rowOff>158003</xdr:rowOff>
    </xdr:from>
    <xdr:to>
      <xdr:col>13</xdr:col>
      <xdr:colOff>879660</xdr:colOff>
      <xdr:row>54</xdr:row>
      <xdr:rowOff>32497</xdr:rowOff>
    </xdr:to>
    <xdr:graphicFrame macro="">
      <xdr:nvGraphicFramePr>
        <xdr:cNvPr id="4" name="Diagramm 3">
          <a:extLst>
            <a:ext uri="{FF2B5EF4-FFF2-40B4-BE49-F238E27FC236}">
              <a16:creationId xmlns:a16="http://schemas.microsoft.com/office/drawing/2014/main" id="{AEBF363E-4928-6334-AAF5-699341921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12631</xdr:colOff>
      <xdr:row>12</xdr:row>
      <xdr:rowOff>29404</xdr:rowOff>
    </xdr:from>
    <xdr:to>
      <xdr:col>11</xdr:col>
      <xdr:colOff>101048</xdr:colOff>
      <xdr:row>33</xdr:row>
      <xdr:rowOff>103948</xdr:rowOff>
    </xdr:to>
    <xdr:graphicFrame macro="">
      <xdr:nvGraphicFramePr>
        <xdr:cNvPr id="2" name="Diagramm 1">
          <a:extLst>
            <a:ext uri="{FF2B5EF4-FFF2-40B4-BE49-F238E27FC236}">
              <a16:creationId xmlns:a16="http://schemas.microsoft.com/office/drawing/2014/main" id="{0843C1F4-1C17-4CD2-88CE-F54E370F3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216468</xdr:colOff>
      <xdr:row>40</xdr:row>
      <xdr:rowOff>156882</xdr:rowOff>
    </xdr:from>
    <xdr:to>
      <xdr:col>9</xdr:col>
      <xdr:colOff>851183</xdr:colOff>
      <xdr:row>59</xdr:row>
      <xdr:rowOff>72376</xdr:rowOff>
    </xdr:to>
    <xdr:graphicFrame macro="">
      <xdr:nvGraphicFramePr>
        <xdr:cNvPr id="5" name="Diagramm 4">
          <a:extLst>
            <a:ext uri="{FF2B5EF4-FFF2-40B4-BE49-F238E27FC236}">
              <a16:creationId xmlns:a16="http://schemas.microsoft.com/office/drawing/2014/main" id="{F50ED587-2063-7299-9927-B4C0AD3C2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425824</xdr:colOff>
      <xdr:row>25</xdr:row>
      <xdr:rowOff>89652</xdr:rowOff>
    </xdr:from>
    <xdr:to>
      <xdr:col>7</xdr:col>
      <xdr:colOff>717177</xdr:colOff>
      <xdr:row>26</xdr:row>
      <xdr:rowOff>78446</xdr:rowOff>
    </xdr:to>
    <xdr:sp macro="" textlink="">
      <xdr:nvSpPr>
        <xdr:cNvPr id="2" name="Pfeil: Chevron 1">
          <a:extLst>
            <a:ext uri="{FF2B5EF4-FFF2-40B4-BE49-F238E27FC236}">
              <a16:creationId xmlns:a16="http://schemas.microsoft.com/office/drawing/2014/main" id="{D2AA7971-A8C5-1296-AF3E-4A60F3A36D61}"/>
            </a:ext>
          </a:extLst>
        </xdr:cNvPr>
        <xdr:cNvSpPr/>
      </xdr:nvSpPr>
      <xdr:spPr>
        <a:xfrm rot="5400000">
          <a:off x="13133295" y="5423651"/>
          <a:ext cx="179294" cy="291353"/>
        </a:xfrm>
        <a:prstGeom prst="chevron">
          <a:avLst/>
        </a:prstGeom>
        <a:solidFill>
          <a:srgbClr val="BC8EDE"/>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199703</xdr:colOff>
      <xdr:row>29</xdr:row>
      <xdr:rowOff>50346</xdr:rowOff>
    </xdr:from>
    <xdr:to>
      <xdr:col>7</xdr:col>
      <xdr:colOff>679955</xdr:colOff>
      <xdr:row>42</xdr:row>
      <xdr:rowOff>140153</xdr:rowOff>
    </xdr:to>
    <xdr:graphicFrame macro="">
      <xdr:nvGraphicFramePr>
        <xdr:cNvPr id="2" name="Diagramm 1">
          <a:extLst>
            <a:ext uri="{FF2B5EF4-FFF2-40B4-BE49-F238E27FC236}">
              <a16:creationId xmlns:a16="http://schemas.microsoft.com/office/drawing/2014/main" id="{B468BE8B-2FAE-4D34-9396-411705211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108867</xdr:colOff>
      <xdr:row>29</xdr:row>
      <xdr:rowOff>83964</xdr:rowOff>
    </xdr:from>
    <xdr:to>
      <xdr:col>13</xdr:col>
      <xdr:colOff>598723</xdr:colOff>
      <xdr:row>42</xdr:row>
      <xdr:rowOff>173771</xdr:rowOff>
    </xdr:to>
    <xdr:graphicFrame macro="">
      <xdr:nvGraphicFramePr>
        <xdr:cNvPr id="3" name="Diagramm 2">
          <a:extLst>
            <a:ext uri="{FF2B5EF4-FFF2-40B4-BE49-F238E27FC236}">
              <a16:creationId xmlns:a16="http://schemas.microsoft.com/office/drawing/2014/main" id="{1521C253-4627-4526-9CED-63A6EDFF1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41315</xdr:colOff>
      <xdr:row>29</xdr:row>
      <xdr:rowOff>98914</xdr:rowOff>
    </xdr:from>
    <xdr:to>
      <xdr:col>21</xdr:col>
      <xdr:colOff>81327</xdr:colOff>
      <xdr:row>42</xdr:row>
      <xdr:rowOff>146015</xdr:rowOff>
    </xdr:to>
    <xdr:graphicFrame macro="">
      <xdr:nvGraphicFramePr>
        <xdr:cNvPr id="4" name="Diagramm 3">
          <a:extLst>
            <a:ext uri="{FF2B5EF4-FFF2-40B4-BE49-F238E27FC236}">
              <a16:creationId xmlns:a16="http://schemas.microsoft.com/office/drawing/2014/main" id="{81914A29-654B-4E93-AA03-2A0672ED2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371604</xdr:colOff>
      <xdr:row>2</xdr:row>
      <xdr:rowOff>160282</xdr:rowOff>
    </xdr:from>
    <xdr:to>
      <xdr:col>18</xdr:col>
      <xdr:colOff>76200</xdr:colOff>
      <xdr:row>20</xdr:row>
      <xdr:rowOff>28575</xdr:rowOff>
    </xdr:to>
    <xdr:graphicFrame macro="">
      <xdr:nvGraphicFramePr>
        <xdr:cNvPr id="4" name="Diagramm 3">
          <a:extLst>
            <a:ext uri="{FF2B5EF4-FFF2-40B4-BE49-F238E27FC236}">
              <a16:creationId xmlns:a16="http://schemas.microsoft.com/office/drawing/2014/main" id="{1BCC0733-F4F0-8956-E26E-ED0BF15D3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647700</xdr:colOff>
      <xdr:row>21</xdr:row>
      <xdr:rowOff>57150</xdr:rowOff>
    </xdr:from>
    <xdr:to>
      <xdr:col>17</xdr:col>
      <xdr:colOff>647700</xdr:colOff>
      <xdr:row>39</xdr:row>
      <xdr:rowOff>0</xdr:rowOff>
    </xdr:to>
    <xdr:graphicFrame macro="">
      <xdr:nvGraphicFramePr>
        <xdr:cNvPr id="2" name="Diagramm 1">
          <a:extLst>
            <a:ext uri="{FF2B5EF4-FFF2-40B4-BE49-F238E27FC236}">
              <a16:creationId xmlns:a16="http://schemas.microsoft.com/office/drawing/2014/main" id="{00DAACC8-DC88-932F-1009-39A8A1DAC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ukas\Downloads\gepr-database-2017.xlsx" TargetMode="External"/><Relationship Id="rId1" Type="http://schemas.openxmlformats.org/officeDocument/2006/relationships/externalLinkPath" Target="/Users/Lukas/Downloads/gepr-database-2017.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Lukas\Desktop\Hydrogen%20demand.xlsx" TargetMode="External"/><Relationship Id="rId1" Type="http://schemas.openxmlformats.org/officeDocument/2006/relationships/externalLinkPath" Target="Hydrogen%20demand.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Lukas\Desktop\CM_Data_Explorer.xlsx" TargetMode="External"/><Relationship Id="rId1" Type="http://schemas.openxmlformats.org/officeDocument/2006/relationships/externalLinkPath" Target="CM_Data_Explor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Readme"/>
      <sheetName val="Corrective Tax Estimates"/>
      <sheetName val="CALC --&gt;"/>
      <sheetName val="Intake fractions"/>
      <sheetName val="population"/>
      <sheetName val="CR-function"/>
      <sheetName val="relative risk_coal"/>
      <sheetName val="relative risk_nat gas"/>
      <sheetName val="relative risk_ground"/>
      <sheetName val="deaths per ton_coal"/>
      <sheetName val="deaths per ton_nat gas"/>
      <sheetName val="deaths per ton_ground"/>
      <sheetName val="mortality values_starting value"/>
      <sheetName val="mortality value"/>
      <sheetName val="meteorology"/>
      <sheetName val="emission capture"/>
      <sheetName val="emission factors"/>
      <sheetName val="transport data"/>
      <sheetName val="transport parameters"/>
      <sheetName val="INPUT --&gt;"/>
      <sheetName val="Income data"/>
      <sheetName val="OECD infl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F7">
            <v>4.6020524880155929</v>
          </cell>
        </row>
        <row r="8">
          <cell r="F8">
            <v>3.7309400000000004</v>
          </cell>
        </row>
        <row r="14">
          <cell r="F14">
            <v>1</v>
          </cell>
        </row>
        <row r="15">
          <cell r="F15">
            <v>0.8</v>
          </cell>
        </row>
      </sheetData>
      <sheetData sheetId="14"/>
      <sheetData sheetId="15"/>
      <sheetData sheetId="16"/>
      <sheetData sheetId="17"/>
      <sheetData sheetId="18"/>
      <sheetData sheetId="19"/>
      <sheetData sheetId="20"/>
      <sheetData sheetId="21">
        <row r="2">
          <cell r="C2">
            <v>2016</v>
          </cell>
        </row>
        <row r="26">
          <cell r="C26">
            <v>41869.74</v>
          </cell>
        </row>
        <row r="35">
          <cell r="C35">
            <v>1995.6179999999999</v>
          </cell>
        </row>
        <row r="36">
          <cell r="C36">
            <v>11820.514999999999</v>
          </cell>
        </row>
        <row r="37">
          <cell r="C37">
            <v>14955.261</v>
          </cell>
        </row>
        <row r="40">
          <cell r="C40">
            <v>6797.11</v>
          </cell>
        </row>
        <row r="41">
          <cell r="C41">
            <v>25346.215</v>
          </cell>
        </row>
        <row r="42">
          <cell r="C42">
            <v>20053.067999999999</v>
          </cell>
        </row>
        <row r="43">
          <cell r="C43">
            <v>8636.9930000000004</v>
          </cell>
        </row>
        <row r="45">
          <cell r="C45">
            <v>48712.294999999998</v>
          </cell>
        </row>
        <row r="46">
          <cell r="C46">
            <v>47725.652999999998</v>
          </cell>
        </row>
        <row r="47">
          <cell r="C47">
            <v>17452.982</v>
          </cell>
        </row>
        <row r="48">
          <cell r="C48">
            <v>24484.774000000001</v>
          </cell>
        </row>
        <row r="49">
          <cell r="C49">
            <v>50719.226999999999</v>
          </cell>
        </row>
        <row r="50">
          <cell r="C50">
            <v>3899.0230000000001</v>
          </cell>
        </row>
        <row r="51">
          <cell r="C51">
            <v>17095.68</v>
          </cell>
        </row>
        <row r="52">
          <cell r="C52">
            <v>18073.026000000002</v>
          </cell>
        </row>
        <row r="53">
          <cell r="C53">
            <v>45002.932999999997</v>
          </cell>
        </row>
        <row r="54">
          <cell r="C54">
            <v>8237.9670000000006</v>
          </cell>
        </row>
        <row r="55">
          <cell r="C55">
            <v>2118.8780000000002</v>
          </cell>
        </row>
        <row r="56">
          <cell r="C56"/>
        </row>
        <row r="57">
          <cell r="C57">
            <v>8225.2109999999993</v>
          </cell>
        </row>
        <row r="58">
          <cell r="C58">
            <v>7228.6080000000002</v>
          </cell>
        </row>
        <row r="59">
          <cell r="C59">
            <v>10908.093000000001</v>
          </cell>
        </row>
        <row r="60">
          <cell r="C60">
            <v>17273.631000000001</v>
          </cell>
        </row>
        <row r="61">
          <cell r="C61">
            <v>15237.734</v>
          </cell>
        </row>
        <row r="62">
          <cell r="C62">
            <v>77422.263000000006</v>
          </cell>
        </row>
        <row r="63">
          <cell r="C63">
            <v>20355.313999999998</v>
          </cell>
        </row>
        <row r="64">
          <cell r="C64">
            <v>1789.741</v>
          </cell>
        </row>
        <row r="65">
          <cell r="C65">
            <v>813.5</v>
          </cell>
        </row>
        <row r="66">
          <cell r="C66">
            <v>3740.7579999999998</v>
          </cell>
        </row>
        <row r="67">
          <cell r="C67">
            <v>3255.0230000000001</v>
          </cell>
        </row>
        <row r="68">
          <cell r="C68">
            <v>46440.983</v>
          </cell>
        </row>
        <row r="69">
          <cell r="C69">
            <v>6642.7160000000003</v>
          </cell>
        </row>
        <row r="71">
          <cell r="C71">
            <v>651.75</v>
          </cell>
        </row>
        <row r="72">
          <cell r="C72">
            <v>2443.0169999999998</v>
          </cell>
        </row>
        <row r="74">
          <cell r="C74">
            <v>24089.324000000001</v>
          </cell>
        </row>
        <row r="75">
          <cell r="C75">
            <v>15394.538</v>
          </cell>
        </row>
        <row r="76">
          <cell r="C76">
            <v>14126.47</v>
          </cell>
        </row>
        <row r="77">
          <cell r="C77">
            <v>1528.7550000000001</v>
          </cell>
        </row>
        <row r="78">
          <cell r="C78">
            <v>772.85199999999998</v>
          </cell>
        </row>
        <row r="79">
          <cell r="C79">
            <v>7011.7020000000002</v>
          </cell>
        </row>
        <row r="80">
          <cell r="C80">
            <v>16433.732</v>
          </cell>
        </row>
        <row r="81">
          <cell r="C81">
            <v>3613.7020000000002</v>
          </cell>
        </row>
        <row r="82">
          <cell r="C82">
            <v>22936.766</v>
          </cell>
        </row>
        <row r="83">
          <cell r="C83"/>
        </row>
        <row r="85">
          <cell r="C85">
            <v>34961.29</v>
          </cell>
        </row>
        <row r="86">
          <cell r="C86">
            <v>33529.161</v>
          </cell>
        </row>
        <row r="87">
          <cell r="C87">
            <v>48229.999000000003</v>
          </cell>
        </row>
        <row r="88">
          <cell r="C88">
            <v>3368.701</v>
          </cell>
        </row>
        <row r="89">
          <cell r="C89">
            <v>11380.833000000001</v>
          </cell>
        </row>
        <row r="90">
          <cell r="C90">
            <v>16070.815000000001</v>
          </cell>
        </row>
        <row r="91">
          <cell r="C91">
            <v>11185.152</v>
          </cell>
        </row>
        <row r="92">
          <cell r="C92">
            <v>12550.648999999999</v>
          </cell>
        </row>
        <row r="93">
          <cell r="C93">
            <v>8623.2430000000004</v>
          </cell>
        </row>
        <row r="94">
          <cell r="C94">
            <v>37984.902999999998</v>
          </cell>
        </row>
        <row r="95">
          <cell r="C95">
            <v>1409.9559999999999</v>
          </cell>
        </row>
        <row r="96">
          <cell r="C96">
            <v>29684.603999999999</v>
          </cell>
        </row>
        <row r="97">
          <cell r="C97">
            <v>1945.3779999999999</v>
          </cell>
        </row>
        <row r="99">
          <cell r="C99">
            <v>9375.3250000000007</v>
          </cell>
        </row>
        <row r="100">
          <cell r="C100">
            <v>42260.68</v>
          </cell>
        </row>
        <row r="101">
          <cell r="C101">
            <v>42336.43</v>
          </cell>
        </row>
        <row r="103">
          <cell r="C103">
            <v>19017.667000000001</v>
          </cell>
        </row>
        <row r="104">
          <cell r="C104">
            <v>1662.1679999999999</v>
          </cell>
        </row>
        <row r="105">
          <cell r="C105">
            <v>10043.186</v>
          </cell>
        </row>
        <row r="106">
          <cell r="C106">
            <v>48448.612999999998</v>
          </cell>
        </row>
        <row r="107">
          <cell r="C107">
            <v>4383.1580000000004</v>
          </cell>
        </row>
        <row r="109">
          <cell r="C109">
            <v>26829.441999999999</v>
          </cell>
        </row>
        <row r="111">
          <cell r="C111">
            <v>14222.832</v>
          </cell>
        </row>
        <row r="113">
          <cell r="C113">
            <v>7944.68</v>
          </cell>
        </row>
        <row r="114">
          <cell r="C114">
            <v>1926.318</v>
          </cell>
        </row>
        <row r="115">
          <cell r="C115">
            <v>1727.681</v>
          </cell>
        </row>
        <row r="116">
          <cell r="C116">
            <v>7870.8040000000001</v>
          </cell>
        </row>
        <row r="117">
          <cell r="C117">
            <v>1783.606</v>
          </cell>
        </row>
        <row r="118">
          <cell r="C118">
            <v>5270.5630000000001</v>
          </cell>
        </row>
        <row r="119">
          <cell r="C119">
            <v>58376.533000000003</v>
          </cell>
        </row>
        <row r="120">
          <cell r="C120">
            <v>27475.030999999999</v>
          </cell>
        </row>
        <row r="121">
          <cell r="C121">
            <v>49122.695</v>
          </cell>
        </row>
        <row r="122">
          <cell r="C122">
            <v>6693.8360000000002</v>
          </cell>
        </row>
        <row r="123">
          <cell r="C123">
            <v>11717.195</v>
          </cell>
        </row>
        <row r="124">
          <cell r="C124">
            <v>19256.075000000001</v>
          </cell>
        </row>
        <row r="125">
          <cell r="C125">
            <v>17219.43</v>
          </cell>
        </row>
        <row r="126">
          <cell r="C126">
            <v>69275.754000000001</v>
          </cell>
        </row>
        <row r="128">
          <cell r="C128">
            <v>35220.048999999999</v>
          </cell>
        </row>
        <row r="129">
          <cell r="C129">
            <v>36823.434000000001</v>
          </cell>
        </row>
        <row r="130">
          <cell r="C130">
            <v>8953.8310000000001</v>
          </cell>
        </row>
        <row r="131">
          <cell r="C131">
            <v>41220.345999999998</v>
          </cell>
        </row>
        <row r="132">
          <cell r="C132">
            <v>12264.495000000001</v>
          </cell>
        </row>
        <row r="133">
          <cell r="C133">
            <v>25167.386999999999</v>
          </cell>
        </row>
        <row r="134">
          <cell r="C134">
            <v>3364.085</v>
          </cell>
        </row>
        <row r="135">
          <cell r="C135">
            <v>1910.4</v>
          </cell>
        </row>
        <row r="136">
          <cell r="C136"/>
        </row>
        <row r="137">
          <cell r="C137">
            <v>37730.497000000003</v>
          </cell>
        </row>
        <row r="139">
          <cell r="C139">
            <v>71877.839000000007</v>
          </cell>
        </row>
        <row r="140">
          <cell r="C140">
            <v>3520.2379999999998</v>
          </cell>
        </row>
        <row r="141">
          <cell r="C141">
            <v>6870.625</v>
          </cell>
        </row>
        <row r="142">
          <cell r="C142">
            <v>25702.255000000001</v>
          </cell>
        </row>
        <row r="143">
          <cell r="C143">
            <v>19050.341</v>
          </cell>
        </row>
        <row r="144">
          <cell r="C144">
            <v>3642.9670000000001</v>
          </cell>
        </row>
        <row r="145">
          <cell r="C145">
            <v>850.85199999999998</v>
          </cell>
        </row>
        <row r="146">
          <cell r="C146">
            <v>6267.8969999999999</v>
          </cell>
        </row>
        <row r="148">
          <cell r="C148">
            <v>29971.784</v>
          </cell>
        </row>
        <row r="149">
          <cell r="C149">
            <v>105741.42600000001</v>
          </cell>
        </row>
        <row r="151">
          <cell r="C151">
            <v>14593.13</v>
          </cell>
        </row>
        <row r="152">
          <cell r="C152">
            <v>1504.941</v>
          </cell>
        </row>
        <row r="153">
          <cell r="C153">
            <v>1134.1980000000001</v>
          </cell>
        </row>
        <row r="154">
          <cell r="C154">
            <v>27292.112000000001</v>
          </cell>
        </row>
        <row r="155">
          <cell r="C155">
            <v>18331.75</v>
          </cell>
        </row>
        <row r="156">
          <cell r="C156">
            <v>2091.2959999999998</v>
          </cell>
        </row>
        <row r="157">
          <cell r="C157">
            <v>39878.430999999997</v>
          </cell>
        </row>
        <row r="159">
          <cell r="C159">
            <v>4336.1009999999997</v>
          </cell>
        </row>
        <row r="160">
          <cell r="C160">
            <v>20542.025000000001</v>
          </cell>
        </row>
        <row r="162">
          <cell r="C162">
            <v>18934.916000000001</v>
          </cell>
        </row>
        <row r="164">
          <cell r="C164">
            <v>5340.3720000000003</v>
          </cell>
        </row>
        <row r="166">
          <cell r="C166">
            <v>12271.671</v>
          </cell>
        </row>
        <row r="167">
          <cell r="C167">
            <v>16655.417000000001</v>
          </cell>
        </row>
        <row r="168">
          <cell r="C168">
            <v>8160.183</v>
          </cell>
        </row>
        <row r="169">
          <cell r="C169">
            <v>1220.0989999999999</v>
          </cell>
        </row>
        <row r="170">
          <cell r="C170">
            <v>5803.9629999999997</v>
          </cell>
        </row>
        <row r="171">
          <cell r="C171">
            <v>11334.93</v>
          </cell>
        </row>
        <row r="172">
          <cell r="C172">
            <v>2489.0450000000001</v>
          </cell>
        </row>
        <row r="173">
          <cell r="C173">
            <v>51248.52</v>
          </cell>
        </row>
        <row r="175">
          <cell r="C175">
            <v>37164.521000000001</v>
          </cell>
        </row>
        <row r="176">
          <cell r="C176">
            <v>5539.8280000000004</v>
          </cell>
        </row>
        <row r="177">
          <cell r="C177">
            <v>1120.962</v>
          </cell>
        </row>
        <row r="178">
          <cell r="C178">
            <v>5936.2190000000001</v>
          </cell>
        </row>
        <row r="180">
          <cell r="C180">
            <v>69406.866999999998</v>
          </cell>
        </row>
        <row r="181">
          <cell r="C181">
            <v>46067.197999999997</v>
          </cell>
        </row>
        <row r="182">
          <cell r="C182">
            <v>5095.3729999999996</v>
          </cell>
        </row>
        <row r="184">
          <cell r="C184">
            <v>22989.377</v>
          </cell>
        </row>
        <row r="185">
          <cell r="C185">
            <v>3716.89</v>
          </cell>
        </row>
        <row r="186">
          <cell r="C186">
            <v>9393.5580000000009</v>
          </cell>
        </row>
        <row r="187">
          <cell r="C187">
            <v>12913.18</v>
          </cell>
        </row>
        <row r="188">
          <cell r="C188">
            <v>7739.4489999999996</v>
          </cell>
        </row>
        <row r="189">
          <cell r="C189">
            <v>27690.425999999999</v>
          </cell>
        </row>
        <row r="190">
          <cell r="C190">
            <v>28916.010999999999</v>
          </cell>
        </row>
        <row r="192">
          <cell r="C192">
            <v>125159.804</v>
          </cell>
        </row>
        <row r="193">
          <cell r="C193">
            <v>22349.145</v>
          </cell>
        </row>
        <row r="194">
          <cell r="C194">
            <v>26925.902999999998</v>
          </cell>
        </row>
        <row r="195">
          <cell r="C195">
            <v>1976.3050000000001</v>
          </cell>
        </row>
        <row r="196">
          <cell r="C196">
            <v>5564.9539999999997</v>
          </cell>
        </row>
        <row r="198">
          <cell r="C198">
            <v>3073.9879999999998</v>
          </cell>
        </row>
        <row r="199">
          <cell r="C199">
            <v>55330.53</v>
          </cell>
        </row>
        <row r="200">
          <cell r="C200">
            <v>2540.7890000000002</v>
          </cell>
        </row>
        <row r="201">
          <cell r="C201">
            <v>14412.106</v>
          </cell>
        </row>
        <row r="202">
          <cell r="C202">
            <v>27308.307000000001</v>
          </cell>
        </row>
        <row r="203">
          <cell r="C203">
            <v>1691.962</v>
          </cell>
        </row>
        <row r="204">
          <cell r="C204">
            <v>87832.34</v>
          </cell>
        </row>
        <row r="206">
          <cell r="C206">
            <v>31330.631000000001</v>
          </cell>
        </row>
        <row r="207">
          <cell r="C207">
            <v>32215.742999999999</v>
          </cell>
        </row>
        <row r="208">
          <cell r="C208">
            <v>2093.183</v>
          </cell>
        </row>
        <row r="209">
          <cell r="C209"/>
        </row>
        <row r="210">
          <cell r="C210">
            <v>13290.647000000001</v>
          </cell>
        </row>
        <row r="212">
          <cell r="C212">
            <v>36346.595999999998</v>
          </cell>
        </row>
        <row r="213">
          <cell r="C213">
            <v>12284.843000000001</v>
          </cell>
        </row>
        <row r="214">
          <cell r="C214">
            <v>26001.393</v>
          </cell>
        </row>
        <row r="215">
          <cell r="C215">
            <v>13218.771000000001</v>
          </cell>
        </row>
        <row r="217">
          <cell r="C217">
            <v>11189.937</v>
          </cell>
        </row>
        <row r="218">
          <cell r="C218">
            <v>4469.1989999999996</v>
          </cell>
        </row>
        <row r="219">
          <cell r="C219">
            <v>13984.517</v>
          </cell>
        </row>
        <row r="220">
          <cell r="C220">
            <v>9814.4500000000007</v>
          </cell>
        </row>
        <row r="221">
          <cell r="C221">
            <v>49759.300999999999</v>
          </cell>
        </row>
        <row r="222">
          <cell r="C222">
            <v>60374.457000000002</v>
          </cell>
        </row>
        <row r="223">
          <cell r="C223" t="str">
            <v>n/a</v>
          </cell>
        </row>
        <row r="224">
          <cell r="C224">
            <v>48119.466999999997</v>
          </cell>
        </row>
        <row r="225">
          <cell r="C225">
            <v>3006.7840000000001</v>
          </cell>
        </row>
        <row r="226">
          <cell r="C226">
            <v>3090.174</v>
          </cell>
        </row>
        <row r="227">
          <cell r="C227">
            <v>16884.531999999999</v>
          </cell>
        </row>
        <row r="228">
          <cell r="C228">
            <v>5441.9979999999996</v>
          </cell>
        </row>
        <row r="229">
          <cell r="C229">
            <v>1549.8820000000001</v>
          </cell>
        </row>
        <row r="230">
          <cell r="C230">
            <v>5359.2179999999998</v>
          </cell>
        </row>
        <row r="231">
          <cell r="C231">
            <v>31775.473000000002</v>
          </cell>
        </row>
        <row r="232">
          <cell r="C232">
            <v>11631.021000000001</v>
          </cell>
        </row>
        <row r="233">
          <cell r="C233">
            <v>24986.334999999999</v>
          </cell>
        </row>
        <row r="234">
          <cell r="C234">
            <v>17480.616999999998</v>
          </cell>
        </row>
        <row r="237">
          <cell r="C237">
            <v>2280.817</v>
          </cell>
        </row>
        <row r="238">
          <cell r="C238">
            <v>8319.8410000000003</v>
          </cell>
        </row>
        <row r="239">
          <cell r="C239">
            <v>68092.338000000003</v>
          </cell>
        </row>
        <row r="240">
          <cell r="C240">
            <v>42420.671000000002</v>
          </cell>
        </row>
        <row r="241">
          <cell r="C241">
            <v>57607.612999999998</v>
          </cell>
        </row>
        <row r="242">
          <cell r="C242">
            <v>21394.634999999998</v>
          </cell>
        </row>
        <row r="243">
          <cell r="C243">
            <v>6560.8329999999996</v>
          </cell>
        </row>
        <row r="244">
          <cell r="C244">
            <v>2693.74</v>
          </cell>
        </row>
        <row r="245">
          <cell r="C245">
            <v>14016.040999999999</v>
          </cell>
        </row>
        <row r="246">
          <cell r="C246">
            <v>6423.1509999999998</v>
          </cell>
        </row>
        <row r="248">
          <cell r="C248"/>
        </row>
        <row r="249">
          <cell r="C249">
            <v>2374.2350000000001</v>
          </cell>
        </row>
        <row r="250">
          <cell r="C250">
            <v>3896.22</v>
          </cell>
        </row>
        <row r="251">
          <cell r="C251">
            <v>2232.9810000000002</v>
          </cell>
        </row>
      </sheetData>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Data"/>
    </sheetNames>
    <sheetDataSet>
      <sheetData sheetId="0"/>
      <sheetData sheetId="1">
        <row r="5">
          <cell r="C5" t="str">
            <v>Refining</v>
          </cell>
          <cell r="D5" t="str">
            <v>Buildings</v>
          </cell>
          <cell r="E5" t="str">
            <v>Ammonia production</v>
          </cell>
          <cell r="F5" t="str">
            <v>Industry</v>
          </cell>
          <cell r="G5" t="str">
            <v>Power</v>
          </cell>
          <cell r="H5" t="str">
            <v>Synfuel production</v>
          </cell>
          <cell r="I5" t="str">
            <v>Transportation</v>
          </cell>
        </row>
        <row r="6">
          <cell r="B6" t="str">
            <v>2019</v>
          </cell>
          <cell r="C6">
            <v>38.4</v>
          </cell>
          <cell r="D6" t="str">
            <v/>
          </cell>
          <cell r="E6" t="str">
            <v/>
          </cell>
          <cell r="F6">
            <v>32.6</v>
          </cell>
          <cell r="G6" t="str">
            <v/>
          </cell>
          <cell r="H6" t="str">
            <v/>
          </cell>
          <cell r="I6" t="str">
            <v/>
          </cell>
        </row>
        <row r="7">
          <cell r="B7" t="str">
            <v>2030</v>
          </cell>
          <cell r="C7">
            <v>32.9</v>
          </cell>
          <cell r="D7">
            <v>2</v>
          </cell>
          <cell r="E7" t="str">
            <v/>
          </cell>
          <cell r="F7">
            <v>39.1</v>
          </cell>
          <cell r="G7">
            <v>4.7</v>
          </cell>
          <cell r="H7">
            <v>6.9</v>
          </cell>
          <cell r="I7">
            <v>1.6</v>
          </cell>
        </row>
        <row r="8">
          <cell r="B8" t="str">
            <v>2040</v>
          </cell>
          <cell r="C8">
            <v>25.1</v>
          </cell>
          <cell r="D8">
            <v>13.2</v>
          </cell>
          <cell r="E8">
            <v>7.2</v>
          </cell>
          <cell r="F8">
            <v>49.5</v>
          </cell>
          <cell r="G8">
            <v>6.4</v>
          </cell>
          <cell r="H8">
            <v>15.5</v>
          </cell>
          <cell r="I8">
            <v>19.600000000000001</v>
          </cell>
        </row>
        <row r="9">
          <cell r="B9" t="str">
            <v>2050</v>
          </cell>
          <cell r="C9">
            <v>16.899999999999999</v>
          </cell>
          <cell r="D9">
            <v>26.6</v>
          </cell>
          <cell r="E9">
            <v>18.3</v>
          </cell>
          <cell r="F9">
            <v>62.9</v>
          </cell>
          <cell r="G9">
            <v>55</v>
          </cell>
          <cell r="H9">
            <v>40.799999999999997</v>
          </cell>
          <cell r="I9">
            <v>66.5</v>
          </cell>
        </row>
        <row r="10">
          <cell r="B10" t="str">
            <v>2060</v>
          </cell>
          <cell r="C10">
            <v>10.5</v>
          </cell>
          <cell r="D10">
            <v>29.6</v>
          </cell>
          <cell r="E10">
            <v>33.299999999999997</v>
          </cell>
          <cell r="F10">
            <v>72</v>
          </cell>
          <cell r="G10">
            <v>70.7</v>
          </cell>
          <cell r="H10">
            <v>81.5</v>
          </cell>
          <cell r="I10">
            <v>117.6</v>
          </cell>
        </row>
        <row r="11">
          <cell r="B11" t="str">
            <v>2070</v>
          </cell>
          <cell r="C11">
            <v>7.8</v>
          </cell>
          <cell r="D11">
            <v>27.4</v>
          </cell>
          <cell r="E11">
            <v>53.6</v>
          </cell>
          <cell r="F11">
            <v>77.7</v>
          </cell>
          <cell r="G11">
            <v>72.900000000000006</v>
          </cell>
          <cell r="H11">
            <v>121.5</v>
          </cell>
          <cell r="I11">
            <v>158.19999999999999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1 Total demand for key minerals"/>
      <sheetName val="2 Demand by technology"/>
      <sheetName val="2.1 Solar PV"/>
      <sheetName val="2.2 Wind"/>
      <sheetName val="2.3 EV"/>
      <sheetName val="2.4 Battery storage"/>
      <sheetName val="2.5 Electricity networks"/>
      <sheetName val="2.6 Hydrogen"/>
      <sheetName val="3 Cleantech mineral demand"/>
      <sheetName val="3.1 Cleantech demand by tech"/>
      <sheetName val="3.2 Cleantech demand by mineral"/>
      <sheetName val="Notice"/>
    </sheetNames>
    <sheetDataSet>
      <sheetData sheetId="0"/>
      <sheetData sheetId="1"/>
      <sheetData sheetId="2"/>
      <sheetData sheetId="3"/>
      <sheetData sheetId="4"/>
      <sheetData sheetId="5"/>
      <sheetData sheetId="6"/>
      <sheetData sheetId="7"/>
      <sheetData sheetId="8">
        <row r="19">
          <cell r="B19">
            <v>2022</v>
          </cell>
          <cell r="C19">
            <v>2025</v>
          </cell>
          <cell r="D19">
            <v>2030</v>
          </cell>
          <cell r="E19">
            <v>2035</v>
          </cell>
          <cell r="F19">
            <v>2040</v>
          </cell>
          <cell r="G19">
            <v>2045</v>
          </cell>
          <cell r="H19">
            <v>2050</v>
          </cell>
          <cell r="I19">
            <v>2025</v>
          </cell>
          <cell r="J19">
            <v>2030</v>
          </cell>
          <cell r="K19">
            <v>2035</v>
          </cell>
          <cell r="L19">
            <v>2040</v>
          </cell>
          <cell r="M19">
            <v>2045</v>
          </cell>
          <cell r="N19">
            <v>2050</v>
          </cell>
          <cell r="O19">
            <v>2025</v>
          </cell>
          <cell r="P19">
            <v>2030</v>
          </cell>
          <cell r="Q19">
            <v>2035</v>
          </cell>
          <cell r="R19">
            <v>2040</v>
          </cell>
          <cell r="S19">
            <v>2045</v>
          </cell>
          <cell r="T19">
            <v>2050</v>
          </cell>
        </row>
        <row r="20">
          <cell r="A20" t="str">
            <v>Copper</v>
          </cell>
          <cell r="B20">
            <v>3.1968700000000001E-3</v>
          </cell>
          <cell r="C20">
            <v>3.8807500000000001E-3</v>
          </cell>
          <cell r="D20">
            <v>1.0640460000000001E-2</v>
          </cell>
          <cell r="E20">
            <v>1.7172220000000002E-2</v>
          </cell>
          <cell r="F20">
            <v>2.4161510000000004E-2</v>
          </cell>
          <cell r="G20">
            <v>3.3060620000000006E-2</v>
          </cell>
          <cell r="H20">
            <v>4.7526520000000003E-2</v>
          </cell>
          <cell r="I20">
            <v>3.0541499999999999E-2</v>
          </cell>
          <cell r="J20">
            <v>8.7827999999999989E-2</v>
          </cell>
          <cell r="K20">
            <v>0.15477749999999998</v>
          </cell>
          <cell r="L20">
            <v>0.24044939999999998</v>
          </cell>
          <cell r="M20">
            <v>0.34318939999999998</v>
          </cell>
          <cell r="N20">
            <v>0.49934639999999997</v>
          </cell>
          <cell r="O20">
            <v>5.6843999999999999E-2</v>
          </cell>
          <cell r="P20">
            <v>0.20371300000000001</v>
          </cell>
          <cell r="Q20">
            <v>0.38628099999999999</v>
          </cell>
          <cell r="R20">
            <v>0.55740400000000001</v>
          </cell>
          <cell r="S20">
            <v>0.69587399999999999</v>
          </cell>
          <cell r="T20">
            <v>0.91742999999999997</v>
          </cell>
        </row>
        <row r="21">
          <cell r="A21" t="str">
            <v>Cobalt</v>
          </cell>
          <cell r="B21">
            <v>1.07346E-2</v>
          </cell>
          <cell r="C21">
            <v>1.0315700000000001E-2</v>
          </cell>
          <cell r="D21">
            <v>2.42185E-2</v>
          </cell>
          <cell r="E21">
            <v>3.1586620000000003E-2</v>
          </cell>
          <cell r="F21">
            <v>3.4886449999999999E-2</v>
          </cell>
          <cell r="G21">
            <v>3.8448089999999997E-2</v>
          </cell>
          <cell r="H21">
            <v>4.3401749999999996E-2</v>
          </cell>
          <cell r="I21">
            <v>8.1184900000000004E-2</v>
          </cell>
          <cell r="J21">
            <v>0.19900689999999999</v>
          </cell>
          <cell r="K21">
            <v>0.27452889999999996</v>
          </cell>
          <cell r="L21">
            <v>0.31497689999999995</v>
          </cell>
          <cell r="M21">
            <v>0.35609599999999997</v>
          </cell>
          <cell r="N21">
            <v>0.4095702</v>
          </cell>
          <cell r="O21">
            <v>0.15110100000000001</v>
          </cell>
          <cell r="P21">
            <v>0.45316800000000002</v>
          </cell>
          <cell r="Q21">
            <v>0.65911300000000006</v>
          </cell>
          <cell r="R21">
            <v>0.73990490000000009</v>
          </cell>
          <cell r="S21">
            <v>0.79532400000000014</v>
          </cell>
          <cell r="T21">
            <v>0.87119300000000011</v>
          </cell>
        </row>
        <row r="22">
          <cell r="A22" t="str">
            <v>Iridium</v>
          </cell>
          <cell r="B22">
            <v>3.1381200000000001E-4</v>
          </cell>
          <cell r="C22">
            <v>2.8234899999999999E-4</v>
          </cell>
          <cell r="D22">
            <v>5.0942700000000001E-4</v>
          </cell>
          <cell r="E22">
            <v>7.0132400000000002E-4</v>
          </cell>
          <cell r="F22">
            <v>8.6774300000000003E-4</v>
          </cell>
          <cell r="G22">
            <v>1.021966E-3</v>
          </cell>
          <cell r="H22">
            <v>1.1696180000000001E-3</v>
          </cell>
          <cell r="I22">
            <v>2.2220899999999999E-3</v>
          </cell>
          <cell r="J22">
            <v>4.14651E-3</v>
          </cell>
          <cell r="K22">
            <v>6.1134199999999996E-3</v>
          </cell>
          <cell r="L22">
            <v>8.1533199999999986E-3</v>
          </cell>
          <cell r="M22">
            <v>9.9338199999999995E-3</v>
          </cell>
          <cell r="N22">
            <v>1.152771E-2</v>
          </cell>
          <cell r="O22">
            <v>4.1357599999999996E-3</v>
          </cell>
          <cell r="P22">
            <v>9.0694999999999994E-3</v>
          </cell>
          <cell r="Q22">
            <v>1.443318E-2</v>
          </cell>
          <cell r="R22">
            <v>1.850773E-2</v>
          </cell>
          <cell r="S22">
            <v>2.0907439999999999E-2</v>
          </cell>
          <cell r="T22">
            <v>2.316884E-2</v>
          </cell>
        </row>
        <row r="23">
          <cell r="A23" t="str">
            <v>Nickel</v>
          </cell>
          <cell r="B23">
            <v>1.7661100000000001</v>
          </cell>
          <cell r="C23">
            <v>2.4272300000000002</v>
          </cell>
          <cell r="D23">
            <v>7.7235300000000002</v>
          </cell>
          <cell r="E23">
            <v>11.94378</v>
          </cell>
          <cell r="F23">
            <v>15.72776</v>
          </cell>
          <cell r="G23">
            <v>19.80988</v>
          </cell>
          <cell r="H23">
            <v>25.474330000000002</v>
          </cell>
          <cell r="I23">
            <v>19.1023</v>
          </cell>
          <cell r="J23">
            <v>63.986899999999999</v>
          </cell>
          <cell r="K23">
            <v>107.24379999999999</v>
          </cell>
          <cell r="L23">
            <v>153.62629999999999</v>
          </cell>
          <cell r="M23">
            <v>200.75439999999998</v>
          </cell>
          <cell r="N23">
            <v>261.9015</v>
          </cell>
          <cell r="O23">
            <v>35.5533</v>
          </cell>
          <cell r="P23">
            <v>150.62629999999999</v>
          </cell>
          <cell r="Q23">
            <v>268.58529999999996</v>
          </cell>
          <cell r="R23">
            <v>361.23099999999999</v>
          </cell>
          <cell r="S23">
            <v>424.74889999999999</v>
          </cell>
          <cell r="T23">
            <v>511.50419999999997</v>
          </cell>
        </row>
        <row r="24">
          <cell r="A24" t="str">
            <v>PGMs (other than iridum)</v>
          </cell>
          <cell r="B24">
            <v>1.15664E-3</v>
          </cell>
          <cell r="C24">
            <v>2.6667700000000002E-3</v>
          </cell>
          <cell r="D24">
            <v>8.8769399999999998E-3</v>
          </cell>
          <cell r="E24">
            <v>1.882547E-2</v>
          </cell>
          <cell r="F24">
            <v>3.2472970000000004E-2</v>
          </cell>
          <cell r="G24">
            <v>4.8970369999999999E-2</v>
          </cell>
          <cell r="H24">
            <v>6.9234169999999998E-2</v>
          </cell>
          <cell r="I24">
            <v>7.5250600000000001E-3</v>
          </cell>
          <cell r="J24">
            <v>2.8396060000000001E-2</v>
          </cell>
          <cell r="K24">
            <v>8.3105760000000001E-2</v>
          </cell>
          <cell r="L24">
            <v>0.16461895999999998</v>
          </cell>
          <cell r="M24">
            <v>0.25322716000000001</v>
          </cell>
          <cell r="N24">
            <v>0.32957106000000003</v>
          </cell>
          <cell r="O24">
            <v>2.5077599999999999E-2</v>
          </cell>
          <cell r="P24">
            <v>0.10416110000000001</v>
          </cell>
          <cell r="Q24">
            <v>0.26442110000000002</v>
          </cell>
          <cell r="R24">
            <v>0.45948010000000006</v>
          </cell>
          <cell r="S24">
            <v>0.64421610000000007</v>
          </cell>
          <cell r="T24">
            <v>0.78242310000000004</v>
          </cell>
        </row>
        <row r="25">
          <cell r="A25" t="str">
            <v>Zirconium</v>
          </cell>
          <cell r="B25">
            <v>0.239703</v>
          </cell>
          <cell r="C25">
            <v>0.329434</v>
          </cell>
          <cell r="D25">
            <v>1.04827</v>
          </cell>
          <cell r="E25">
            <v>1.6223640000000001</v>
          </cell>
          <cell r="F25">
            <v>2.1382050000000001</v>
          </cell>
          <cell r="G25">
            <v>2.6957760000000004</v>
          </cell>
          <cell r="H25">
            <v>3.4708410000000005</v>
          </cell>
          <cell r="I25">
            <v>2.5926499999999999</v>
          </cell>
          <cell r="J25">
            <v>8.6845700000000008</v>
          </cell>
          <cell r="K25">
            <v>14.568940000000001</v>
          </cell>
          <cell r="L25">
            <v>20.8919</v>
          </cell>
          <cell r="M25">
            <v>27.329059999999998</v>
          </cell>
          <cell r="N25">
            <v>35.695790000000002</v>
          </cell>
          <cell r="O25">
            <v>4.8254400000000004</v>
          </cell>
          <cell r="P25">
            <v>20.443640000000002</v>
          </cell>
          <cell r="Q25">
            <v>36.49004</v>
          </cell>
          <cell r="R25">
            <v>49.11974</v>
          </cell>
          <cell r="S25">
            <v>57.795560000000002</v>
          </cell>
          <cell r="T25">
            <v>69.666259999999994</v>
          </cell>
        </row>
        <row r="26">
          <cell r="A26" t="str">
            <v>Yttrium</v>
          </cell>
          <cell r="B26">
            <v>0</v>
          </cell>
          <cell r="C26">
            <v>0</v>
          </cell>
          <cell r="D26">
            <v>0</v>
          </cell>
          <cell r="E26">
            <v>1.8907599999999999E-4</v>
          </cell>
          <cell r="F26">
            <v>4.2673099999999996E-4</v>
          </cell>
          <cell r="G26">
            <v>6.2965799999999995E-4</v>
          </cell>
          <cell r="H26">
            <v>6.2965799999999995E-4</v>
          </cell>
          <cell r="I26">
            <v>0</v>
          </cell>
          <cell r="J26">
            <v>0</v>
          </cell>
          <cell r="K26">
            <v>1.9380000000000001E-3</v>
          </cell>
          <cell r="L26">
            <v>4.8510800000000007E-3</v>
          </cell>
          <cell r="M26">
            <v>7.1938700000000006E-3</v>
          </cell>
          <cell r="N26">
            <v>7.1938700000000006E-3</v>
          </cell>
          <cell r="O26">
            <v>0</v>
          </cell>
          <cell r="P26">
            <v>0</v>
          </cell>
          <cell r="Q26">
            <v>5.28482E-3</v>
          </cell>
          <cell r="R26">
            <v>1.1103479999999999E-2</v>
          </cell>
          <cell r="S26">
            <v>1.4261029999999999E-2</v>
          </cell>
          <cell r="T26">
            <v>1.4261029999999999E-2</v>
          </cell>
        </row>
        <row r="27">
          <cell r="A27" t="str">
            <v>Total hydrogen</v>
          </cell>
          <cell r="B27">
            <v>2.0212149220000004</v>
          </cell>
          <cell r="C27">
            <v>2.773809569</v>
          </cell>
          <cell r="D27">
            <v>8.8160453270000012</v>
          </cell>
          <cell r="E27">
            <v>13.634618710000002</v>
          </cell>
          <cell r="F27">
            <v>17.958780404000002</v>
          </cell>
          <cell r="G27">
            <v>22.627786704000002</v>
          </cell>
          <cell r="H27">
            <v>29.107132716000002</v>
          </cell>
          <cell r="I27">
            <v>21.816423549999996</v>
          </cell>
          <cell r="J27">
            <v>72.990847470000006</v>
          </cell>
          <cell r="K27">
            <v>122.33320358</v>
          </cell>
          <cell r="L27">
            <v>175.25124966000001</v>
          </cell>
          <cell r="M27">
            <v>229.05310025000003</v>
          </cell>
          <cell r="N27">
            <v>298.85449924</v>
          </cell>
          <cell r="O27">
            <v>40.615898360000003</v>
          </cell>
          <cell r="P27">
            <v>171.84005159999998</v>
          </cell>
          <cell r="Q27">
            <v>306.40487310000003</v>
          </cell>
          <cell r="R27">
            <v>412.13714021000004</v>
          </cell>
          <cell r="S27">
            <v>484.71504257000004</v>
          </cell>
          <cell r="T27">
            <v>583.77893597000002</v>
          </cell>
        </row>
      </sheetData>
      <sheetData sheetId="9"/>
      <sheetData sheetId="10"/>
      <sheetData sheetId="11"/>
      <sheetData sheetId="1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5" xr16:uid="{4EC8514A-9D44-4537-9235-98CC1BD9A1CD}" autoFormatId="16" applyNumberFormats="0" applyBorderFormats="0" applyFontFormats="0" applyPatternFormats="0" applyAlignmentFormats="0" applyWidthHeightFormats="0">
  <queryTableRefresh nextId="4" unboundColumnsRight="1">
    <queryTableFields count="2">
      <queryTableField id="2" name="Publication Year" tableColumnId="2"/>
      <queryTableField id="3" dataBound="0" tableColumnId="4"/>
    </queryTableFields>
    <queryTableDeletedFields count="1">
      <deletedField name="Document Coun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7774F299-D5AA-4DCA-BBAA-5F9C9F7F055D}" autoFormatId="16" applyNumberFormats="0" applyBorderFormats="0" applyFontFormats="0" applyPatternFormats="0" applyAlignmentFormats="0" applyWidthHeightFormats="0">
  <queryTableRefresh nextId="4" unboundColumnsRight="1">
    <queryTableFields count="2">
      <queryTableField id="2" name="Publication Year" tableColumnId="2"/>
      <queryTableField id="3" dataBound="0" tableColumnId="4"/>
    </queryTableFields>
    <queryTableDeletedFields count="1">
      <deletedField name="Document Coun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90BBBDE-6F15-4264-B0C1-3678E5097245}" name="scholarly_works__3" displayName="scholarly_works__3" ref="A4:B58" tableType="queryTable" totalsRowShown="0">
  <autoFilter ref="A4:B58" xr:uid="{090BBBDE-6F15-4264-B0C1-3678E5097245}"/>
  <tableColumns count="2">
    <tableColumn id="2" xr3:uid="{9888FEDB-D1D4-46EE-988A-2AF0407A4567}" uniqueName="2" name="Publication Year" queryTableFieldId="2" dataDxfId="5"/>
    <tableColumn id="4" xr3:uid="{B8B92BB4-DAEA-4A85-B203-7967E60F3FA6}" uniqueName="4" name="Document Count2" queryTableFieldId="3"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FB1267-D192-4F7B-939D-A7C07E5DDBD5}" name="patent_documents" displayName="patent_documents" ref="A4:B53" tableType="queryTable" totalsRowShown="0">
  <autoFilter ref="A4:B53" xr:uid="{AEFB1267-D192-4F7B-939D-A7C07E5DDBD5}"/>
  <tableColumns count="2">
    <tableColumn id="2" xr3:uid="{E6DB92BC-9B4E-4B8C-8DD9-CC5304242EE9}" uniqueName="2" name="Publication Year" queryTableFieldId="2" dataDxfId="3"/>
    <tableColumn id="4" xr3:uid="{2A74AAA0-0E9E-4FE5-853A-40B3AB9EA9C0}" uniqueName="4" name="Document Count2" queryTableFieldId="3" dataDxfId="2"/>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tatista.com/statistics/760001/global-hydrogen-demand-by-sector-sustainable-scenario/"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iea.org/reports/critical-minerals-market-review-2023"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statista.com/statistik/daten/studie/167957/umfrage/verteilung-der-co-emissionen-weltweit-nach-bereich/"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ourworldindata.org/most-densely-populated-countries" TargetMode="External"/><Relationship Id="rId1" Type="http://schemas.openxmlformats.org/officeDocument/2006/relationships/hyperlink" Target="https://www.wwa-ab.bayern.de/fluesse_seen/gewaesserportraits/main/index.ht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e.statista.com/statistik/daten/studie/42454/umfrage/weltweiter-primaerenergieverbrauch-nach-brennstoffen-in-oelaequivalent/"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lens.org/lens/search/scholar/analysis?q=(%22green%20hydrogen%22)%20OR%20(%22clean%20hydrogen%22)%20OR%20(%22renewable%20hydrogen%22)%20OR%20(%22low-carbon%20hydrogen%22)%20OR%20(renewable%20liquid%20and%20gaseous%20fuels%20of%20non-biologic%20origin)"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lens.org/lens/search/patent/list?q=(%22green%20hydrogen%22)%20OR%20(%22clean%20hydrogen%22)%20OR%20(%22renewable%20hydrogen%22)%20OR%20(%22low-carbon%20hydrogen%22)%20OR%20(renewable%20liquid%20and%20gaseous%20fuels%20of%20non-biologic%20origin)&amp;f=false&amp;e=false&amp;l=e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www.elementsdatabase.com/"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www.elementsdatabas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269-ED13-41F9-AD60-844F6E40D9E2}">
  <dimension ref="B4:F23"/>
  <sheetViews>
    <sheetView workbookViewId="0">
      <selection activeCell="R5" sqref="R5"/>
    </sheetView>
  </sheetViews>
  <sheetFormatPr baseColWidth="10" defaultRowHeight="15" x14ac:dyDescent="0.25"/>
  <cols>
    <col min="1" max="79" width="2.85546875" style="18" customWidth="1"/>
    <col min="80" max="16384" width="11.42578125" style="18"/>
  </cols>
  <sheetData>
    <row r="4" spans="2:5" ht="23.25" x14ac:dyDescent="0.35">
      <c r="B4" s="442" t="s">
        <v>64</v>
      </c>
    </row>
    <row r="6" spans="2:5" x14ac:dyDescent="0.25">
      <c r="B6" s="19" t="s">
        <v>877</v>
      </c>
      <c r="E6" s="19" t="s">
        <v>878</v>
      </c>
    </row>
    <row r="7" spans="2:5" x14ac:dyDescent="0.25">
      <c r="B7" s="19"/>
      <c r="E7" s="19"/>
    </row>
    <row r="8" spans="2:5" x14ac:dyDescent="0.25">
      <c r="B8" s="19" t="s">
        <v>31</v>
      </c>
      <c r="E8" s="18" t="s">
        <v>813</v>
      </c>
    </row>
    <row r="9" spans="2:5" x14ac:dyDescent="0.25">
      <c r="B9" s="19" t="s">
        <v>32</v>
      </c>
      <c r="E9" s="18" t="s">
        <v>879</v>
      </c>
    </row>
    <row r="10" spans="2:5" x14ac:dyDescent="0.25">
      <c r="B10" s="19" t="s">
        <v>33</v>
      </c>
      <c r="E10" s="18" t="s">
        <v>880</v>
      </c>
    </row>
    <row r="11" spans="2:5" x14ac:dyDescent="0.25">
      <c r="B11" s="19" t="s">
        <v>881</v>
      </c>
      <c r="E11" s="18" t="s">
        <v>888</v>
      </c>
    </row>
    <row r="12" spans="2:5" x14ac:dyDescent="0.25">
      <c r="B12" s="19" t="s">
        <v>843</v>
      </c>
      <c r="E12" s="18" t="s">
        <v>889</v>
      </c>
    </row>
    <row r="13" spans="2:5" x14ac:dyDescent="0.25">
      <c r="B13" s="19" t="s">
        <v>882</v>
      </c>
      <c r="E13" s="18" t="s">
        <v>890</v>
      </c>
    </row>
    <row r="14" spans="2:5" x14ac:dyDescent="0.25">
      <c r="B14" s="19" t="s">
        <v>883</v>
      </c>
      <c r="E14" s="18" t="s">
        <v>891</v>
      </c>
    </row>
    <row r="15" spans="2:5" x14ac:dyDescent="0.25">
      <c r="B15" s="19" t="s">
        <v>884</v>
      </c>
      <c r="E15" s="18" t="s">
        <v>893</v>
      </c>
    </row>
    <row r="16" spans="2:5" x14ac:dyDescent="0.25">
      <c r="B16" s="19" t="s">
        <v>885</v>
      </c>
      <c r="E16" s="18" t="s">
        <v>892</v>
      </c>
    </row>
    <row r="17" spans="2:6" x14ac:dyDescent="0.25">
      <c r="B17" s="19" t="s">
        <v>886</v>
      </c>
      <c r="E17" s="18" t="s">
        <v>932</v>
      </c>
    </row>
    <row r="18" spans="2:6" x14ac:dyDescent="0.25">
      <c r="B18" s="19" t="s">
        <v>887</v>
      </c>
      <c r="E18" s="18" t="s">
        <v>1157</v>
      </c>
    </row>
    <row r="19" spans="2:6" x14ac:dyDescent="0.25">
      <c r="B19" s="19" t="s">
        <v>1156</v>
      </c>
      <c r="E19" s="18" t="s">
        <v>1158</v>
      </c>
    </row>
    <row r="22" spans="2:6" x14ac:dyDescent="0.25">
      <c r="B22" s="19"/>
    </row>
    <row r="23" spans="2:6" x14ac:dyDescent="0.25">
      <c r="B23" s="443"/>
      <c r="C23" s="443"/>
      <c r="D23" s="443"/>
      <c r="E23" s="443"/>
      <c r="F23" s="443"/>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0D60-EFE3-40F8-B560-C3A5B6422019}">
  <dimension ref="B3:AV41"/>
  <sheetViews>
    <sheetView workbookViewId="0">
      <selection activeCell="AJ36" sqref="AJ36"/>
    </sheetView>
  </sheetViews>
  <sheetFormatPr baseColWidth="10" defaultRowHeight="15" x14ac:dyDescent="0.25"/>
  <cols>
    <col min="1" max="1" width="2.85546875" customWidth="1"/>
    <col min="2" max="2" width="9" customWidth="1"/>
    <col min="3" max="35" width="2.85546875" customWidth="1"/>
    <col min="36" max="36" width="13.140625" style="771" bestFit="1" customWidth="1"/>
    <col min="37" max="64" width="2.85546875" customWidth="1"/>
  </cols>
  <sheetData>
    <row r="3" spans="2:41" x14ac:dyDescent="0.25">
      <c r="B3" s="921" t="s">
        <v>1224</v>
      </c>
    </row>
    <row r="4" spans="2:41" x14ac:dyDescent="0.25">
      <c r="B4" s="921"/>
      <c r="D4" s="18" t="s">
        <v>48</v>
      </c>
      <c r="H4" s="18" t="s">
        <v>49</v>
      </c>
      <c r="N4" s="920">
        <f>'IV H2 ideal'!D34</f>
        <v>8.9369977180275821</v>
      </c>
      <c r="O4" s="920"/>
      <c r="P4" s="920"/>
      <c r="Q4" s="920"/>
      <c r="R4" s="920"/>
      <c r="T4" t="s">
        <v>1223</v>
      </c>
    </row>
    <row r="5" spans="2:41" ht="15.75" thickBot="1" x14ac:dyDescent="0.3">
      <c r="B5" s="921"/>
    </row>
    <row r="6" spans="2:41" ht="15.75" thickBot="1" x14ac:dyDescent="0.3">
      <c r="B6" s="921"/>
      <c r="D6" s="925" t="s">
        <v>407</v>
      </c>
      <c r="E6" s="926"/>
      <c r="F6" s="926"/>
      <c r="G6" s="926"/>
      <c r="H6" s="926"/>
      <c r="I6" s="926"/>
      <c r="J6" s="926"/>
      <c r="K6" s="926"/>
      <c r="L6" s="926"/>
      <c r="M6" s="926"/>
      <c r="N6" s="926"/>
      <c r="O6" s="926"/>
      <c r="P6" s="281" t="s">
        <v>411</v>
      </c>
      <c r="Q6" s="281"/>
      <c r="R6" s="281"/>
      <c r="S6" s="908" t="s">
        <v>412</v>
      </c>
      <c r="T6" s="908"/>
      <c r="U6" s="908"/>
      <c r="V6" s="909"/>
      <c r="X6" s="767" t="s">
        <v>1232</v>
      </c>
    </row>
    <row r="7" spans="2:41" x14ac:dyDescent="0.25">
      <c r="B7" s="921"/>
      <c r="D7" s="927" t="s">
        <v>408</v>
      </c>
      <c r="E7" s="916"/>
      <c r="F7" s="916"/>
      <c r="G7" s="916"/>
      <c r="H7" s="916"/>
      <c r="I7" s="916"/>
      <c r="J7" s="916"/>
      <c r="K7" s="916"/>
      <c r="L7" s="916"/>
      <c r="M7" s="916"/>
      <c r="N7" s="916"/>
      <c r="O7" s="916"/>
      <c r="P7" s="916">
        <v>1.4</v>
      </c>
      <c r="Q7" s="916"/>
      <c r="R7" s="916"/>
      <c r="S7" s="910">
        <f>P7*$N$4</f>
        <v>12.511796805238614</v>
      </c>
      <c r="T7" s="910"/>
      <c r="U7" s="910"/>
      <c r="V7" s="911"/>
    </row>
    <row r="8" spans="2:41" x14ac:dyDescent="0.25">
      <c r="B8" s="921"/>
      <c r="D8" s="928" t="s">
        <v>409</v>
      </c>
      <c r="E8" s="917"/>
      <c r="F8" s="917"/>
      <c r="G8" s="917"/>
      <c r="H8" s="917"/>
      <c r="I8" s="917"/>
      <c r="J8" s="917"/>
      <c r="K8" s="917"/>
      <c r="L8" s="917"/>
      <c r="M8" s="917"/>
      <c r="N8" s="917"/>
      <c r="O8" s="917"/>
      <c r="P8" s="917">
        <v>1.5</v>
      </c>
      <c r="Q8" s="917"/>
      <c r="R8" s="917"/>
      <c r="S8" s="912">
        <f t="shared" ref="S8:S9" si="0">P8*$N$4</f>
        <v>13.405496577041372</v>
      </c>
      <c r="T8" s="912"/>
      <c r="U8" s="912"/>
      <c r="V8" s="913"/>
      <c r="X8" t="s">
        <v>1233</v>
      </c>
      <c r="AC8" t="s">
        <v>1231</v>
      </c>
    </row>
    <row r="9" spans="2:41" ht="15.75" thickBot="1" x14ac:dyDescent="0.3">
      <c r="B9" s="921"/>
      <c r="D9" s="929" t="s">
        <v>410</v>
      </c>
      <c r="E9" s="918"/>
      <c r="F9" s="918"/>
      <c r="G9" s="918"/>
      <c r="H9" s="918"/>
      <c r="I9" s="918"/>
      <c r="J9" s="918"/>
      <c r="K9" s="918"/>
      <c r="L9" s="918"/>
      <c r="M9" s="918"/>
      <c r="N9" s="918"/>
      <c r="O9" s="918"/>
      <c r="P9" s="918">
        <v>3.3</v>
      </c>
      <c r="Q9" s="918"/>
      <c r="R9" s="918"/>
      <c r="S9" s="914">
        <f t="shared" si="0"/>
        <v>29.49209246949102</v>
      </c>
      <c r="T9" s="914"/>
      <c r="U9" s="914"/>
      <c r="V9" s="915"/>
    </row>
    <row r="10" spans="2:41" x14ac:dyDescent="0.25">
      <c r="B10" s="921"/>
      <c r="D10" s="765"/>
      <c r="E10" s="765"/>
      <c r="F10" s="765"/>
      <c r="G10" s="765"/>
      <c r="H10" s="765"/>
      <c r="I10" s="765"/>
      <c r="J10" s="765"/>
      <c r="K10" s="765"/>
      <c r="L10" s="765"/>
      <c r="M10" s="765"/>
      <c r="N10" s="765"/>
      <c r="O10" s="765"/>
      <c r="P10" s="765"/>
      <c r="Q10" s="765"/>
      <c r="R10" s="765"/>
      <c r="S10" s="766"/>
      <c r="T10" s="766"/>
      <c r="U10" s="766"/>
      <c r="V10" s="766"/>
    </row>
    <row r="11" spans="2:41" ht="15.75" thickBot="1" x14ac:dyDescent="0.3">
      <c r="B11" s="768"/>
      <c r="C11" s="768"/>
      <c r="D11" s="769"/>
      <c r="E11" s="769"/>
      <c r="F11" s="769"/>
      <c r="G11" s="769"/>
      <c r="H11" s="769"/>
      <c r="I11" s="769"/>
      <c r="J11" s="769"/>
      <c r="K11" s="769"/>
      <c r="L11" s="769"/>
      <c r="M11" s="769"/>
      <c r="N11" s="769"/>
      <c r="O11" s="769"/>
      <c r="P11" s="769"/>
      <c r="Q11" s="769"/>
      <c r="R11" s="769"/>
      <c r="S11" s="770"/>
      <c r="T11" s="770"/>
      <c r="U11" s="770"/>
      <c r="V11" s="770"/>
      <c r="W11" s="768"/>
      <c r="X11" s="768"/>
      <c r="Y11" s="768"/>
      <c r="Z11" s="768"/>
      <c r="AA11" s="768"/>
      <c r="AB11" s="768"/>
      <c r="AC11" s="768"/>
      <c r="AD11" s="768"/>
      <c r="AE11" s="768"/>
      <c r="AF11" s="768"/>
      <c r="AG11" s="768"/>
      <c r="AH11" s="768"/>
      <c r="AI11" s="768"/>
      <c r="AJ11" s="772"/>
      <c r="AK11" s="768"/>
      <c r="AL11" s="768"/>
      <c r="AM11" s="768"/>
      <c r="AN11" s="768"/>
      <c r="AO11" s="768"/>
    </row>
    <row r="12" spans="2:41" ht="15.75" thickTop="1" x14ac:dyDescent="0.25"/>
    <row r="13" spans="2:41" x14ac:dyDescent="0.25">
      <c r="B13" s="919" t="s">
        <v>1225</v>
      </c>
      <c r="C13" s="767" t="s">
        <v>1205</v>
      </c>
    </row>
    <row r="14" spans="2:41" x14ac:dyDescent="0.25">
      <c r="B14" s="919"/>
    </row>
    <row r="15" spans="2:41" x14ac:dyDescent="0.25">
      <c r="B15" s="919"/>
      <c r="E15" t="s">
        <v>1199</v>
      </c>
      <c r="AJ15" s="773">
        <v>1172000</v>
      </c>
      <c r="AK15" t="s">
        <v>1201</v>
      </c>
    </row>
    <row r="16" spans="2:41" x14ac:dyDescent="0.25">
      <c r="B16" s="919"/>
    </row>
    <row r="17" spans="2:48" ht="18" customHeight="1" x14ac:dyDescent="0.35">
      <c r="B17" s="919"/>
      <c r="D17" s="922" t="s">
        <v>1215</v>
      </c>
      <c r="E17" s="922"/>
      <c r="F17" s="778" t="s">
        <v>1200</v>
      </c>
      <c r="G17" s="778"/>
      <c r="H17" s="778"/>
      <c r="I17" s="778"/>
      <c r="J17" s="778"/>
      <c r="K17" s="778"/>
      <c r="L17" s="778"/>
      <c r="M17" s="778"/>
      <c r="N17" s="778"/>
      <c r="O17" s="778"/>
      <c r="P17" s="778"/>
      <c r="Q17" s="778"/>
      <c r="R17" s="778"/>
      <c r="S17" s="778"/>
      <c r="T17" s="778"/>
      <c r="U17" s="778"/>
      <c r="V17" s="778"/>
      <c r="W17" s="778"/>
      <c r="X17" s="778"/>
      <c r="Y17" s="778"/>
      <c r="Z17" s="778"/>
      <c r="AA17" s="778"/>
      <c r="AB17" s="778"/>
      <c r="AC17" s="778"/>
      <c r="AD17" s="778"/>
      <c r="AE17" s="778"/>
      <c r="AF17" s="778"/>
      <c r="AG17" s="778"/>
      <c r="AH17" s="778"/>
      <c r="AI17" s="778"/>
      <c r="AJ17" s="779">
        <v>50</v>
      </c>
      <c r="AK17" s="778" t="s">
        <v>1202</v>
      </c>
      <c r="AL17" s="778"/>
      <c r="AM17" s="778"/>
      <c r="AN17" s="778"/>
      <c r="AO17" s="778"/>
    </row>
    <row r="18" spans="2:48" x14ac:dyDescent="0.25">
      <c r="B18" s="919"/>
      <c r="D18" s="923"/>
      <c r="E18" s="923"/>
      <c r="AJ18" s="775"/>
    </row>
    <row r="19" spans="2:48" ht="18" customHeight="1" x14ac:dyDescent="0.35">
      <c r="B19" s="919"/>
      <c r="D19" s="923"/>
      <c r="E19" s="923"/>
      <c r="F19" s="776" t="s">
        <v>1203</v>
      </c>
      <c r="G19" s="14" t="s">
        <v>1204</v>
      </c>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777">
        <f>AJ15/AJ17</f>
        <v>23440</v>
      </c>
      <c r="AK19" s="14" t="s">
        <v>1206</v>
      </c>
      <c r="AL19" s="14"/>
      <c r="AM19" s="14"/>
    </row>
    <row r="20" spans="2:48" x14ac:dyDescent="0.25">
      <c r="B20" s="919"/>
      <c r="D20" s="923"/>
      <c r="E20" s="923"/>
      <c r="AJ20" s="775"/>
    </row>
    <row r="21" spans="2:48" ht="18" x14ac:dyDescent="0.35">
      <c r="B21" s="919"/>
      <c r="D21" s="923"/>
      <c r="E21" s="923"/>
      <c r="F21" t="s">
        <v>1207</v>
      </c>
      <c r="AJ21" s="775">
        <v>5.6</v>
      </c>
      <c r="AK21" t="s">
        <v>1212</v>
      </c>
      <c r="AQ21" t="s">
        <v>1233</v>
      </c>
      <c r="AV21" t="s">
        <v>1209</v>
      </c>
    </row>
    <row r="22" spans="2:48" x14ac:dyDescent="0.25">
      <c r="B22" s="919"/>
      <c r="D22" s="923"/>
      <c r="E22" s="923"/>
      <c r="AJ22" s="775"/>
    </row>
    <row r="23" spans="2:48" x14ac:dyDescent="0.25">
      <c r="B23" s="919"/>
      <c r="D23" s="923"/>
      <c r="E23" s="923"/>
      <c r="F23" t="s">
        <v>1208</v>
      </c>
      <c r="AJ23" s="775">
        <v>555</v>
      </c>
      <c r="AK23" t="s">
        <v>1213</v>
      </c>
    </row>
    <row r="24" spans="2:48" x14ac:dyDescent="0.25">
      <c r="B24" s="919"/>
      <c r="D24" s="923"/>
      <c r="E24" s="923"/>
      <c r="AJ24" s="775"/>
    </row>
    <row r="25" spans="2:48" x14ac:dyDescent="0.25">
      <c r="B25" s="919"/>
      <c r="D25" s="923"/>
      <c r="E25" s="923"/>
      <c r="F25" s="14" t="s">
        <v>1210</v>
      </c>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777">
        <f>AJ19/AJ21</f>
        <v>4185.7142857142862</v>
      </c>
      <c r="AK25" s="14" t="s">
        <v>1211</v>
      </c>
      <c r="AL25" s="14"/>
      <c r="AM25" s="14"/>
      <c r="AN25" s="14"/>
      <c r="AO25" s="14"/>
    </row>
    <row r="26" spans="2:48" x14ac:dyDescent="0.25">
      <c r="B26" s="919"/>
      <c r="D26" s="923"/>
      <c r="E26" s="923"/>
      <c r="AJ26" s="775"/>
    </row>
    <row r="27" spans="2:48" ht="18" x14ac:dyDescent="0.35">
      <c r="B27" s="919"/>
      <c r="D27" s="923"/>
      <c r="E27" s="923"/>
      <c r="F27" s="14" t="s">
        <v>1228</v>
      </c>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777">
        <f>AJ25*AJ23</f>
        <v>2323071.4285714286</v>
      </c>
      <c r="AK27" s="14" t="s">
        <v>1214</v>
      </c>
      <c r="AL27" s="14"/>
      <c r="AM27" s="14"/>
      <c r="AN27" s="14"/>
    </row>
    <row r="28" spans="2:48" x14ac:dyDescent="0.25">
      <c r="B28" s="919"/>
      <c r="D28" s="923"/>
      <c r="E28" s="923"/>
      <c r="AJ28" s="775"/>
    </row>
    <row r="29" spans="2:48" x14ac:dyDescent="0.25">
      <c r="B29" s="919"/>
      <c r="D29" s="924"/>
      <c r="E29" s="924"/>
      <c r="F29" s="781" t="s">
        <v>1219</v>
      </c>
      <c r="G29" s="781"/>
      <c r="H29" s="781"/>
      <c r="I29" s="781"/>
      <c r="J29" s="781"/>
      <c r="K29" s="781"/>
      <c r="L29" s="781"/>
      <c r="M29" s="781"/>
      <c r="N29" s="781"/>
      <c r="O29" s="781"/>
      <c r="P29" s="781"/>
      <c r="Q29" s="781"/>
      <c r="R29" s="781"/>
      <c r="S29" s="781"/>
      <c r="T29" s="781"/>
      <c r="U29" s="781"/>
      <c r="V29" s="781"/>
      <c r="W29" s="781"/>
      <c r="X29" s="781"/>
      <c r="Y29" s="781"/>
      <c r="Z29" s="781"/>
      <c r="AA29" s="781"/>
      <c r="AB29" s="781"/>
      <c r="AC29" s="781"/>
      <c r="AD29" s="781"/>
      <c r="AE29" s="781"/>
      <c r="AF29" s="781"/>
      <c r="AG29" s="781"/>
      <c r="AH29" s="781"/>
      <c r="AI29" s="781"/>
      <c r="AJ29" s="782">
        <f>AJ27/10000</f>
        <v>232.30714285714285</v>
      </c>
      <c r="AK29" s="781" t="s">
        <v>1220</v>
      </c>
      <c r="AL29" s="781"/>
      <c r="AM29" s="781"/>
      <c r="AN29" s="781"/>
      <c r="AO29" s="140"/>
    </row>
    <row r="30" spans="2:48" x14ac:dyDescent="0.25">
      <c r="B30" s="919"/>
      <c r="D30" s="922" t="s">
        <v>1227</v>
      </c>
      <c r="E30" s="922"/>
      <c r="AJ30" s="775"/>
    </row>
    <row r="31" spans="2:48" x14ac:dyDescent="0.25">
      <c r="B31" s="919"/>
      <c r="D31" s="923"/>
      <c r="E31" s="923"/>
    </row>
    <row r="32" spans="2:48" ht="15" customHeight="1" x14ac:dyDescent="0.25">
      <c r="B32" s="919"/>
      <c r="D32" s="923"/>
      <c r="E32" s="923"/>
      <c r="F32" t="s">
        <v>1216</v>
      </c>
      <c r="AJ32" s="771">
        <v>15.5</v>
      </c>
      <c r="AK32" t="s">
        <v>1217</v>
      </c>
      <c r="AQ32" t="s">
        <v>1233</v>
      </c>
      <c r="AV32" t="s">
        <v>1226</v>
      </c>
    </row>
    <row r="33" spans="2:41" x14ac:dyDescent="0.25">
      <c r="B33" s="919"/>
      <c r="D33" s="923"/>
      <c r="E33" s="923"/>
    </row>
    <row r="34" spans="2:41" x14ac:dyDescent="0.25">
      <c r="B34" s="919"/>
      <c r="D34" s="923"/>
      <c r="E34" s="923"/>
      <c r="F34" s="14" t="s">
        <v>1218</v>
      </c>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774">
        <f>AJ15/(AJ32/100)</f>
        <v>7561290.3225806449</v>
      </c>
      <c r="AK34" s="14" t="s">
        <v>1214</v>
      </c>
      <c r="AL34" s="14"/>
      <c r="AM34" s="14"/>
      <c r="AN34" s="14"/>
      <c r="AO34" s="14"/>
    </row>
    <row r="35" spans="2:41" x14ac:dyDescent="0.25">
      <c r="B35" s="919"/>
      <c r="D35" s="923"/>
      <c r="E35" s="923"/>
    </row>
    <row r="36" spans="2:41" x14ac:dyDescent="0.25">
      <c r="B36" s="919"/>
      <c r="D36" s="924"/>
      <c r="E36" s="924"/>
      <c r="F36" s="781" t="s">
        <v>1221</v>
      </c>
      <c r="G36" s="781"/>
      <c r="H36" s="781"/>
      <c r="I36" s="781"/>
      <c r="J36" s="781"/>
      <c r="K36" s="781"/>
      <c r="L36" s="781"/>
      <c r="M36" s="781"/>
      <c r="N36" s="781"/>
      <c r="O36" s="781"/>
      <c r="P36" s="781"/>
      <c r="Q36" s="781"/>
      <c r="R36" s="781"/>
      <c r="S36" s="781"/>
      <c r="T36" s="781"/>
      <c r="U36" s="781"/>
      <c r="V36" s="781"/>
      <c r="W36" s="781"/>
      <c r="X36" s="781"/>
      <c r="Y36" s="781"/>
      <c r="Z36" s="781"/>
      <c r="AA36" s="781"/>
      <c r="AB36" s="781"/>
      <c r="AC36" s="781"/>
      <c r="AD36" s="781"/>
      <c r="AE36" s="781"/>
      <c r="AF36" s="781"/>
      <c r="AG36" s="781"/>
      <c r="AH36" s="781"/>
      <c r="AI36" s="781"/>
      <c r="AJ36" s="782">
        <f>AJ34/10000</f>
        <v>756.12903225806451</v>
      </c>
      <c r="AK36" s="781" t="s">
        <v>1220</v>
      </c>
      <c r="AL36" s="781"/>
      <c r="AM36" s="781"/>
      <c r="AN36" s="781"/>
      <c r="AO36" s="781"/>
    </row>
    <row r="37" spans="2:41" ht="18" x14ac:dyDescent="0.35">
      <c r="B37" s="919"/>
      <c r="N37" s="14" t="s">
        <v>1230</v>
      </c>
      <c r="O37" s="14"/>
      <c r="AJ37" s="783">
        <f>AJ29/AJ36</f>
        <v>0.30723214285714284</v>
      </c>
    </row>
    <row r="38" spans="2:41" x14ac:dyDescent="0.25">
      <c r="B38" s="919"/>
      <c r="D38" t="s">
        <v>1222</v>
      </c>
      <c r="AJ38" s="780"/>
    </row>
    <row r="39" spans="2:41" ht="18" x14ac:dyDescent="0.35">
      <c r="N39" s="14" t="s">
        <v>1229</v>
      </c>
      <c r="O39" s="14"/>
      <c r="AJ39" s="784">
        <f>AJ36/AJ29</f>
        <v>3.2548677709968032</v>
      </c>
    </row>
    <row r="40" spans="2:41" ht="15.75" thickBot="1" x14ac:dyDescent="0.3">
      <c r="B40" s="768"/>
      <c r="C40" s="768"/>
      <c r="D40" s="768"/>
      <c r="E40" s="768"/>
      <c r="F40" s="768"/>
      <c r="G40" s="768"/>
      <c r="H40" s="768"/>
      <c r="I40" s="768"/>
      <c r="J40" s="768"/>
      <c r="K40" s="768"/>
      <c r="L40" s="768"/>
      <c r="M40" s="768"/>
      <c r="N40" s="768"/>
      <c r="O40" s="768"/>
      <c r="P40" s="768"/>
      <c r="Q40" s="768"/>
      <c r="R40" s="768"/>
      <c r="S40" s="768"/>
      <c r="T40" s="768"/>
      <c r="U40" s="768"/>
      <c r="V40" s="768"/>
      <c r="W40" s="768"/>
      <c r="X40" s="768"/>
      <c r="Y40" s="768"/>
      <c r="Z40" s="768"/>
      <c r="AA40" s="768"/>
      <c r="AB40" s="768"/>
      <c r="AC40" s="768"/>
      <c r="AD40" s="768"/>
      <c r="AE40" s="768"/>
      <c r="AF40" s="768"/>
      <c r="AG40" s="768"/>
      <c r="AH40" s="768"/>
      <c r="AI40" s="768"/>
      <c r="AJ40" s="772"/>
      <c r="AK40" s="768"/>
      <c r="AL40" s="768"/>
      <c r="AM40" s="768"/>
      <c r="AN40" s="768"/>
      <c r="AO40" s="768"/>
    </row>
    <row r="41" spans="2:41" ht="15.75" thickTop="1" x14ac:dyDescent="0.25"/>
  </sheetData>
  <mergeCells count="16">
    <mergeCell ref="B13:B38"/>
    <mergeCell ref="N4:R4"/>
    <mergeCell ref="B3:B10"/>
    <mergeCell ref="D17:E29"/>
    <mergeCell ref="D30:E36"/>
    <mergeCell ref="D6:O6"/>
    <mergeCell ref="D7:O7"/>
    <mergeCell ref="D8:O8"/>
    <mergeCell ref="D9:O9"/>
    <mergeCell ref="S6:V6"/>
    <mergeCell ref="S7:V7"/>
    <mergeCell ref="S8:V8"/>
    <mergeCell ref="S9:V9"/>
    <mergeCell ref="P7:R7"/>
    <mergeCell ref="P8:R8"/>
    <mergeCell ref="P9:R9"/>
  </mergeCells>
  <conditionalFormatting sqref="AJ27:AJ28 AJ34">
    <cfRule type="dataBar" priority="2">
      <dataBar>
        <cfvo type="min"/>
        <cfvo type="max"/>
        <color rgb="FF638EC6"/>
      </dataBar>
      <extLst>
        <ext xmlns:x14="http://schemas.microsoft.com/office/spreadsheetml/2009/9/main" uri="{B025F937-C7B1-47D3-B67F-A62EFF666E3E}">
          <x14:id>{2D44521D-9BF8-4FCB-970B-056029C86861}</x14:id>
        </ext>
      </extLst>
    </cfRule>
  </conditionalFormatting>
  <conditionalFormatting sqref="AJ29 AJ36">
    <cfRule type="dataBar" priority="1">
      <dataBar>
        <cfvo type="min"/>
        <cfvo type="max"/>
        <color rgb="FFFFB628"/>
      </dataBar>
      <extLst>
        <ext xmlns:x14="http://schemas.microsoft.com/office/spreadsheetml/2009/9/main" uri="{B025F937-C7B1-47D3-B67F-A62EFF666E3E}">
          <x14:id>{2043A421-5EF2-46CB-A9AB-9B566CE4C424}</x14:id>
        </ext>
      </extLst>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2D44521D-9BF8-4FCB-970B-056029C86861}">
            <x14:dataBar minLength="0" maxLength="100" gradient="0">
              <x14:cfvo type="autoMin"/>
              <x14:cfvo type="autoMax"/>
              <x14:negativeFillColor rgb="FFFF0000"/>
              <x14:axisColor rgb="FF000000"/>
            </x14:dataBar>
          </x14:cfRule>
          <xm:sqref>AJ27:AJ28 AJ34</xm:sqref>
        </x14:conditionalFormatting>
        <x14:conditionalFormatting xmlns:xm="http://schemas.microsoft.com/office/excel/2006/main">
          <x14:cfRule type="dataBar" id="{2043A421-5EF2-46CB-A9AB-9B566CE4C424}">
            <x14:dataBar minLength="0" maxLength="100" border="1" negativeBarBorderColorSameAsPositive="0">
              <x14:cfvo type="autoMin"/>
              <x14:cfvo type="autoMax"/>
              <x14:borderColor rgb="FFFFB628"/>
              <x14:negativeFillColor rgb="FFFF0000"/>
              <x14:negativeBorderColor rgb="FFFF0000"/>
              <x14:axisColor rgb="FF000000"/>
            </x14:dataBar>
          </x14:cfRule>
          <xm:sqref>AJ29 AJ36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8EDEB-A1C0-48A0-811F-4B56A2131237}">
  <dimension ref="B3:W80"/>
  <sheetViews>
    <sheetView topLeftCell="C1" workbookViewId="0">
      <selection activeCell="Q4" sqref="Q4"/>
    </sheetView>
  </sheetViews>
  <sheetFormatPr baseColWidth="10" defaultColWidth="9.140625" defaultRowHeight="15" x14ac:dyDescent="0.25"/>
  <cols>
    <col min="1" max="1" width="3" customWidth="1"/>
    <col min="2" max="2" width="98.42578125" hidden="1" customWidth="1"/>
    <col min="3" max="3" width="2.7109375" customWidth="1"/>
    <col min="4" max="4" width="10.140625" customWidth="1"/>
    <col min="5" max="5" width="15.28515625" bestFit="1" customWidth="1"/>
    <col min="6" max="6" width="9.140625" bestFit="1" customWidth="1"/>
    <col min="7" max="7" width="19.85546875" bestFit="1" customWidth="1"/>
    <col min="8" max="8" width="8.28515625" bestFit="1" customWidth="1"/>
    <col min="9" max="9" width="6.7109375" bestFit="1" customWidth="1"/>
    <col min="10" max="10" width="18" bestFit="1" customWidth="1"/>
    <col min="11" max="11" width="14" bestFit="1" customWidth="1"/>
    <col min="12" max="12" width="10" customWidth="1"/>
    <col min="14" max="14" width="14" customWidth="1"/>
    <col min="15" max="15" width="11.42578125" customWidth="1"/>
    <col min="17" max="17" width="22.7109375" customWidth="1"/>
    <col min="19" max="19" width="9.28515625" customWidth="1"/>
    <col min="20" max="20" width="20.42578125" bestFit="1" customWidth="1"/>
    <col min="22" max="22" width="12.28515625" bestFit="1" customWidth="1"/>
  </cols>
  <sheetData>
    <row r="3" spans="2:23" ht="15.75" customHeight="1" x14ac:dyDescent="0.25">
      <c r="C3" s="282"/>
      <c r="D3" s="935" t="s">
        <v>433</v>
      </c>
      <c r="E3" s="935"/>
      <c r="F3" s="935"/>
      <c r="G3" s="935"/>
      <c r="H3" s="935"/>
      <c r="I3" s="935"/>
      <c r="J3" s="935"/>
    </row>
    <row r="4" spans="2:23" ht="30" customHeight="1" x14ac:dyDescent="0.25">
      <c r="C4" s="4"/>
      <c r="D4" s="934" t="s">
        <v>434</v>
      </c>
      <c r="E4" s="934"/>
      <c r="F4" s="934"/>
      <c r="G4" s="934"/>
      <c r="H4" s="934"/>
      <c r="I4" s="934"/>
      <c r="J4" s="934"/>
      <c r="L4" t="s">
        <v>482</v>
      </c>
    </row>
    <row r="5" spans="2:23" ht="15.75" thickBot="1" x14ac:dyDescent="0.3">
      <c r="E5" s="5" t="s">
        <v>435</v>
      </c>
      <c r="F5" s="5" t="s">
        <v>0</v>
      </c>
      <c r="G5" s="5" t="s">
        <v>436</v>
      </c>
      <c r="H5" s="5" t="s">
        <v>437</v>
      </c>
      <c r="I5" s="5" t="s">
        <v>438</v>
      </c>
      <c r="J5" s="5" t="s">
        <v>439</v>
      </c>
      <c r="K5" s="5" t="s">
        <v>440</v>
      </c>
      <c r="L5" s="5" t="s">
        <v>7</v>
      </c>
    </row>
    <row r="6" spans="2:23" ht="18" x14ac:dyDescent="0.35">
      <c r="C6" s="6"/>
      <c r="D6" s="291" t="s">
        <v>1</v>
      </c>
      <c r="E6" s="292">
        <v>38.4</v>
      </c>
      <c r="F6" s="293" t="s">
        <v>441</v>
      </c>
      <c r="G6" s="293" t="s">
        <v>441</v>
      </c>
      <c r="H6" s="292">
        <v>32.6</v>
      </c>
      <c r="I6" s="293" t="s">
        <v>441</v>
      </c>
      <c r="J6" s="293" t="s">
        <v>441</v>
      </c>
      <c r="K6" s="293" t="s">
        <v>441</v>
      </c>
      <c r="L6" s="294">
        <f>SUM(E6:K6)</f>
        <v>71</v>
      </c>
      <c r="M6" t="s">
        <v>850</v>
      </c>
    </row>
    <row r="7" spans="2:23" ht="18" x14ac:dyDescent="0.35">
      <c r="C7" s="6"/>
      <c r="D7" s="295" t="s">
        <v>442</v>
      </c>
      <c r="E7" s="288">
        <v>32.9</v>
      </c>
      <c r="F7" s="290">
        <v>2</v>
      </c>
      <c r="G7" s="289" t="s">
        <v>441</v>
      </c>
      <c r="H7" s="288">
        <v>39.1</v>
      </c>
      <c r="I7" s="288">
        <v>4.7</v>
      </c>
      <c r="J7" s="288">
        <v>6.9</v>
      </c>
      <c r="K7" s="288">
        <v>1.6</v>
      </c>
      <c r="L7" s="296">
        <f t="shared" ref="L7:L11" si="0">SUM(E7:K7)</f>
        <v>87.2</v>
      </c>
      <c r="M7" t="s">
        <v>851</v>
      </c>
    </row>
    <row r="8" spans="2:23" ht="18" x14ac:dyDescent="0.35">
      <c r="C8" s="6"/>
      <c r="D8" s="295" t="s">
        <v>443</v>
      </c>
      <c r="E8" s="288">
        <v>25.1</v>
      </c>
      <c r="F8" s="288">
        <v>13.2</v>
      </c>
      <c r="G8" s="288">
        <v>7.2</v>
      </c>
      <c r="H8" s="288">
        <v>49.5</v>
      </c>
      <c r="I8" s="288">
        <v>6.4</v>
      </c>
      <c r="J8" s="288">
        <v>15.5</v>
      </c>
      <c r="K8" s="288">
        <v>19.600000000000001</v>
      </c>
      <c r="L8" s="296">
        <f t="shared" si="0"/>
        <v>136.5</v>
      </c>
      <c r="M8" t="s">
        <v>852</v>
      </c>
    </row>
    <row r="9" spans="2:23" ht="18" x14ac:dyDescent="0.35">
      <c r="C9" s="6"/>
      <c r="D9" s="295" t="s">
        <v>444</v>
      </c>
      <c r="E9" s="288">
        <v>16.899999999999999</v>
      </c>
      <c r="F9" s="288">
        <v>26.6</v>
      </c>
      <c r="G9" s="288">
        <v>18.3</v>
      </c>
      <c r="H9" s="288">
        <v>62.9</v>
      </c>
      <c r="I9" s="290">
        <v>55</v>
      </c>
      <c r="J9" s="288">
        <v>40.799999999999997</v>
      </c>
      <c r="K9" s="288">
        <v>66.5</v>
      </c>
      <c r="L9" s="296">
        <f t="shared" si="0"/>
        <v>287</v>
      </c>
      <c r="M9" t="s">
        <v>853</v>
      </c>
    </row>
    <row r="10" spans="2:23" ht="18" x14ac:dyDescent="0.35">
      <c r="C10" s="6"/>
      <c r="D10" s="295" t="s">
        <v>445</v>
      </c>
      <c r="E10" s="288">
        <v>10.5</v>
      </c>
      <c r="F10" s="288">
        <v>29.6</v>
      </c>
      <c r="G10" s="288">
        <v>33.299999999999997</v>
      </c>
      <c r="H10" s="290">
        <v>72</v>
      </c>
      <c r="I10" s="288">
        <v>70.7</v>
      </c>
      <c r="J10" s="288">
        <v>81.5</v>
      </c>
      <c r="K10" s="288">
        <v>117.6</v>
      </c>
      <c r="L10" s="296">
        <f t="shared" si="0"/>
        <v>415.20000000000005</v>
      </c>
      <c r="M10" t="s">
        <v>854</v>
      </c>
    </row>
    <row r="11" spans="2:23" ht="18.75" thickBot="1" x14ac:dyDescent="0.4">
      <c r="C11" s="6"/>
      <c r="D11" s="297" t="s">
        <v>446</v>
      </c>
      <c r="E11" s="298">
        <v>7.8</v>
      </c>
      <c r="F11" s="298">
        <v>27.4</v>
      </c>
      <c r="G11" s="298">
        <v>53.6</v>
      </c>
      <c r="H11" s="298">
        <v>77.7</v>
      </c>
      <c r="I11" s="298">
        <v>72.900000000000006</v>
      </c>
      <c r="J11" s="298">
        <v>121.5</v>
      </c>
      <c r="K11" s="298">
        <v>158.19999999999999</v>
      </c>
      <c r="L11" s="299">
        <f t="shared" si="0"/>
        <v>519.09999999999991</v>
      </c>
      <c r="M11" t="s">
        <v>855</v>
      </c>
      <c r="O11" t="s">
        <v>1235</v>
      </c>
    </row>
    <row r="12" spans="2:23" x14ac:dyDescent="0.25">
      <c r="O12" s="460"/>
      <c r="P12" s="461"/>
      <c r="Q12" s="461"/>
      <c r="R12" s="461"/>
      <c r="S12" s="461"/>
      <c r="T12" s="461"/>
      <c r="U12" s="461"/>
      <c r="V12" s="461"/>
      <c r="W12" s="462"/>
    </row>
    <row r="13" spans="2:23" x14ac:dyDescent="0.25">
      <c r="O13" s="463"/>
      <c r="P13" s="464"/>
      <c r="Q13" s="464"/>
      <c r="R13" s="464"/>
      <c r="S13" s="464"/>
      <c r="T13" s="464"/>
      <c r="U13" s="464"/>
      <c r="V13" s="464"/>
      <c r="W13" s="465"/>
    </row>
    <row r="14" spans="2:23" x14ac:dyDescent="0.25">
      <c r="O14" s="463"/>
      <c r="P14" s="464"/>
      <c r="Q14" s="466" t="s">
        <v>467</v>
      </c>
      <c r="R14" s="464" t="s">
        <v>466</v>
      </c>
      <c r="S14" s="464"/>
      <c r="T14" s="464"/>
      <c r="U14" s="464"/>
      <c r="V14" s="464"/>
      <c r="W14" s="465"/>
    </row>
    <row r="15" spans="2:23" x14ac:dyDescent="0.25">
      <c r="B15" s="6" t="s">
        <v>450</v>
      </c>
      <c r="O15" s="463"/>
      <c r="P15" s="464"/>
      <c r="Q15" s="464"/>
      <c r="R15" s="464"/>
      <c r="S15" s="464"/>
      <c r="T15" s="464"/>
      <c r="U15" s="464"/>
      <c r="V15" s="464"/>
      <c r="W15" s="465"/>
    </row>
    <row r="16" spans="2:23" x14ac:dyDescent="0.25">
      <c r="B16" s="6" t="s">
        <v>450</v>
      </c>
      <c r="O16" s="463"/>
      <c r="P16" s="464"/>
      <c r="Q16" s="464" t="s">
        <v>468</v>
      </c>
      <c r="R16" s="464"/>
      <c r="S16" s="464"/>
      <c r="T16" s="464"/>
      <c r="U16" s="464">
        <v>9</v>
      </c>
      <c r="V16" s="464" t="s">
        <v>479</v>
      </c>
      <c r="W16" s="465"/>
    </row>
    <row r="17" spans="2:23" x14ac:dyDescent="0.25">
      <c r="B17" s="6" t="s">
        <v>2</v>
      </c>
      <c r="O17" s="463"/>
      <c r="P17" s="464"/>
      <c r="Q17" s="464" t="s">
        <v>469</v>
      </c>
      <c r="R17" s="464">
        <v>18.04</v>
      </c>
      <c r="S17" s="464" t="s">
        <v>471</v>
      </c>
      <c r="T17" s="464"/>
      <c r="U17" s="464">
        <v>9</v>
      </c>
      <c r="V17" s="464" t="s">
        <v>483</v>
      </c>
      <c r="W17" s="465"/>
    </row>
    <row r="18" spans="2:23" x14ac:dyDescent="0.25">
      <c r="B18" s="6" t="s">
        <v>453</v>
      </c>
      <c r="O18" s="463"/>
      <c r="P18" s="464"/>
      <c r="Q18" s="464" t="s">
        <v>470</v>
      </c>
      <c r="R18" s="464">
        <v>29.5</v>
      </c>
      <c r="S18" s="464" t="s">
        <v>471</v>
      </c>
      <c r="T18" s="464"/>
      <c r="U18" s="464"/>
      <c r="V18" s="464"/>
      <c r="W18" s="465"/>
    </row>
    <row r="19" spans="2:23" x14ac:dyDescent="0.25">
      <c r="B19" s="9" t="s">
        <v>4</v>
      </c>
      <c r="O19" s="463"/>
      <c r="P19" s="464"/>
      <c r="Q19" s="464"/>
      <c r="R19" s="464"/>
      <c r="S19" s="464"/>
      <c r="T19" s="464"/>
      <c r="U19" s="464"/>
      <c r="V19" s="464" t="s">
        <v>856</v>
      </c>
      <c r="W19" s="467">
        <v>0.5</v>
      </c>
    </row>
    <row r="20" spans="2:23" x14ac:dyDescent="0.25">
      <c r="B20" s="9" t="s">
        <v>4</v>
      </c>
      <c r="O20" s="463"/>
      <c r="P20" s="464"/>
      <c r="Q20" s="464" t="s">
        <v>472</v>
      </c>
      <c r="R20" s="468">
        <f>(R17+R18)/2</f>
        <v>23.77</v>
      </c>
      <c r="S20" s="464" t="s">
        <v>471</v>
      </c>
      <c r="T20" s="464"/>
      <c r="U20" s="464"/>
      <c r="V20" s="464"/>
      <c r="W20" s="465"/>
    </row>
    <row r="21" spans="2:23" ht="15.75" thickBot="1" x14ac:dyDescent="0.3">
      <c r="B21" s="9" t="s">
        <v>4</v>
      </c>
      <c r="O21" s="463"/>
      <c r="P21" s="464" t="s">
        <v>473</v>
      </c>
      <c r="Q21" s="464"/>
      <c r="R21" s="464"/>
      <c r="S21" s="464"/>
      <c r="T21" s="464"/>
      <c r="U21" s="464"/>
      <c r="V21" s="464"/>
      <c r="W21" s="465"/>
    </row>
    <row r="22" spans="2:23" ht="15.75" thickBot="1" x14ac:dyDescent="0.3">
      <c r="B22" s="9" t="s">
        <v>4</v>
      </c>
      <c r="O22" s="463"/>
      <c r="P22" s="930" t="s">
        <v>480</v>
      </c>
      <c r="Q22" s="931"/>
      <c r="R22" s="932"/>
      <c r="S22" s="444"/>
      <c r="T22" s="445" t="s">
        <v>481</v>
      </c>
      <c r="U22" s="446"/>
      <c r="V22" s="464"/>
      <c r="W22" s="465"/>
    </row>
    <row r="23" spans="2:23" x14ac:dyDescent="0.25">
      <c r="B23" s="11" t="s">
        <v>4</v>
      </c>
      <c r="O23" s="463"/>
      <c r="P23" s="447" t="s">
        <v>474</v>
      </c>
      <c r="Q23" s="448">
        <f>L11*1000000*R20</f>
        <v>12339006999.999996</v>
      </c>
      <c r="R23" s="446" t="s">
        <v>484</v>
      </c>
      <c r="S23" s="449"/>
      <c r="T23" s="450">
        <f>L11*1000000*U16</f>
        <v>4671899999.999999</v>
      </c>
      <c r="U23" s="451" t="s">
        <v>484</v>
      </c>
      <c r="V23" s="464"/>
      <c r="W23" s="465"/>
    </row>
    <row r="24" spans="2:23" x14ac:dyDescent="0.25">
      <c r="O24" s="463"/>
      <c r="P24" s="452" t="s">
        <v>475</v>
      </c>
      <c r="Q24" s="453">
        <f>Q23/365</f>
        <v>33805498.630136974</v>
      </c>
      <c r="R24" s="451" t="s">
        <v>484</v>
      </c>
      <c r="S24" s="454"/>
      <c r="T24" s="450">
        <f>T23/365</f>
        <v>12799726.027397258</v>
      </c>
      <c r="U24" s="451" t="s">
        <v>484</v>
      </c>
      <c r="V24" s="464"/>
      <c r="W24" s="465"/>
    </row>
    <row r="25" spans="2:23" x14ac:dyDescent="0.25">
      <c r="O25" s="463"/>
      <c r="P25" s="452" t="s">
        <v>476</v>
      </c>
      <c r="Q25" s="453">
        <f>Q24/24</f>
        <v>1408562.442922374</v>
      </c>
      <c r="R25" s="451" t="s">
        <v>484</v>
      </c>
      <c r="S25" s="454"/>
      <c r="T25" s="450">
        <f>T24/24</f>
        <v>533321.91780821909</v>
      </c>
      <c r="U25" s="451" t="s">
        <v>484</v>
      </c>
      <c r="V25" s="464"/>
      <c r="W25" s="465"/>
    </row>
    <row r="26" spans="2:23" x14ac:dyDescent="0.25">
      <c r="O26" s="463"/>
      <c r="P26" s="452" t="s">
        <v>477</v>
      </c>
      <c r="Q26" s="453">
        <f>Q25/60</f>
        <v>23476.040715372899</v>
      </c>
      <c r="R26" s="451" t="s">
        <v>484</v>
      </c>
      <c r="S26" s="454"/>
      <c r="T26" s="450">
        <f>T25/60</f>
        <v>8888.6986301369852</v>
      </c>
      <c r="U26" s="451" t="s">
        <v>484</v>
      </c>
      <c r="V26" s="464"/>
      <c r="W26" s="465"/>
    </row>
    <row r="27" spans="2:23" ht="15.75" thickBot="1" x14ac:dyDescent="0.3">
      <c r="B27" s="6" t="s">
        <v>450</v>
      </c>
      <c r="O27" s="463"/>
      <c r="P27" s="455" t="s">
        <v>478</v>
      </c>
      <c r="Q27" s="456">
        <f>Q26/60</f>
        <v>391.26734525621498</v>
      </c>
      <c r="R27" s="457" t="s">
        <v>484</v>
      </c>
      <c r="S27" s="458"/>
      <c r="T27" s="459">
        <f>T26/60</f>
        <v>148.14497716894977</v>
      </c>
      <c r="U27" s="457" t="s">
        <v>484</v>
      </c>
      <c r="V27" s="464"/>
      <c r="W27" s="465"/>
    </row>
    <row r="28" spans="2:23" x14ac:dyDescent="0.25">
      <c r="B28" s="6" t="s">
        <v>462</v>
      </c>
      <c r="O28" s="463"/>
      <c r="P28" s="464"/>
      <c r="Q28" s="464"/>
      <c r="R28" s="464"/>
      <c r="S28" s="464"/>
      <c r="T28" s="464"/>
      <c r="U28" s="464"/>
      <c r="V28" s="464"/>
      <c r="W28" s="465"/>
    </row>
    <row r="29" spans="2:23" x14ac:dyDescent="0.25">
      <c r="B29" s="6" t="s">
        <v>464</v>
      </c>
      <c r="O29" s="463"/>
      <c r="P29" s="464" t="s">
        <v>485</v>
      </c>
      <c r="Q29" s="464">
        <v>200</v>
      </c>
      <c r="R29" s="464" t="s">
        <v>486</v>
      </c>
      <c r="S29" s="464"/>
      <c r="T29" s="469">
        <f>T25/14</f>
        <v>38094.422700587078</v>
      </c>
      <c r="U29" s="464"/>
      <c r="V29" s="464"/>
      <c r="W29" s="465"/>
    </row>
    <row r="30" spans="2:23" x14ac:dyDescent="0.25">
      <c r="B30" s="8" t="s">
        <v>465</v>
      </c>
      <c r="O30" s="463"/>
      <c r="P30" s="469">
        <f>Q27/Q29</f>
        <v>1.9563367262810749</v>
      </c>
      <c r="Q30" s="464" t="s">
        <v>487</v>
      </c>
      <c r="R30" s="464"/>
      <c r="S30" s="464"/>
      <c r="T30" s="464"/>
      <c r="U30" s="464"/>
      <c r="V30" s="464"/>
      <c r="W30" s="465"/>
    </row>
    <row r="31" spans="2:23" x14ac:dyDescent="0.25">
      <c r="O31" s="463"/>
      <c r="P31" s="464"/>
      <c r="Q31" s="464"/>
      <c r="R31" s="464"/>
      <c r="S31" s="464"/>
      <c r="T31" s="464"/>
      <c r="U31" s="464"/>
      <c r="V31" s="464"/>
      <c r="W31" s="465"/>
    </row>
    <row r="32" spans="2:23" x14ac:dyDescent="0.25">
      <c r="O32" s="463"/>
      <c r="P32" s="464"/>
      <c r="Q32" s="464"/>
      <c r="R32" s="464"/>
      <c r="S32" s="464"/>
      <c r="T32" s="464"/>
      <c r="U32" s="464"/>
      <c r="V32" s="464"/>
      <c r="W32" s="465"/>
    </row>
    <row r="33" spans="2:23" x14ac:dyDescent="0.25">
      <c r="O33" s="463"/>
      <c r="P33" s="464" t="s">
        <v>488</v>
      </c>
      <c r="Q33" s="470">
        <f>L11*1000000*1000</f>
        <v>519099999999.99988</v>
      </c>
      <c r="R33" s="464"/>
      <c r="S33" s="464"/>
      <c r="T33" s="464" t="s">
        <v>491</v>
      </c>
      <c r="U33" s="464"/>
      <c r="V33" s="464"/>
      <c r="W33" s="465"/>
    </row>
    <row r="34" spans="2:23" x14ac:dyDescent="0.25">
      <c r="O34" s="463" t="s">
        <v>493</v>
      </c>
      <c r="P34" s="464" t="s">
        <v>489</v>
      </c>
      <c r="Q34" s="470">
        <f>50*Q33</f>
        <v>25954999999999.992</v>
      </c>
      <c r="R34" s="464"/>
      <c r="S34" s="464"/>
      <c r="T34" s="464" t="s">
        <v>492</v>
      </c>
      <c r="U34" s="464"/>
      <c r="V34" s="464"/>
      <c r="W34" s="465"/>
    </row>
    <row r="35" spans="2:23" x14ac:dyDescent="0.25">
      <c r="O35" s="463"/>
      <c r="P35" s="464" t="s">
        <v>490</v>
      </c>
      <c r="Q35" s="471">
        <f>Q34*10^(-9)</f>
        <v>25954.999999999993</v>
      </c>
      <c r="R35" s="464"/>
      <c r="S35" s="464"/>
      <c r="T35" s="464"/>
      <c r="U35" s="464"/>
      <c r="V35" s="464"/>
      <c r="W35" s="465"/>
    </row>
    <row r="36" spans="2:23" x14ac:dyDescent="0.25">
      <c r="O36" s="472"/>
      <c r="P36" s="473"/>
      <c r="Q36" s="473"/>
      <c r="R36" s="473"/>
      <c r="S36" s="473"/>
      <c r="T36" s="473"/>
      <c r="U36" s="473"/>
      <c r="V36" s="473"/>
      <c r="W36" s="474"/>
    </row>
    <row r="40" spans="2:23" x14ac:dyDescent="0.25">
      <c r="B40" s="7" t="s">
        <v>447</v>
      </c>
      <c r="C40" s="7"/>
      <c r="D40" s="7"/>
    </row>
    <row r="41" spans="2:23" x14ac:dyDescent="0.25">
      <c r="B41" s="6" t="s">
        <v>434</v>
      </c>
      <c r="C41" s="6"/>
      <c r="D41" s="6"/>
    </row>
    <row r="42" spans="2:23" x14ac:dyDescent="0.25">
      <c r="B42" s="8" t="s">
        <v>448</v>
      </c>
      <c r="C42" s="8"/>
      <c r="D42" s="8"/>
    </row>
    <row r="45" spans="2:23" x14ac:dyDescent="0.25">
      <c r="B45" s="7" t="s">
        <v>378</v>
      </c>
      <c r="C45" s="7"/>
      <c r="D45" s="7"/>
    </row>
    <row r="46" spans="2:23" ht="12.75" customHeight="1" x14ac:dyDescent="0.25"/>
    <row r="47" spans="2:23" x14ac:dyDescent="0.25">
      <c r="B47" s="6" t="s">
        <v>378</v>
      </c>
      <c r="C47" s="6"/>
      <c r="D47" s="6"/>
    </row>
    <row r="48" spans="2:23" x14ac:dyDescent="0.25">
      <c r="B48" s="6" t="s">
        <v>451</v>
      </c>
      <c r="C48" s="6"/>
      <c r="D48" s="6"/>
    </row>
    <row r="49" spans="2:8" x14ac:dyDescent="0.25">
      <c r="B49" s="6" t="s">
        <v>452</v>
      </c>
      <c r="C49" s="6"/>
      <c r="D49" s="6"/>
    </row>
    <row r="50" spans="2:8" x14ac:dyDescent="0.25">
      <c r="B50" s="6" t="s">
        <v>3</v>
      </c>
      <c r="C50" s="6"/>
      <c r="D50" s="6"/>
    </row>
    <row r="51" spans="2:8" x14ac:dyDescent="0.25">
      <c r="B51" s="6" t="s">
        <v>454</v>
      </c>
      <c r="C51" s="6"/>
      <c r="D51" s="6"/>
    </row>
    <row r="52" spans="2:8" x14ac:dyDescent="0.25">
      <c r="B52" s="6" t="s">
        <v>455</v>
      </c>
      <c r="C52" s="6"/>
      <c r="D52" s="6"/>
    </row>
    <row r="53" spans="2:8" x14ac:dyDescent="0.25">
      <c r="B53" s="6" t="s">
        <v>456</v>
      </c>
      <c r="C53" s="6"/>
      <c r="D53" s="6"/>
    </row>
    <row r="54" spans="2:8" x14ac:dyDescent="0.25">
      <c r="B54" s="6" t="s">
        <v>457</v>
      </c>
      <c r="C54" s="6"/>
      <c r="D54" s="6"/>
    </row>
    <row r="55" spans="2:8" x14ac:dyDescent="0.25">
      <c r="B55" s="4" t="s">
        <v>458</v>
      </c>
      <c r="C55" s="4"/>
      <c r="D55" s="4"/>
    </row>
    <row r="57" spans="2:8" x14ac:dyDescent="0.25">
      <c r="B57" s="7" t="s">
        <v>459</v>
      </c>
      <c r="C57" s="7"/>
      <c r="D57" s="7"/>
    </row>
    <row r="59" spans="2:8" x14ac:dyDescent="0.25">
      <c r="B59" s="6" t="s">
        <v>460</v>
      </c>
      <c r="C59" s="6"/>
      <c r="D59" s="6"/>
    </row>
    <row r="60" spans="2:8" x14ac:dyDescent="0.25">
      <c r="B60" s="6" t="s">
        <v>461</v>
      </c>
      <c r="C60" s="6"/>
      <c r="D60" s="6"/>
    </row>
    <row r="61" spans="2:8" x14ac:dyDescent="0.25">
      <c r="B61" s="6" t="s">
        <v>463</v>
      </c>
      <c r="C61" s="6"/>
      <c r="D61" s="6"/>
    </row>
    <row r="62" spans="2:8" x14ac:dyDescent="0.25">
      <c r="B62" s="6" t="s">
        <v>5</v>
      </c>
      <c r="C62" s="6"/>
      <c r="D62" s="6"/>
    </row>
    <row r="63" spans="2:8" x14ac:dyDescent="0.25">
      <c r="B63" s="7" t="s">
        <v>422</v>
      </c>
    </row>
    <row r="64" spans="2:8" ht="15" customHeight="1" x14ac:dyDescent="0.25">
      <c r="B64" s="933" t="s">
        <v>449</v>
      </c>
      <c r="C64" s="283"/>
      <c r="D64" s="283"/>
      <c r="E64" s="287"/>
      <c r="F64" s="287"/>
      <c r="G64" s="287"/>
      <c r="H64" s="287"/>
    </row>
    <row r="65" spans="2:8" x14ac:dyDescent="0.25">
      <c r="B65" s="933"/>
      <c r="C65" s="283"/>
      <c r="D65" s="283"/>
      <c r="E65" s="287"/>
      <c r="F65" s="287"/>
      <c r="G65" s="287"/>
      <c r="H65" s="287"/>
    </row>
    <row r="66" spans="2:8" x14ac:dyDescent="0.25">
      <c r="B66" s="933"/>
      <c r="C66" s="283"/>
      <c r="D66" s="283"/>
      <c r="E66" s="287"/>
      <c r="F66" s="287"/>
      <c r="G66" s="287"/>
      <c r="H66" s="287"/>
    </row>
    <row r="67" spans="2:8" x14ac:dyDescent="0.25">
      <c r="B67" s="933"/>
      <c r="C67" s="283"/>
      <c r="D67" s="283"/>
      <c r="E67" s="287"/>
      <c r="F67" s="287"/>
      <c r="G67" s="287"/>
      <c r="H67" s="287"/>
    </row>
    <row r="68" spans="2:8" x14ac:dyDescent="0.25">
      <c r="B68" s="933"/>
      <c r="C68" s="283"/>
      <c r="D68" s="283"/>
      <c r="E68" s="287"/>
      <c r="F68" s="287"/>
      <c r="G68" s="287"/>
      <c r="H68" s="287"/>
    </row>
    <row r="69" spans="2:8" x14ac:dyDescent="0.25">
      <c r="B69" s="933"/>
      <c r="C69" s="283"/>
      <c r="D69" s="283"/>
      <c r="E69" s="287"/>
      <c r="F69" s="287"/>
      <c r="G69" s="287"/>
      <c r="H69" s="287"/>
    </row>
    <row r="70" spans="2:8" x14ac:dyDescent="0.25">
      <c r="B70" s="933"/>
      <c r="C70" s="283"/>
      <c r="D70" s="283"/>
      <c r="E70" s="287"/>
      <c r="F70" s="287"/>
      <c r="G70" s="287"/>
      <c r="H70" s="287"/>
    </row>
    <row r="71" spans="2:8" x14ac:dyDescent="0.25">
      <c r="B71" s="933"/>
      <c r="C71" s="283"/>
      <c r="D71" s="283"/>
      <c r="E71" s="287"/>
      <c r="F71" s="287"/>
      <c r="G71" s="287"/>
      <c r="H71" s="287"/>
    </row>
    <row r="72" spans="2:8" x14ac:dyDescent="0.25">
      <c r="B72" s="933"/>
      <c r="C72" s="283"/>
      <c r="D72" s="283"/>
      <c r="E72" s="287"/>
      <c r="F72" s="287"/>
      <c r="G72" s="287"/>
      <c r="H72" s="287"/>
    </row>
    <row r="73" spans="2:8" x14ac:dyDescent="0.25">
      <c r="B73" s="933"/>
      <c r="C73" s="283"/>
      <c r="D73" s="283"/>
      <c r="E73" s="287"/>
      <c r="F73" s="287"/>
      <c r="G73" s="287"/>
      <c r="H73" s="287"/>
    </row>
    <row r="74" spans="2:8" x14ac:dyDescent="0.25">
      <c r="B74" s="933"/>
      <c r="C74" s="283"/>
      <c r="D74" s="283"/>
      <c r="E74" s="287"/>
      <c r="F74" s="287"/>
      <c r="G74" s="287"/>
      <c r="H74" s="287"/>
    </row>
    <row r="75" spans="2:8" x14ac:dyDescent="0.25">
      <c r="B75" s="933"/>
      <c r="C75" s="283"/>
      <c r="D75" s="283"/>
      <c r="E75" s="287"/>
      <c r="F75" s="287"/>
      <c r="G75" s="287"/>
      <c r="H75" s="287"/>
    </row>
    <row r="76" spans="2:8" x14ac:dyDescent="0.25">
      <c r="B76" s="933"/>
      <c r="C76" s="283"/>
      <c r="D76" s="283"/>
      <c r="E76" s="287"/>
      <c r="F76" s="287"/>
      <c r="G76" s="287"/>
      <c r="H76" s="287"/>
    </row>
    <row r="77" spans="2:8" x14ac:dyDescent="0.25">
      <c r="B77" s="933"/>
      <c r="C77" s="283"/>
      <c r="D77" s="283"/>
      <c r="E77" s="287"/>
      <c r="F77" s="287"/>
      <c r="G77" s="287"/>
      <c r="H77" s="287"/>
    </row>
    <row r="78" spans="2:8" x14ac:dyDescent="0.25">
      <c r="B78" s="287"/>
      <c r="C78" s="287"/>
      <c r="D78" s="287"/>
      <c r="E78" s="287"/>
      <c r="F78" s="287"/>
      <c r="G78" s="287"/>
      <c r="H78" s="287"/>
    </row>
    <row r="79" spans="2:8" x14ac:dyDescent="0.25">
      <c r="B79" s="287"/>
      <c r="C79" s="287"/>
      <c r="D79" s="287"/>
      <c r="E79" s="287"/>
      <c r="F79" s="287"/>
      <c r="G79" s="287"/>
      <c r="H79" s="287"/>
    </row>
    <row r="80" spans="2:8" x14ac:dyDescent="0.25">
      <c r="B80" s="287"/>
      <c r="C80" s="287"/>
      <c r="D80" s="287"/>
      <c r="E80" s="287"/>
      <c r="F80" s="287"/>
      <c r="G80" s="287"/>
      <c r="H80" s="287"/>
    </row>
  </sheetData>
  <mergeCells count="4">
    <mergeCell ref="P22:R22"/>
    <mergeCell ref="B64:B77"/>
    <mergeCell ref="D4:J4"/>
    <mergeCell ref="D3:J3"/>
  </mergeCells>
  <phoneticPr fontId="10" type="noConversion"/>
  <hyperlinks>
    <hyperlink ref="B42" location="Data!A1" display="Access data" xr:uid="{590F125C-AF9C-40B8-A1E1-04701E036185}"/>
    <hyperlink ref="B30" r:id="rId1" xr:uid="{06EF3E61-5F1E-400E-A944-0BD2D686A1AB}"/>
  </hyperlinks>
  <pageMargins left="0.7" right="0.7" top="0.78740157499999996" bottom="0.78740157499999996"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D5473-4BFE-433C-A1CD-A62784A664C3}">
  <sheetPr>
    <pageSetUpPr fitToPage="1"/>
  </sheetPr>
  <dimension ref="A1:K67"/>
  <sheetViews>
    <sheetView zoomScale="85" zoomScaleNormal="85" workbookViewId="0">
      <selection activeCell="T14" sqref="T14"/>
    </sheetView>
  </sheetViews>
  <sheetFormatPr baseColWidth="10" defaultColWidth="9.140625" defaultRowHeight="15" x14ac:dyDescent="0.25"/>
  <cols>
    <col min="1" max="1" width="3.5703125" customWidth="1"/>
    <col min="2" max="2" width="12.28515625" customWidth="1"/>
    <col min="3" max="3" width="18.5703125" customWidth="1"/>
    <col min="4" max="10" width="16" customWidth="1"/>
    <col min="11" max="11" width="10.140625" customWidth="1"/>
    <col min="17" max="17" width="13.140625" bestFit="1" customWidth="1"/>
  </cols>
  <sheetData>
    <row r="1" spans="1:10" x14ac:dyDescent="0.25">
      <c r="D1" s="216"/>
      <c r="E1" s="216"/>
      <c r="F1" s="216"/>
      <c r="G1" s="216"/>
      <c r="H1" s="216"/>
    </row>
    <row r="2" spans="1:10" x14ac:dyDescent="0.25">
      <c r="C2" s="441"/>
      <c r="D2" s="441"/>
      <c r="E2" s="441"/>
      <c r="F2" s="216"/>
      <c r="G2" s="12"/>
    </row>
    <row r="3" spans="1:10" ht="15.75" thickBot="1" x14ac:dyDescent="0.3">
      <c r="A3" s="15"/>
      <c r="C3" s="441"/>
      <c r="D3" s="441"/>
      <c r="E3" s="441"/>
      <c r="F3" s="434"/>
      <c r="G3" s="12"/>
    </row>
    <row r="4" spans="1:10" ht="21" customHeight="1" thickBot="1" x14ac:dyDescent="0.4">
      <c r="C4" s="6"/>
      <c r="D4" s="963" t="s">
        <v>865</v>
      </c>
      <c r="E4" s="968"/>
      <c r="F4" s="480" t="s">
        <v>897</v>
      </c>
    </row>
    <row r="5" spans="1:10" x14ac:dyDescent="0.25">
      <c r="D5" s="966" t="s">
        <v>405</v>
      </c>
      <c r="E5" s="967"/>
      <c r="F5" s="481">
        <v>8.94</v>
      </c>
      <c r="G5" s="214"/>
      <c r="I5" s="955" t="s">
        <v>867</v>
      </c>
      <c r="J5" s="956"/>
    </row>
    <row r="6" spans="1:10" ht="18" customHeight="1" x14ac:dyDescent="0.25">
      <c r="D6" s="970" t="s">
        <v>866</v>
      </c>
      <c r="E6" s="971"/>
      <c r="F6" s="660">
        <v>18.04</v>
      </c>
      <c r="G6" s="156"/>
      <c r="I6" s="957" t="s">
        <v>466</v>
      </c>
      <c r="J6" s="958"/>
    </row>
    <row r="7" spans="1:10" ht="18.75" customHeight="1" thickBot="1" x14ac:dyDescent="0.4">
      <c r="D7" s="959" t="s">
        <v>363</v>
      </c>
      <c r="E7" s="969"/>
      <c r="F7" s="482">
        <v>29.5</v>
      </c>
      <c r="G7" s="156"/>
      <c r="I7" s="959" t="s">
        <v>872</v>
      </c>
      <c r="J7" s="960"/>
    </row>
    <row r="8" spans="1:10" ht="15.75" thickBot="1" x14ac:dyDescent="0.3">
      <c r="C8" s="14"/>
      <c r="F8" s="435"/>
      <c r="G8" s="156"/>
      <c r="H8" s="15"/>
      <c r="I8" s="15"/>
    </row>
    <row r="9" spans="1:10" ht="15.75" thickBot="1" x14ac:dyDescent="0.3">
      <c r="D9" s="634" t="s">
        <v>866</v>
      </c>
      <c r="E9" s="635">
        <v>0</v>
      </c>
      <c r="F9" s="636">
        <v>0.25</v>
      </c>
      <c r="G9" s="636">
        <v>0.5</v>
      </c>
      <c r="H9" s="636">
        <v>0.75</v>
      </c>
      <c r="I9" s="637">
        <v>1</v>
      </c>
    </row>
    <row r="10" spans="1:10" ht="16.5" thickTop="1" thickBot="1" x14ac:dyDescent="0.3">
      <c r="D10" s="638" t="s">
        <v>363</v>
      </c>
      <c r="E10" s="631">
        <f>1-E9</f>
        <v>1</v>
      </c>
      <c r="F10" s="632">
        <f>1-F9</f>
        <v>0.75</v>
      </c>
      <c r="G10" s="632">
        <f>1-G9</f>
        <v>0.5</v>
      </c>
      <c r="H10" s="632">
        <f>1-H9</f>
        <v>0.25</v>
      </c>
      <c r="I10" s="633">
        <f>1-I9</f>
        <v>0</v>
      </c>
    </row>
    <row r="11" spans="1:10" ht="18" customHeight="1" x14ac:dyDescent="0.25">
      <c r="D11" s="945" t="s">
        <v>895</v>
      </c>
      <c r="E11" s="947">
        <f>($F$6*E9)+(E10*$F$7)</f>
        <v>29.5</v>
      </c>
      <c r="F11" s="939">
        <f>($F$6*F9)+(F10*$F$7)</f>
        <v>26.634999999999998</v>
      </c>
      <c r="G11" s="939">
        <f>($F$6*G9)+(G10*$F$7)</f>
        <v>23.77</v>
      </c>
      <c r="H11" s="939">
        <f>($F$6*H9)+(H10*$F$7)</f>
        <v>20.905000000000001</v>
      </c>
      <c r="I11" s="964">
        <f>($F$6*I9)+(I10*$F$7)</f>
        <v>18.04</v>
      </c>
      <c r="J11" s="954" t="s">
        <v>924</v>
      </c>
    </row>
    <row r="12" spans="1:10" ht="15.75" thickBot="1" x14ac:dyDescent="0.3">
      <c r="D12" s="946"/>
      <c r="E12" s="948"/>
      <c r="F12" s="940"/>
      <c r="G12" s="940"/>
      <c r="H12" s="940"/>
      <c r="I12" s="965"/>
      <c r="J12" s="954"/>
    </row>
    <row r="14" spans="1:10" ht="15.75" thickBot="1" x14ac:dyDescent="0.3">
      <c r="C14" s="510" t="s">
        <v>896</v>
      </c>
    </row>
    <row r="15" spans="1:10" ht="15.75" thickBot="1" x14ac:dyDescent="0.3">
      <c r="C15" s="943" t="s">
        <v>869</v>
      </c>
      <c r="D15" s="941" t="s">
        <v>871</v>
      </c>
      <c r="E15" s="942"/>
      <c r="F15" s="475" t="s">
        <v>475</v>
      </c>
      <c r="G15" s="476" t="s">
        <v>476</v>
      </c>
      <c r="H15" s="355" t="s">
        <v>476</v>
      </c>
      <c r="I15" s="477" t="s">
        <v>477</v>
      </c>
      <c r="J15" s="478" t="s">
        <v>478</v>
      </c>
    </row>
    <row r="16" spans="1:10" ht="15.75" thickBot="1" x14ac:dyDescent="0.3">
      <c r="C16" s="944"/>
      <c r="D16" s="487" t="s">
        <v>868</v>
      </c>
      <c r="E16" s="949" t="s">
        <v>870</v>
      </c>
      <c r="F16" s="950"/>
      <c r="G16" s="950"/>
      <c r="H16" s="950"/>
      <c r="I16" s="950"/>
      <c r="J16" s="951"/>
    </row>
    <row r="17" spans="3:11" ht="15.75" thickBot="1" x14ac:dyDescent="0.3">
      <c r="C17" s="439" t="s">
        <v>6</v>
      </c>
      <c r="D17" s="440" t="s">
        <v>482</v>
      </c>
      <c r="E17" s="502" t="s">
        <v>482</v>
      </c>
      <c r="F17" s="503" t="s">
        <v>873</v>
      </c>
      <c r="G17" s="502" t="s">
        <v>876</v>
      </c>
      <c r="H17" s="504" t="s">
        <v>875</v>
      </c>
      <c r="I17" s="504" t="s">
        <v>874</v>
      </c>
      <c r="J17" s="504" t="s">
        <v>486</v>
      </c>
    </row>
    <row r="18" spans="3:11" x14ac:dyDescent="0.25">
      <c r="C18" s="436">
        <v>2019</v>
      </c>
      <c r="D18" s="515">
        <v>71</v>
      </c>
      <c r="E18" s="492">
        <f t="shared" ref="E18:E23" si="0">D18*$G$11</f>
        <v>1687.67</v>
      </c>
      <c r="F18" s="493">
        <f>E18/365</f>
        <v>4.6237534246575347</v>
      </c>
      <c r="G18" s="494">
        <f>F18/24</f>
        <v>0.19265639269406395</v>
      </c>
      <c r="H18" s="495">
        <f>G18*10^6</f>
        <v>192656.39269406395</v>
      </c>
      <c r="I18" s="495">
        <f>H18/60</f>
        <v>3210.9398782343992</v>
      </c>
      <c r="J18" s="495">
        <f>I18/60</f>
        <v>53.515664637239986</v>
      </c>
    </row>
    <row r="19" spans="3:11" x14ac:dyDescent="0.25">
      <c r="C19" s="437">
        <v>2030</v>
      </c>
      <c r="D19" s="516">
        <v>87.2</v>
      </c>
      <c r="E19" s="496">
        <f t="shared" si="0"/>
        <v>2072.7440000000001</v>
      </c>
      <c r="F19" s="497">
        <f t="shared" ref="F19:F23" si="1">E19/365</f>
        <v>5.678750684931507</v>
      </c>
      <c r="G19" s="498">
        <f t="shared" ref="G19:G23" si="2">F19/24</f>
        <v>0.23661461187214614</v>
      </c>
      <c r="H19" s="497">
        <f t="shared" ref="H19:H23" si="3">G19*10^6</f>
        <v>236614.61187214614</v>
      </c>
      <c r="I19" s="497">
        <f t="shared" ref="I19:J23" si="4">H19/60</f>
        <v>3943.5768645357689</v>
      </c>
      <c r="J19" s="497">
        <f t="shared" si="4"/>
        <v>65.726281075596148</v>
      </c>
      <c r="K19" s="484"/>
    </row>
    <row r="20" spans="3:11" x14ac:dyDescent="0.25">
      <c r="C20" s="437">
        <v>2040</v>
      </c>
      <c r="D20" s="516">
        <v>136.5</v>
      </c>
      <c r="E20" s="496">
        <f t="shared" si="0"/>
        <v>3244.605</v>
      </c>
      <c r="F20" s="497">
        <f t="shared" si="1"/>
        <v>8.8893287671232883</v>
      </c>
      <c r="G20" s="498">
        <f t="shared" si="2"/>
        <v>0.37038869863013701</v>
      </c>
      <c r="H20" s="497">
        <f t="shared" si="3"/>
        <v>370388.69863013702</v>
      </c>
      <c r="I20" s="497">
        <f t="shared" si="4"/>
        <v>6173.1449771689504</v>
      </c>
      <c r="J20" s="497">
        <f t="shared" si="4"/>
        <v>102.88574961948251</v>
      </c>
      <c r="K20" s="484"/>
    </row>
    <row r="21" spans="3:11" x14ac:dyDescent="0.25">
      <c r="C21" s="437">
        <v>2050</v>
      </c>
      <c r="D21" s="516">
        <v>287</v>
      </c>
      <c r="E21" s="496">
        <f t="shared" si="0"/>
        <v>6821.99</v>
      </c>
      <c r="F21" s="497">
        <f t="shared" si="1"/>
        <v>18.690383561643834</v>
      </c>
      <c r="G21" s="498">
        <f t="shared" si="2"/>
        <v>0.77876598173515976</v>
      </c>
      <c r="H21" s="497">
        <f t="shared" si="3"/>
        <v>778765.98173515976</v>
      </c>
      <c r="I21" s="497">
        <f t="shared" si="4"/>
        <v>12979.433028919329</v>
      </c>
      <c r="J21" s="497">
        <f t="shared" si="4"/>
        <v>216.32388381532215</v>
      </c>
      <c r="K21" s="484"/>
    </row>
    <row r="22" spans="3:11" x14ac:dyDescent="0.25">
      <c r="C22" s="437">
        <v>2060</v>
      </c>
      <c r="D22" s="516">
        <v>415.20000000000005</v>
      </c>
      <c r="E22" s="496">
        <f t="shared" si="0"/>
        <v>9869.3040000000001</v>
      </c>
      <c r="F22" s="497">
        <f t="shared" si="1"/>
        <v>27.039189041095891</v>
      </c>
      <c r="G22" s="498">
        <f t="shared" si="2"/>
        <v>1.1266328767123288</v>
      </c>
      <c r="H22" s="497">
        <f t="shared" si="3"/>
        <v>1126632.8767123288</v>
      </c>
      <c r="I22" s="497">
        <f t="shared" si="4"/>
        <v>18777.214611872147</v>
      </c>
      <c r="J22" s="497">
        <f t="shared" si="4"/>
        <v>312.95357686453576</v>
      </c>
      <c r="K22" s="484"/>
    </row>
    <row r="23" spans="3:11" ht="15.75" thickBot="1" x14ac:dyDescent="0.3">
      <c r="C23" s="438">
        <v>2070</v>
      </c>
      <c r="D23" s="517">
        <v>519.09999999999991</v>
      </c>
      <c r="E23" s="499">
        <f t="shared" si="0"/>
        <v>12339.006999999998</v>
      </c>
      <c r="F23" s="500">
        <f t="shared" si="1"/>
        <v>33.805498630136981</v>
      </c>
      <c r="G23" s="501">
        <f t="shared" si="2"/>
        <v>1.4085624429223742</v>
      </c>
      <c r="H23" s="500">
        <f t="shared" si="3"/>
        <v>1408562.4429223742</v>
      </c>
      <c r="I23" s="500">
        <f t="shared" si="4"/>
        <v>23476.040715372903</v>
      </c>
      <c r="J23" s="519">
        <f>I23/60</f>
        <v>391.26734525621504</v>
      </c>
      <c r="K23" s="484"/>
    </row>
    <row r="24" spans="3:11" ht="33.75" customHeight="1" thickBot="1" x14ac:dyDescent="0.3">
      <c r="D24" s="639" t="s">
        <v>923</v>
      </c>
      <c r="E24" s="640" t="s">
        <v>917</v>
      </c>
      <c r="F24" s="640" t="s">
        <v>918</v>
      </c>
      <c r="G24" s="640" t="s">
        <v>919</v>
      </c>
      <c r="H24" s="640" t="s">
        <v>920</v>
      </c>
      <c r="I24" s="640" t="s">
        <v>921</v>
      </c>
      <c r="J24" s="640" t="s">
        <v>922</v>
      </c>
      <c r="K24" s="329"/>
    </row>
    <row r="25" spans="3:11" ht="23.25" customHeight="1" thickBot="1" x14ac:dyDescent="0.3">
      <c r="C25" s="952" t="s">
        <v>1172</v>
      </c>
      <c r="D25" s="953"/>
      <c r="E25" s="646">
        <f>D23*F5</f>
        <v>4640.753999999999</v>
      </c>
      <c r="F25" s="647">
        <f>E25/365</f>
        <v>12.714394520547943</v>
      </c>
      <c r="G25" s="648">
        <f>F25/24</f>
        <v>0.52976643835616433</v>
      </c>
      <c r="H25" s="648">
        <f>G25*(10^6)</f>
        <v>529766.43835616438</v>
      </c>
      <c r="I25" s="648">
        <f>H25/60</f>
        <v>8829.4406392694054</v>
      </c>
      <c r="J25" s="649">
        <f>I25/60</f>
        <v>147.15734398782342</v>
      </c>
    </row>
    <row r="26" spans="3:11" x14ac:dyDescent="0.25">
      <c r="D26" s="621"/>
      <c r="E26" s="643"/>
      <c r="F26" s="644"/>
      <c r="G26" s="645"/>
      <c r="H26" s="645"/>
      <c r="I26" s="645"/>
      <c r="J26" s="645"/>
    </row>
    <row r="27" spans="3:11" ht="15.75" thickBot="1" x14ac:dyDescent="0.3">
      <c r="D27" s="621"/>
      <c r="E27" s="509"/>
      <c r="F27" s="509"/>
      <c r="G27" s="509"/>
      <c r="H27" s="509"/>
      <c r="I27" s="509"/>
      <c r="J27" s="509"/>
    </row>
    <row r="28" spans="3:11" ht="18.75" thickBot="1" x14ac:dyDescent="0.4">
      <c r="G28" s="658" t="s">
        <v>894</v>
      </c>
      <c r="H28" s="659">
        <f>H25/14</f>
        <v>37840.459882583171</v>
      </c>
    </row>
    <row r="29" spans="3:11" ht="21" customHeight="1" thickBot="1" x14ac:dyDescent="0.3">
      <c r="C29" s="593" t="s">
        <v>903</v>
      </c>
      <c r="D29" s="641"/>
      <c r="E29" s="642">
        <f>(10^6)/(365*24*60*60)</f>
        <v>3.1709791983764585E-2</v>
      </c>
      <c r="F29" s="510" t="s">
        <v>904</v>
      </c>
      <c r="G29" s="509"/>
      <c r="H29" s="509"/>
      <c r="I29" s="509"/>
      <c r="J29" s="509"/>
      <c r="K29" s="329"/>
    </row>
    <row r="30" spans="3:11" x14ac:dyDescent="0.25">
      <c r="K30" s="484"/>
    </row>
    <row r="31" spans="3:11" ht="18.75" thickBot="1" x14ac:dyDescent="0.4">
      <c r="C31" t="s">
        <v>1173</v>
      </c>
      <c r="I31" s="511" t="s">
        <v>925</v>
      </c>
      <c r="J31" s="510" t="s">
        <v>926</v>
      </c>
      <c r="K31" s="484"/>
    </row>
    <row r="32" spans="3:11" ht="19.5" customHeight="1" thickBot="1" x14ac:dyDescent="0.3">
      <c r="C32" s="961" t="s">
        <v>898</v>
      </c>
      <c r="D32" s="962"/>
      <c r="E32" s="650">
        <f>D18</f>
        <v>71</v>
      </c>
      <c r="F32" s="651">
        <f>D19</f>
        <v>87.2</v>
      </c>
      <c r="G32" s="651">
        <f>D20</f>
        <v>136.5</v>
      </c>
      <c r="H32" s="651">
        <f>D21</f>
        <v>287</v>
      </c>
      <c r="I32" s="651">
        <f>D22</f>
        <v>415.20000000000005</v>
      </c>
      <c r="J32" s="652">
        <f>D23</f>
        <v>519.09999999999991</v>
      </c>
      <c r="K32" s="484"/>
    </row>
    <row r="33" spans="2:11" ht="15.75" thickBot="1" x14ac:dyDescent="0.3">
      <c r="C33" s="963" t="s">
        <v>6</v>
      </c>
      <c r="D33" s="942"/>
      <c r="E33" s="488">
        <v>43466</v>
      </c>
      <c r="F33" s="485">
        <v>47484</v>
      </c>
      <c r="G33" s="485">
        <v>51136</v>
      </c>
      <c r="H33" s="485">
        <v>54789</v>
      </c>
      <c r="I33" s="485">
        <v>58441</v>
      </c>
      <c r="J33" s="486">
        <v>62094</v>
      </c>
      <c r="K33" s="484"/>
    </row>
    <row r="34" spans="2:11" x14ac:dyDescent="0.25">
      <c r="B34" s="512">
        <f>E11</f>
        <v>29.5</v>
      </c>
      <c r="C34" s="937" t="s">
        <v>899</v>
      </c>
      <c r="D34" s="489" t="s">
        <v>929</v>
      </c>
      <c r="E34" s="622">
        <f t="shared" ref="E34:J38" si="5">$E$29*E$32*$B34</f>
        <v>66.41615930999491</v>
      </c>
      <c r="F34" s="623">
        <f t="shared" si="5"/>
        <v>81.570268899036009</v>
      </c>
      <c r="G34" s="623">
        <f t="shared" si="5"/>
        <v>127.68740487062404</v>
      </c>
      <c r="H34" s="623">
        <f t="shared" si="5"/>
        <v>268.4709538305429</v>
      </c>
      <c r="I34" s="623">
        <f t="shared" si="5"/>
        <v>388.39421613394217</v>
      </c>
      <c r="J34" s="624">
        <f t="shared" si="5"/>
        <v>485.58631405377963</v>
      </c>
    </row>
    <row r="35" spans="2:11" x14ac:dyDescent="0.25">
      <c r="B35" s="513">
        <f>F11</f>
        <v>26.634999999999998</v>
      </c>
      <c r="C35" s="937"/>
      <c r="D35" s="490" t="s">
        <v>927</v>
      </c>
      <c r="E35" s="625">
        <f t="shared" si="5"/>
        <v>59.965911973617438</v>
      </c>
      <c r="F35" s="411">
        <f t="shared" si="5"/>
        <v>73.648274987316071</v>
      </c>
      <c r="G35" s="411">
        <f t="shared" si="5"/>
        <v>115.28657724505325</v>
      </c>
      <c r="H35" s="411">
        <f t="shared" si="5"/>
        <v>242.39741882293251</v>
      </c>
      <c r="I35" s="411">
        <f t="shared" si="5"/>
        <v>350.67389649923894</v>
      </c>
      <c r="J35" s="626">
        <f t="shared" si="5"/>
        <v>438.42682965499728</v>
      </c>
    </row>
    <row r="36" spans="2:11" x14ac:dyDescent="0.25">
      <c r="B36" s="513">
        <f>G11</f>
        <v>23.77</v>
      </c>
      <c r="C36" s="937"/>
      <c r="D36" s="490" t="s">
        <v>928</v>
      </c>
      <c r="E36" s="625">
        <f t="shared" si="5"/>
        <v>53.515664637239972</v>
      </c>
      <c r="F36" s="411">
        <f t="shared" si="5"/>
        <v>65.726281075596134</v>
      </c>
      <c r="G36" s="411">
        <f t="shared" si="5"/>
        <v>102.88574961948248</v>
      </c>
      <c r="H36" s="411">
        <f t="shared" si="5"/>
        <v>216.32388381532218</v>
      </c>
      <c r="I36" s="411">
        <f t="shared" si="5"/>
        <v>312.95357686453576</v>
      </c>
      <c r="J36" s="627">
        <f t="shared" si="5"/>
        <v>391.26734525621498</v>
      </c>
    </row>
    <row r="37" spans="2:11" x14ac:dyDescent="0.25">
      <c r="B37" s="513">
        <f>H11</f>
        <v>20.905000000000001</v>
      </c>
      <c r="C37" s="937"/>
      <c r="D37" s="490" t="s">
        <v>930</v>
      </c>
      <c r="E37" s="625">
        <f t="shared" si="5"/>
        <v>47.065417300862499</v>
      </c>
      <c r="F37" s="411">
        <f t="shared" si="5"/>
        <v>57.804287163876204</v>
      </c>
      <c r="G37" s="411">
        <f t="shared" si="5"/>
        <v>90.484921993911726</v>
      </c>
      <c r="H37" s="411">
        <f t="shared" si="5"/>
        <v>190.25034880771184</v>
      </c>
      <c r="I37" s="411">
        <f t="shared" si="5"/>
        <v>275.23325722983259</v>
      </c>
      <c r="J37" s="626">
        <f t="shared" si="5"/>
        <v>344.10786085743268</v>
      </c>
    </row>
    <row r="38" spans="2:11" ht="15.75" thickBot="1" x14ac:dyDescent="0.3">
      <c r="B38" s="514">
        <f>I11</f>
        <v>18.04</v>
      </c>
      <c r="C38" s="938"/>
      <c r="D38" s="491" t="s">
        <v>931</v>
      </c>
      <c r="E38" s="628">
        <f t="shared" si="5"/>
        <v>40.615169964485027</v>
      </c>
      <c r="F38" s="629">
        <f t="shared" si="5"/>
        <v>49.882293252156259</v>
      </c>
      <c r="G38" s="629">
        <f t="shared" si="5"/>
        <v>78.084094368340942</v>
      </c>
      <c r="H38" s="629">
        <f t="shared" si="5"/>
        <v>164.17681380010146</v>
      </c>
      <c r="I38" s="629">
        <f t="shared" si="5"/>
        <v>237.51293759512936</v>
      </c>
      <c r="J38" s="630">
        <f t="shared" si="5"/>
        <v>296.94837645865033</v>
      </c>
    </row>
    <row r="39" spans="2:11" ht="18" x14ac:dyDescent="0.35">
      <c r="B39" s="509" t="s">
        <v>924</v>
      </c>
      <c r="C39" s="936" t="s">
        <v>900</v>
      </c>
      <c r="D39" s="936"/>
      <c r="E39" s="936"/>
    </row>
    <row r="49" ht="12.75" customHeight="1" x14ac:dyDescent="0.25"/>
    <row r="67" ht="15" customHeight="1" x14ac:dyDescent="0.25"/>
  </sheetData>
  <mergeCells count="22">
    <mergeCell ref="D4:E4"/>
    <mergeCell ref="D7:E7"/>
    <mergeCell ref="D6:E6"/>
    <mergeCell ref="I5:J5"/>
    <mergeCell ref="I6:J6"/>
    <mergeCell ref="I7:J7"/>
    <mergeCell ref="C32:D32"/>
    <mergeCell ref="C33:D33"/>
    <mergeCell ref="I11:I12"/>
    <mergeCell ref="D5:E5"/>
    <mergeCell ref="C39:E39"/>
    <mergeCell ref="C34:C38"/>
    <mergeCell ref="F11:F12"/>
    <mergeCell ref="G11:G12"/>
    <mergeCell ref="H11:H12"/>
    <mergeCell ref="D15:E15"/>
    <mergeCell ref="C15:C16"/>
    <mergeCell ref="D11:D12"/>
    <mergeCell ref="E11:E12"/>
    <mergeCell ref="E16:J16"/>
    <mergeCell ref="C25:D25"/>
    <mergeCell ref="J11:J12"/>
  </mergeCells>
  <phoneticPr fontId="10" type="noConversion"/>
  <conditionalFormatting sqref="E11:I12 F5:F7">
    <cfRule type="dataBar" priority="1">
      <dataBar>
        <cfvo type="min"/>
        <cfvo type="max"/>
        <color rgb="FF638EC6"/>
      </dataBar>
      <extLst>
        <ext xmlns:x14="http://schemas.microsoft.com/office/spreadsheetml/2009/9/main" uri="{B025F937-C7B1-47D3-B67F-A62EFF666E3E}">
          <x14:id>{FB889537-00BD-4ACD-A1CF-21B6BE52F6AE}</x14:id>
        </ext>
      </extLst>
    </cfRule>
  </conditionalFormatting>
  <conditionalFormatting sqref="E34:J38 K30:K33">
    <cfRule type="dataBar" priority="58">
      <dataBar>
        <cfvo type="min"/>
        <cfvo type="max"/>
        <color theme="8" tint="0.39997558519241921"/>
      </dataBar>
      <extLst>
        <ext xmlns:x14="http://schemas.microsoft.com/office/spreadsheetml/2009/9/main" uri="{B025F937-C7B1-47D3-B67F-A62EFF666E3E}">
          <x14:id>{3C6E96AF-99E3-41D0-924D-E0A553F7A656}</x14:id>
        </ext>
      </extLst>
    </cfRule>
  </conditionalFormatting>
  <conditionalFormatting sqref="J18:J23">
    <cfRule type="dataBar" priority="2">
      <dataBar>
        <cfvo type="min"/>
        <cfvo type="max"/>
        <color theme="8" tint="0.39997558519241921"/>
      </dataBar>
      <extLst>
        <ext xmlns:x14="http://schemas.microsoft.com/office/spreadsheetml/2009/9/main" uri="{B025F937-C7B1-47D3-B67F-A62EFF666E3E}">
          <x14:id>{CE057038-3E94-4D76-9168-E5FB3652B249}</x14:id>
        </ext>
      </extLst>
    </cfRule>
  </conditionalFormatting>
  <pageMargins left="0.7" right="0.7" top="0.78740157499999996" bottom="0.78740157499999996" header="0.3" footer="0.3"/>
  <pageSetup paperSize="9" scale="33" orientation="landscape" r:id="rId1"/>
  <drawing r:id="rId2"/>
  <extLst>
    <ext xmlns:x14="http://schemas.microsoft.com/office/spreadsheetml/2009/9/main" uri="{78C0D931-6437-407d-A8EE-F0AAD7539E65}">
      <x14:conditionalFormattings>
        <x14:conditionalFormatting xmlns:xm="http://schemas.microsoft.com/office/excel/2006/main">
          <x14:cfRule type="dataBar" id="{FB889537-00BD-4ACD-A1CF-21B6BE52F6AE}">
            <x14:dataBar minLength="0" maxLength="100" border="1" negativeBarBorderColorSameAsPositive="0">
              <x14:cfvo type="autoMin"/>
              <x14:cfvo type="autoMax"/>
              <x14:borderColor rgb="FF638EC6"/>
              <x14:negativeFillColor rgb="FFFF0000"/>
              <x14:negativeBorderColor rgb="FFFF0000"/>
              <x14:axisColor rgb="FF000000"/>
            </x14:dataBar>
          </x14:cfRule>
          <xm:sqref>E11:I12 F5:F7</xm:sqref>
        </x14:conditionalFormatting>
        <x14:conditionalFormatting xmlns:xm="http://schemas.microsoft.com/office/excel/2006/main">
          <x14:cfRule type="dataBar" id="{3C6E96AF-99E3-41D0-924D-E0A553F7A656}">
            <x14:dataBar minLength="0" maxLength="100" border="1" negativeBarBorderColorSameAsPositive="0">
              <x14:cfvo type="autoMin"/>
              <x14:cfvo type="autoMax"/>
              <x14:borderColor rgb="FF638EC6"/>
              <x14:negativeFillColor rgb="FFFF0000"/>
              <x14:negativeBorderColor rgb="FFFF0000"/>
              <x14:axisColor rgb="FF000000"/>
            </x14:dataBar>
          </x14:cfRule>
          <xm:sqref>E34:J38 K30:K33</xm:sqref>
        </x14:conditionalFormatting>
        <x14:conditionalFormatting xmlns:xm="http://schemas.microsoft.com/office/excel/2006/main">
          <x14:cfRule type="dataBar" id="{CE057038-3E94-4D76-9168-E5FB3652B249}">
            <x14:dataBar minLength="0" maxLength="100" border="1" negativeBarBorderColorSameAsPositive="0">
              <x14:cfvo type="autoMin"/>
              <x14:cfvo type="autoMax"/>
              <x14:borderColor rgb="FF638EC6"/>
              <x14:negativeFillColor rgb="FFFF0000"/>
              <x14:negativeBorderColor rgb="FFFF0000"/>
              <x14:axisColor rgb="FF000000"/>
            </x14:dataBar>
          </x14:cfRule>
          <xm:sqref>J18:J23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9C90-B29D-434B-9E2E-64D80B7A2111}">
  <dimension ref="A1:U28"/>
  <sheetViews>
    <sheetView topLeftCell="E1" zoomScaleNormal="100" workbookViewId="0">
      <selection activeCell="U12" sqref="U12"/>
    </sheetView>
  </sheetViews>
  <sheetFormatPr baseColWidth="10" defaultColWidth="9.85546875" defaultRowHeight="15" x14ac:dyDescent="0.25"/>
  <cols>
    <col min="1" max="1" width="46.42578125" style="300" customWidth="1"/>
    <col min="2" max="2" width="18.42578125" style="300" customWidth="1"/>
    <col min="3" max="20" width="12.140625" style="300" customWidth="1"/>
    <col min="21" max="21" width="16.7109375" style="300" bestFit="1" customWidth="1"/>
    <col min="22" max="16384" width="9.85546875" style="300"/>
  </cols>
  <sheetData>
    <row r="1" spans="1:21" x14ac:dyDescent="0.25">
      <c r="A1" s="300" t="s">
        <v>509</v>
      </c>
      <c r="B1" s="318" t="s">
        <v>510</v>
      </c>
    </row>
    <row r="2" spans="1:21" ht="23.25" x14ac:dyDescent="0.35">
      <c r="A2" s="301" t="s">
        <v>494</v>
      </c>
    </row>
    <row r="4" spans="1:21" ht="19.5" x14ac:dyDescent="0.3">
      <c r="C4" s="302" t="s">
        <v>495</v>
      </c>
      <c r="D4" s="303"/>
      <c r="E4" s="303"/>
      <c r="F4" s="303"/>
      <c r="G4" s="303"/>
      <c r="H4" s="303"/>
      <c r="I4" s="304" t="s">
        <v>496</v>
      </c>
      <c r="J4" s="305"/>
      <c r="K4" s="305"/>
      <c r="L4" s="305"/>
      <c r="M4" s="305"/>
      <c r="N4" s="305"/>
      <c r="O4" s="306" t="s">
        <v>497</v>
      </c>
      <c r="P4" s="307"/>
      <c r="Q4" s="307"/>
      <c r="R4" s="307"/>
      <c r="S4" s="307"/>
      <c r="T4" s="307"/>
    </row>
    <row r="5" spans="1:21" ht="20.25" thickBot="1" x14ac:dyDescent="0.35">
      <c r="B5" s="308">
        <v>2022</v>
      </c>
      <c r="C5" s="308">
        <v>2025</v>
      </c>
      <c r="D5" s="308">
        <v>2030</v>
      </c>
      <c r="E5" s="308">
        <v>2035</v>
      </c>
      <c r="F5" s="308">
        <v>2040</v>
      </c>
      <c r="G5" s="308">
        <v>2045</v>
      </c>
      <c r="H5" s="308">
        <v>2050</v>
      </c>
      <c r="I5" s="308">
        <v>2025</v>
      </c>
      <c r="J5" s="308">
        <v>2030</v>
      </c>
      <c r="K5" s="308">
        <v>2035</v>
      </c>
      <c r="L5" s="308">
        <v>2040</v>
      </c>
      <c r="M5" s="308">
        <v>2045</v>
      </c>
      <c r="N5" s="308">
        <v>2050</v>
      </c>
      <c r="O5" s="308">
        <v>2025</v>
      </c>
      <c r="P5" s="308">
        <v>2030</v>
      </c>
      <c r="Q5" s="308">
        <v>2035</v>
      </c>
      <c r="R5" s="308">
        <v>2040</v>
      </c>
      <c r="S5" s="308">
        <v>2045</v>
      </c>
      <c r="T5" s="308">
        <v>2050</v>
      </c>
    </row>
    <row r="6" spans="1:21" ht="15.75" thickTop="1" x14ac:dyDescent="0.25"/>
    <row r="7" spans="1:21" ht="18" thickBot="1" x14ac:dyDescent="0.35">
      <c r="A7" s="309" t="s">
        <v>498</v>
      </c>
      <c r="B7" s="309"/>
      <c r="C7" s="309"/>
      <c r="D7" s="309"/>
      <c r="E7" s="309"/>
      <c r="F7" s="309"/>
      <c r="G7" s="309"/>
      <c r="H7" s="309"/>
      <c r="I7" s="309"/>
      <c r="J7" s="309"/>
      <c r="K7" s="309"/>
      <c r="L7" s="309"/>
      <c r="M7" s="309"/>
      <c r="N7" s="309"/>
      <c r="O7" s="309"/>
      <c r="P7" s="309"/>
      <c r="Q7" s="309"/>
      <c r="R7" s="309"/>
      <c r="S7" s="309"/>
      <c r="T7" s="309"/>
      <c r="U7" s="300" t="s">
        <v>508</v>
      </c>
    </row>
    <row r="8" spans="1:21" ht="15.75" thickTop="1" x14ac:dyDescent="0.25">
      <c r="A8" s="300" t="s">
        <v>499</v>
      </c>
      <c r="B8" s="310">
        <v>3.1968700000000001E-3</v>
      </c>
      <c r="C8" s="310">
        <v>3.8807500000000001E-3</v>
      </c>
      <c r="D8" s="310">
        <v>6.7597100000000004E-3</v>
      </c>
      <c r="E8" s="310">
        <v>6.5317600000000002E-3</v>
      </c>
      <c r="F8" s="310">
        <v>6.9892900000000004E-3</v>
      </c>
      <c r="G8" s="310">
        <v>8.89911E-3</v>
      </c>
      <c r="H8" s="310">
        <v>1.44659E-2</v>
      </c>
      <c r="I8" s="310">
        <v>3.0541499999999999E-2</v>
      </c>
      <c r="J8" s="310">
        <v>5.7286499999999997E-2</v>
      </c>
      <c r="K8" s="310">
        <v>6.6949499999999995E-2</v>
      </c>
      <c r="L8" s="310">
        <v>8.5671899999999995E-2</v>
      </c>
      <c r="M8" s="310">
        <v>0.10274</v>
      </c>
      <c r="N8" s="310">
        <v>0.15615699999999999</v>
      </c>
      <c r="O8" s="310">
        <v>5.6843999999999999E-2</v>
      </c>
      <c r="P8" s="310">
        <v>0.146869</v>
      </c>
      <c r="Q8" s="310">
        <v>0.18256800000000001</v>
      </c>
      <c r="R8" s="310">
        <v>0.171123</v>
      </c>
      <c r="S8" s="310">
        <v>0.13847000000000001</v>
      </c>
      <c r="T8" s="314">
        <v>0.221556</v>
      </c>
      <c r="U8" s="315">
        <f>ROUND(T8/B8,0)</f>
        <v>69</v>
      </c>
    </row>
    <row r="9" spans="1:21" x14ac:dyDescent="0.25">
      <c r="A9" s="300" t="s">
        <v>500</v>
      </c>
      <c r="B9" s="310">
        <v>1.07346E-2</v>
      </c>
      <c r="C9" s="310">
        <v>1.0315700000000001E-2</v>
      </c>
      <c r="D9" s="310">
        <v>1.39028E-2</v>
      </c>
      <c r="E9" s="310">
        <v>7.3681199999999997E-3</v>
      </c>
      <c r="F9" s="310">
        <v>3.2998300000000001E-3</v>
      </c>
      <c r="G9" s="310">
        <v>3.56164E-3</v>
      </c>
      <c r="H9" s="310">
        <v>4.9536600000000004E-3</v>
      </c>
      <c r="I9" s="310">
        <v>8.1184900000000004E-2</v>
      </c>
      <c r="J9" s="310">
        <v>0.117822</v>
      </c>
      <c r="K9" s="310">
        <v>7.5522000000000006E-2</v>
      </c>
      <c r="L9" s="310">
        <v>4.0447999999999998E-2</v>
      </c>
      <c r="M9" s="310">
        <v>4.1119099999999999E-2</v>
      </c>
      <c r="N9" s="310">
        <v>5.34742E-2</v>
      </c>
      <c r="O9" s="310">
        <v>0.15110100000000001</v>
      </c>
      <c r="P9" s="310">
        <v>0.30206699999999997</v>
      </c>
      <c r="Q9" s="310">
        <v>0.20594499999999999</v>
      </c>
      <c r="R9" s="310">
        <v>8.07919E-2</v>
      </c>
      <c r="S9" s="310">
        <v>5.5419099999999999E-2</v>
      </c>
      <c r="T9" s="314">
        <v>7.5869000000000006E-2</v>
      </c>
      <c r="U9" s="315">
        <f t="shared" ref="U9:U14" si="0">ROUND(T9/B9,0)</f>
        <v>7</v>
      </c>
    </row>
    <row r="10" spans="1:21" x14ac:dyDescent="0.25">
      <c r="A10" s="300" t="s">
        <v>501</v>
      </c>
      <c r="B10" s="310">
        <v>3.1381200000000001E-4</v>
      </c>
      <c r="C10" s="310">
        <v>2.8234899999999999E-4</v>
      </c>
      <c r="D10" s="310">
        <v>2.27078E-4</v>
      </c>
      <c r="E10" s="310">
        <v>1.9189700000000001E-4</v>
      </c>
      <c r="F10" s="310">
        <v>1.6641900000000001E-4</v>
      </c>
      <c r="G10" s="310">
        <v>1.5422299999999999E-4</v>
      </c>
      <c r="H10" s="310">
        <v>1.4765199999999999E-4</v>
      </c>
      <c r="I10" s="310">
        <v>2.2220899999999999E-3</v>
      </c>
      <c r="J10" s="310">
        <v>1.92442E-3</v>
      </c>
      <c r="K10" s="310">
        <v>1.9669100000000001E-3</v>
      </c>
      <c r="L10" s="310">
        <v>2.0398999999999999E-3</v>
      </c>
      <c r="M10" s="310">
        <v>1.7805E-3</v>
      </c>
      <c r="N10" s="310">
        <v>1.5938899999999999E-3</v>
      </c>
      <c r="O10" s="310">
        <v>4.1357599999999996E-3</v>
      </c>
      <c r="P10" s="310">
        <v>4.9337399999999998E-3</v>
      </c>
      <c r="Q10" s="310">
        <v>5.36368E-3</v>
      </c>
      <c r="R10" s="310">
        <v>4.0745499999999997E-3</v>
      </c>
      <c r="S10" s="310">
        <v>2.3997100000000002E-3</v>
      </c>
      <c r="T10" s="314">
        <v>2.2614000000000002E-3</v>
      </c>
      <c r="U10" s="315">
        <f t="shared" si="0"/>
        <v>7</v>
      </c>
    </row>
    <row r="11" spans="1:21" x14ac:dyDescent="0.25">
      <c r="A11" s="300" t="s">
        <v>502</v>
      </c>
      <c r="B11" s="310">
        <v>1.7661100000000001</v>
      </c>
      <c r="C11" s="310">
        <v>2.4272300000000002</v>
      </c>
      <c r="D11" s="310">
        <v>5.2962999999999996</v>
      </c>
      <c r="E11" s="310">
        <v>4.2202500000000001</v>
      </c>
      <c r="F11" s="310">
        <v>3.7839800000000001</v>
      </c>
      <c r="G11" s="310">
        <v>4.0821199999999997</v>
      </c>
      <c r="H11" s="310">
        <v>5.6644500000000004</v>
      </c>
      <c r="I11" s="310">
        <v>19.1023</v>
      </c>
      <c r="J11" s="310">
        <v>44.884599999999999</v>
      </c>
      <c r="K11" s="310">
        <v>43.256900000000002</v>
      </c>
      <c r="L11" s="310">
        <v>46.3825</v>
      </c>
      <c r="M11" s="310">
        <v>47.128100000000003</v>
      </c>
      <c r="N11" s="310">
        <v>61.147100000000002</v>
      </c>
      <c r="O11" s="310">
        <v>35.5533</v>
      </c>
      <c r="P11" s="310">
        <v>115.07299999999999</v>
      </c>
      <c r="Q11" s="310">
        <v>117.959</v>
      </c>
      <c r="R11" s="310">
        <v>92.645700000000005</v>
      </c>
      <c r="S11" s="310">
        <v>63.517899999999997</v>
      </c>
      <c r="T11" s="314">
        <v>86.755300000000005</v>
      </c>
      <c r="U11" s="315">
        <f t="shared" si="0"/>
        <v>49</v>
      </c>
    </row>
    <row r="12" spans="1:21" x14ac:dyDescent="0.25">
      <c r="A12" s="300" t="s">
        <v>503</v>
      </c>
      <c r="B12" s="310">
        <v>1.15664E-3</v>
      </c>
      <c r="C12" s="310">
        <v>2.6667700000000002E-3</v>
      </c>
      <c r="D12" s="310">
        <v>6.2101700000000001E-3</v>
      </c>
      <c r="E12" s="310">
        <v>9.9485300000000006E-3</v>
      </c>
      <c r="F12" s="310">
        <v>1.36475E-2</v>
      </c>
      <c r="G12" s="310">
        <v>1.6497399999999999E-2</v>
      </c>
      <c r="H12" s="310">
        <v>2.0263799999999998E-2</v>
      </c>
      <c r="I12" s="310">
        <v>7.5250600000000001E-3</v>
      </c>
      <c r="J12" s="310">
        <v>2.0871000000000001E-2</v>
      </c>
      <c r="K12" s="310">
        <v>5.47097E-2</v>
      </c>
      <c r="L12" s="310">
        <v>8.1513199999999994E-2</v>
      </c>
      <c r="M12" s="310">
        <v>8.8608199999999998E-2</v>
      </c>
      <c r="N12" s="310">
        <v>7.6343900000000006E-2</v>
      </c>
      <c r="O12" s="310">
        <v>2.5077599999999999E-2</v>
      </c>
      <c r="P12" s="310">
        <v>7.9083500000000001E-2</v>
      </c>
      <c r="Q12" s="310">
        <v>0.16026000000000001</v>
      </c>
      <c r="R12" s="310">
        <v>0.19505900000000001</v>
      </c>
      <c r="S12" s="310">
        <v>0.18473600000000001</v>
      </c>
      <c r="T12" s="314">
        <v>0.138207</v>
      </c>
      <c r="U12" s="315">
        <f t="shared" si="0"/>
        <v>119</v>
      </c>
    </row>
    <row r="13" spans="1:21" x14ac:dyDescent="0.25">
      <c r="A13" s="300" t="s">
        <v>504</v>
      </c>
      <c r="B13" s="310">
        <v>0.239703</v>
      </c>
      <c r="C13" s="310">
        <v>0.329434</v>
      </c>
      <c r="D13" s="310">
        <v>0.71883600000000003</v>
      </c>
      <c r="E13" s="310">
        <v>0.57409399999999999</v>
      </c>
      <c r="F13" s="310">
        <v>0.51584099999999999</v>
      </c>
      <c r="G13" s="310">
        <v>0.55757100000000004</v>
      </c>
      <c r="H13" s="310">
        <v>0.775065</v>
      </c>
      <c r="I13" s="310">
        <v>2.5926499999999999</v>
      </c>
      <c r="J13" s="310">
        <v>6.09192</v>
      </c>
      <c r="K13" s="310">
        <v>5.8843699999999997</v>
      </c>
      <c r="L13" s="310">
        <v>6.3229600000000001</v>
      </c>
      <c r="M13" s="310">
        <v>6.4371600000000004</v>
      </c>
      <c r="N13" s="310">
        <v>8.3667300000000004</v>
      </c>
      <c r="O13" s="310">
        <v>4.8254400000000004</v>
      </c>
      <c r="P13" s="310">
        <v>15.6182</v>
      </c>
      <c r="Q13" s="310">
        <v>16.046399999999998</v>
      </c>
      <c r="R13" s="310">
        <v>12.6297</v>
      </c>
      <c r="S13" s="310">
        <v>8.6758199999999999</v>
      </c>
      <c r="T13" s="314">
        <v>11.870699999999999</v>
      </c>
      <c r="U13" s="315">
        <f t="shared" si="0"/>
        <v>50</v>
      </c>
    </row>
    <row r="14" spans="1:21" x14ac:dyDescent="0.25">
      <c r="A14" s="300" t="s">
        <v>505</v>
      </c>
      <c r="B14" s="310">
        <v>0</v>
      </c>
      <c r="C14" s="310">
        <v>0</v>
      </c>
      <c r="D14" s="310">
        <v>0</v>
      </c>
      <c r="E14" s="310">
        <v>1.8907599999999999E-4</v>
      </c>
      <c r="F14" s="310">
        <v>2.37655E-4</v>
      </c>
      <c r="G14" s="310">
        <v>2.0292699999999999E-4</v>
      </c>
      <c r="H14" s="310">
        <v>0</v>
      </c>
      <c r="I14" s="310">
        <v>0</v>
      </c>
      <c r="J14" s="310">
        <v>0</v>
      </c>
      <c r="K14" s="310">
        <v>1.9380000000000001E-3</v>
      </c>
      <c r="L14" s="310">
        <v>2.9130800000000002E-3</v>
      </c>
      <c r="M14" s="310">
        <v>2.34279E-3</v>
      </c>
      <c r="N14" s="310">
        <v>0</v>
      </c>
      <c r="O14" s="310">
        <v>0</v>
      </c>
      <c r="P14" s="310">
        <v>0</v>
      </c>
      <c r="Q14" s="310">
        <v>5.28482E-3</v>
      </c>
      <c r="R14" s="310">
        <v>5.8186599999999998E-3</v>
      </c>
      <c r="S14" s="310">
        <v>3.1575499999999999E-3</v>
      </c>
      <c r="T14" s="314">
        <v>0</v>
      </c>
      <c r="U14" s="315" t="e">
        <f t="shared" si="0"/>
        <v>#DIV/0!</v>
      </c>
    </row>
    <row r="15" spans="1:21" ht="15.75" thickBot="1" x14ac:dyDescent="0.3">
      <c r="A15" s="311" t="s">
        <v>506</v>
      </c>
      <c r="B15" s="312">
        <v>2.0212149220000004</v>
      </c>
      <c r="C15" s="312">
        <v>2.773809569</v>
      </c>
      <c r="D15" s="312">
        <v>6.0422357580000003</v>
      </c>
      <c r="E15" s="312">
        <v>4.8185733829999995</v>
      </c>
      <c r="F15" s="312">
        <v>4.3241616939999998</v>
      </c>
      <c r="G15" s="312">
        <v>4.6690063000000004</v>
      </c>
      <c r="H15" s="312">
        <v>6.4793460120000006</v>
      </c>
      <c r="I15" s="312">
        <v>21.816423549999996</v>
      </c>
      <c r="J15" s="312">
        <v>51.174423920000002</v>
      </c>
      <c r="K15" s="312">
        <v>49.342356109999997</v>
      </c>
      <c r="L15" s="312">
        <v>52.918046080000003</v>
      </c>
      <c r="M15" s="312">
        <v>53.801850590000008</v>
      </c>
      <c r="N15" s="312">
        <v>69.801398989999996</v>
      </c>
      <c r="O15" s="312">
        <v>40.615898360000003</v>
      </c>
      <c r="P15" s="312">
        <v>131.22415323999999</v>
      </c>
      <c r="Q15" s="312">
        <v>134.56482150000002</v>
      </c>
      <c r="R15" s="312">
        <v>105.73226711000001</v>
      </c>
      <c r="S15" s="312">
        <v>72.577902359999996</v>
      </c>
      <c r="T15" s="785">
        <v>99.063893399999998</v>
      </c>
    </row>
    <row r="16" spans="1:21" ht="15.75" thickTop="1" x14ac:dyDescent="0.25"/>
    <row r="17" spans="1:21" ht="20.25" thickBot="1" x14ac:dyDescent="0.35">
      <c r="A17" s="313" t="s">
        <v>507</v>
      </c>
      <c r="B17" s="308">
        <v>2022</v>
      </c>
      <c r="C17" s="308">
        <v>2025</v>
      </c>
      <c r="D17" s="308">
        <v>2030</v>
      </c>
      <c r="E17" s="308">
        <v>2035</v>
      </c>
      <c r="F17" s="308">
        <v>2040</v>
      </c>
      <c r="G17" s="308">
        <v>2045</v>
      </c>
      <c r="H17" s="308">
        <v>2050</v>
      </c>
      <c r="I17" s="308">
        <v>2025</v>
      </c>
      <c r="J17" s="308">
        <v>2030</v>
      </c>
      <c r="K17" s="308">
        <v>2035</v>
      </c>
      <c r="L17" s="308">
        <v>2040</v>
      </c>
      <c r="M17" s="308">
        <v>2045</v>
      </c>
      <c r="N17" s="308">
        <v>2050</v>
      </c>
      <c r="O17" s="308">
        <v>2025</v>
      </c>
      <c r="P17" s="308">
        <v>2030</v>
      </c>
      <c r="Q17" s="308">
        <v>2035</v>
      </c>
      <c r="R17" s="308">
        <v>2040</v>
      </c>
      <c r="S17" s="308">
        <v>2045</v>
      </c>
      <c r="T17" s="308">
        <v>2050</v>
      </c>
    </row>
    <row r="18" spans="1:21" ht="20.25" thickTop="1" x14ac:dyDescent="0.3">
      <c r="C18" s="302" t="s">
        <v>495</v>
      </c>
      <c r="D18" s="303"/>
      <c r="E18" s="303"/>
      <c r="F18" s="303"/>
      <c r="G18" s="303"/>
      <c r="H18" s="303"/>
      <c r="I18" s="304" t="s">
        <v>496</v>
      </c>
      <c r="J18" s="305"/>
      <c r="K18" s="305"/>
      <c r="L18" s="305"/>
      <c r="M18" s="305"/>
      <c r="N18" s="305"/>
      <c r="O18" s="306" t="s">
        <v>497</v>
      </c>
      <c r="P18" s="307"/>
      <c r="Q18" s="307"/>
      <c r="R18" s="307"/>
      <c r="S18" s="307"/>
      <c r="T18" s="307"/>
    </row>
    <row r="19" spans="1:21" ht="20.25" thickBot="1" x14ac:dyDescent="0.35">
      <c r="A19" s="309" t="s">
        <v>498</v>
      </c>
      <c r="B19" s="308">
        <v>2022</v>
      </c>
      <c r="C19" s="308">
        <v>2025</v>
      </c>
      <c r="D19" s="308">
        <v>2030</v>
      </c>
      <c r="E19" s="308">
        <v>2035</v>
      </c>
      <c r="F19" s="308">
        <v>2040</v>
      </c>
      <c r="G19" s="308">
        <v>2045</v>
      </c>
      <c r="H19" s="308">
        <v>2050</v>
      </c>
      <c r="I19" s="308">
        <v>2025</v>
      </c>
      <c r="J19" s="308">
        <v>2030</v>
      </c>
      <c r="K19" s="308">
        <v>2035</v>
      </c>
      <c r="L19" s="308">
        <v>2040</v>
      </c>
      <c r="M19" s="308">
        <v>2045</v>
      </c>
      <c r="N19" s="308">
        <v>2050</v>
      </c>
      <c r="O19" s="308">
        <v>2025</v>
      </c>
      <c r="P19" s="308">
        <v>2030</v>
      </c>
      <c r="Q19" s="308">
        <v>2035</v>
      </c>
      <c r="R19" s="308">
        <v>2040</v>
      </c>
      <c r="S19" s="308">
        <v>2045</v>
      </c>
      <c r="T19" s="308">
        <v>2050</v>
      </c>
    </row>
    <row r="20" spans="1:21" ht="15.75" thickTop="1" x14ac:dyDescent="0.25">
      <c r="A20" s="300" t="s">
        <v>499</v>
      </c>
      <c r="B20" s="314">
        <v>3.1968700000000001E-3</v>
      </c>
      <c r="C20" s="310">
        <f>C8</f>
        <v>3.8807500000000001E-3</v>
      </c>
      <c r="D20" s="310">
        <f>C20+D8</f>
        <v>1.0640460000000001E-2</v>
      </c>
      <c r="E20" s="310">
        <f t="shared" ref="E20:H20" si="1">D20+E8</f>
        <v>1.7172220000000002E-2</v>
      </c>
      <c r="F20" s="310">
        <f t="shared" si="1"/>
        <v>2.4161510000000004E-2</v>
      </c>
      <c r="G20" s="310">
        <f t="shared" si="1"/>
        <v>3.3060620000000006E-2</v>
      </c>
      <c r="H20" s="310">
        <f t="shared" si="1"/>
        <v>4.7526520000000003E-2</v>
      </c>
      <c r="I20" s="310">
        <f>I8</f>
        <v>3.0541499999999999E-2</v>
      </c>
      <c r="J20" s="310">
        <f>I20+J8</f>
        <v>8.7827999999999989E-2</v>
      </c>
      <c r="K20" s="310">
        <f t="shared" ref="K20:N20" si="2">J20+K8</f>
        <v>0.15477749999999998</v>
      </c>
      <c r="L20" s="310">
        <f t="shared" si="2"/>
        <v>0.24044939999999998</v>
      </c>
      <c r="M20" s="310">
        <f t="shared" si="2"/>
        <v>0.34318939999999998</v>
      </c>
      <c r="N20" s="310">
        <f t="shared" si="2"/>
        <v>0.49934639999999997</v>
      </c>
      <c r="O20" s="310">
        <f>O8</f>
        <v>5.6843999999999999E-2</v>
      </c>
      <c r="P20" s="310">
        <f>O20+P8</f>
        <v>0.20371300000000001</v>
      </c>
      <c r="Q20" s="310">
        <f t="shared" ref="Q20:T20" si="3">P20+Q8</f>
        <v>0.38628099999999999</v>
      </c>
      <c r="R20" s="310">
        <f t="shared" si="3"/>
        <v>0.55740400000000001</v>
      </c>
      <c r="S20" s="310">
        <f t="shared" si="3"/>
        <v>0.69587399999999999</v>
      </c>
      <c r="T20" s="310">
        <f t="shared" si="3"/>
        <v>0.91742999999999997</v>
      </c>
      <c r="U20" s="315"/>
    </row>
    <row r="21" spans="1:21" x14ac:dyDescent="0.25">
      <c r="A21" s="300" t="s">
        <v>500</v>
      </c>
      <c r="B21" s="314">
        <v>1.07346E-2</v>
      </c>
      <c r="C21" s="310">
        <f t="shared" ref="C21:C27" si="4">C9</f>
        <v>1.0315700000000001E-2</v>
      </c>
      <c r="D21" s="310">
        <f t="shared" ref="D21:H27" si="5">C21+D9</f>
        <v>2.42185E-2</v>
      </c>
      <c r="E21" s="310">
        <f t="shared" si="5"/>
        <v>3.1586620000000003E-2</v>
      </c>
      <c r="F21" s="310">
        <f t="shared" si="5"/>
        <v>3.4886449999999999E-2</v>
      </c>
      <c r="G21" s="310">
        <f t="shared" si="5"/>
        <v>3.8448089999999997E-2</v>
      </c>
      <c r="H21" s="310">
        <f t="shared" si="5"/>
        <v>4.3401749999999996E-2</v>
      </c>
      <c r="I21" s="310">
        <f t="shared" ref="I21:I27" si="6">I9</f>
        <v>8.1184900000000004E-2</v>
      </c>
      <c r="J21" s="310">
        <f t="shared" ref="J21:N27" si="7">I21+J9</f>
        <v>0.19900689999999999</v>
      </c>
      <c r="K21" s="310">
        <f t="shared" si="7"/>
        <v>0.27452889999999996</v>
      </c>
      <c r="L21" s="310">
        <f t="shared" si="7"/>
        <v>0.31497689999999995</v>
      </c>
      <c r="M21" s="310">
        <f t="shared" si="7"/>
        <v>0.35609599999999997</v>
      </c>
      <c r="N21" s="310">
        <f t="shared" si="7"/>
        <v>0.4095702</v>
      </c>
      <c r="O21" s="310">
        <f t="shared" ref="O21:O27" si="8">O9</f>
        <v>0.15110100000000001</v>
      </c>
      <c r="P21" s="310">
        <f t="shared" ref="P21:T27" si="9">O21+P9</f>
        <v>0.45316800000000002</v>
      </c>
      <c r="Q21" s="310">
        <f t="shared" si="9"/>
        <v>0.65911300000000006</v>
      </c>
      <c r="R21" s="310">
        <f t="shared" si="9"/>
        <v>0.73990490000000009</v>
      </c>
      <c r="S21" s="310">
        <f t="shared" si="9"/>
        <v>0.79532400000000014</v>
      </c>
      <c r="T21" s="310">
        <f t="shared" si="9"/>
        <v>0.87119300000000011</v>
      </c>
      <c r="U21" s="315"/>
    </row>
    <row r="22" spans="1:21" x14ac:dyDescent="0.25">
      <c r="A22" s="300" t="s">
        <v>501</v>
      </c>
      <c r="B22" s="314">
        <v>3.1381200000000001E-4</v>
      </c>
      <c r="C22" s="310">
        <f t="shared" si="4"/>
        <v>2.8234899999999999E-4</v>
      </c>
      <c r="D22" s="310">
        <f t="shared" si="5"/>
        <v>5.0942700000000001E-4</v>
      </c>
      <c r="E22" s="310">
        <f t="shared" si="5"/>
        <v>7.0132400000000002E-4</v>
      </c>
      <c r="F22" s="310">
        <f t="shared" si="5"/>
        <v>8.6774300000000003E-4</v>
      </c>
      <c r="G22" s="310">
        <f t="shared" si="5"/>
        <v>1.021966E-3</v>
      </c>
      <c r="H22" s="310">
        <f t="shared" si="5"/>
        <v>1.1696180000000001E-3</v>
      </c>
      <c r="I22" s="310">
        <f t="shared" si="6"/>
        <v>2.2220899999999999E-3</v>
      </c>
      <c r="J22" s="310">
        <f t="shared" si="7"/>
        <v>4.14651E-3</v>
      </c>
      <c r="K22" s="310">
        <f t="shared" si="7"/>
        <v>6.1134199999999996E-3</v>
      </c>
      <c r="L22" s="310">
        <f t="shared" si="7"/>
        <v>8.1533199999999986E-3</v>
      </c>
      <c r="M22" s="310">
        <f t="shared" si="7"/>
        <v>9.9338199999999995E-3</v>
      </c>
      <c r="N22" s="310">
        <f t="shared" si="7"/>
        <v>1.152771E-2</v>
      </c>
      <c r="O22" s="310">
        <f t="shared" si="8"/>
        <v>4.1357599999999996E-3</v>
      </c>
      <c r="P22" s="310">
        <f t="shared" si="9"/>
        <v>9.0694999999999994E-3</v>
      </c>
      <c r="Q22" s="310">
        <f t="shared" si="9"/>
        <v>1.443318E-2</v>
      </c>
      <c r="R22" s="310">
        <f t="shared" si="9"/>
        <v>1.850773E-2</v>
      </c>
      <c r="S22" s="310">
        <f t="shared" si="9"/>
        <v>2.0907439999999999E-2</v>
      </c>
      <c r="T22" s="310">
        <f t="shared" si="9"/>
        <v>2.316884E-2</v>
      </c>
      <c r="U22" s="315"/>
    </row>
    <row r="23" spans="1:21" x14ac:dyDescent="0.25">
      <c r="A23" s="300" t="s">
        <v>502</v>
      </c>
      <c r="B23" s="314">
        <v>1.7661100000000001</v>
      </c>
      <c r="C23" s="310">
        <f t="shared" si="4"/>
        <v>2.4272300000000002</v>
      </c>
      <c r="D23" s="310">
        <f t="shared" si="5"/>
        <v>7.7235300000000002</v>
      </c>
      <c r="E23" s="310">
        <f t="shared" si="5"/>
        <v>11.94378</v>
      </c>
      <c r="F23" s="310">
        <f t="shared" si="5"/>
        <v>15.72776</v>
      </c>
      <c r="G23" s="310">
        <f t="shared" si="5"/>
        <v>19.80988</v>
      </c>
      <c r="H23" s="310">
        <f t="shared" si="5"/>
        <v>25.474330000000002</v>
      </c>
      <c r="I23" s="310">
        <f t="shared" si="6"/>
        <v>19.1023</v>
      </c>
      <c r="J23" s="310">
        <f t="shared" si="7"/>
        <v>63.986899999999999</v>
      </c>
      <c r="K23" s="310">
        <f t="shared" si="7"/>
        <v>107.24379999999999</v>
      </c>
      <c r="L23" s="310">
        <f t="shared" si="7"/>
        <v>153.62629999999999</v>
      </c>
      <c r="M23" s="310">
        <f t="shared" si="7"/>
        <v>200.75439999999998</v>
      </c>
      <c r="N23" s="310">
        <f t="shared" si="7"/>
        <v>261.9015</v>
      </c>
      <c r="O23" s="310">
        <f t="shared" si="8"/>
        <v>35.5533</v>
      </c>
      <c r="P23" s="310">
        <f t="shared" si="9"/>
        <v>150.62629999999999</v>
      </c>
      <c r="Q23" s="310">
        <f t="shared" si="9"/>
        <v>268.58529999999996</v>
      </c>
      <c r="R23" s="310">
        <f t="shared" si="9"/>
        <v>361.23099999999999</v>
      </c>
      <c r="S23" s="310">
        <f t="shared" si="9"/>
        <v>424.74889999999999</v>
      </c>
      <c r="T23" s="310">
        <f t="shared" si="9"/>
        <v>511.50419999999997</v>
      </c>
      <c r="U23" s="315"/>
    </row>
    <row r="24" spans="1:21" x14ac:dyDescent="0.25">
      <c r="A24" s="300" t="s">
        <v>503</v>
      </c>
      <c r="B24" s="314">
        <v>1.15664E-3</v>
      </c>
      <c r="C24" s="310">
        <f t="shared" si="4"/>
        <v>2.6667700000000002E-3</v>
      </c>
      <c r="D24" s="310">
        <f t="shared" si="5"/>
        <v>8.8769399999999998E-3</v>
      </c>
      <c r="E24" s="310">
        <f t="shared" si="5"/>
        <v>1.882547E-2</v>
      </c>
      <c r="F24" s="310">
        <f t="shared" si="5"/>
        <v>3.2472970000000004E-2</v>
      </c>
      <c r="G24" s="310">
        <f t="shared" si="5"/>
        <v>4.8970369999999999E-2</v>
      </c>
      <c r="H24" s="310">
        <f t="shared" si="5"/>
        <v>6.9234169999999998E-2</v>
      </c>
      <c r="I24" s="310">
        <f t="shared" si="6"/>
        <v>7.5250600000000001E-3</v>
      </c>
      <c r="J24" s="310">
        <f t="shared" si="7"/>
        <v>2.8396060000000001E-2</v>
      </c>
      <c r="K24" s="310">
        <f t="shared" si="7"/>
        <v>8.3105760000000001E-2</v>
      </c>
      <c r="L24" s="310">
        <f t="shared" si="7"/>
        <v>0.16461895999999998</v>
      </c>
      <c r="M24" s="310">
        <f t="shared" si="7"/>
        <v>0.25322716000000001</v>
      </c>
      <c r="N24" s="310">
        <f t="shared" si="7"/>
        <v>0.32957106000000003</v>
      </c>
      <c r="O24" s="310">
        <f t="shared" si="8"/>
        <v>2.5077599999999999E-2</v>
      </c>
      <c r="P24" s="310">
        <f t="shared" si="9"/>
        <v>0.10416110000000001</v>
      </c>
      <c r="Q24" s="310">
        <f t="shared" si="9"/>
        <v>0.26442110000000002</v>
      </c>
      <c r="R24" s="310">
        <f t="shared" si="9"/>
        <v>0.45948010000000006</v>
      </c>
      <c r="S24" s="310">
        <f t="shared" si="9"/>
        <v>0.64421610000000007</v>
      </c>
      <c r="T24" s="310">
        <f t="shared" si="9"/>
        <v>0.78242310000000004</v>
      </c>
      <c r="U24" s="315"/>
    </row>
    <row r="25" spans="1:21" x14ac:dyDescent="0.25">
      <c r="A25" s="300" t="s">
        <v>504</v>
      </c>
      <c r="B25" s="314">
        <v>0.239703</v>
      </c>
      <c r="C25" s="310">
        <f t="shared" si="4"/>
        <v>0.329434</v>
      </c>
      <c r="D25" s="310">
        <f t="shared" si="5"/>
        <v>1.04827</v>
      </c>
      <c r="E25" s="310">
        <f t="shared" si="5"/>
        <v>1.6223640000000001</v>
      </c>
      <c r="F25" s="310">
        <f t="shared" si="5"/>
        <v>2.1382050000000001</v>
      </c>
      <c r="G25" s="310">
        <f t="shared" si="5"/>
        <v>2.6957760000000004</v>
      </c>
      <c r="H25" s="310">
        <f t="shared" si="5"/>
        <v>3.4708410000000005</v>
      </c>
      <c r="I25" s="310">
        <f t="shared" si="6"/>
        <v>2.5926499999999999</v>
      </c>
      <c r="J25" s="310">
        <f t="shared" si="7"/>
        <v>8.6845700000000008</v>
      </c>
      <c r="K25" s="310">
        <f t="shared" si="7"/>
        <v>14.568940000000001</v>
      </c>
      <c r="L25" s="310">
        <f t="shared" si="7"/>
        <v>20.8919</v>
      </c>
      <c r="M25" s="310">
        <f t="shared" si="7"/>
        <v>27.329059999999998</v>
      </c>
      <c r="N25" s="310">
        <f t="shared" si="7"/>
        <v>35.695790000000002</v>
      </c>
      <c r="O25" s="310">
        <f t="shared" si="8"/>
        <v>4.8254400000000004</v>
      </c>
      <c r="P25" s="310">
        <f t="shared" si="9"/>
        <v>20.443640000000002</v>
      </c>
      <c r="Q25" s="310">
        <f t="shared" si="9"/>
        <v>36.49004</v>
      </c>
      <c r="R25" s="310">
        <f t="shared" si="9"/>
        <v>49.11974</v>
      </c>
      <c r="S25" s="310">
        <f t="shared" si="9"/>
        <v>57.795560000000002</v>
      </c>
      <c r="T25" s="310">
        <f t="shared" si="9"/>
        <v>69.666259999999994</v>
      </c>
      <c r="U25" s="315"/>
    </row>
    <row r="26" spans="1:21" x14ac:dyDescent="0.25">
      <c r="A26" s="300" t="s">
        <v>505</v>
      </c>
      <c r="B26" s="314">
        <v>0</v>
      </c>
      <c r="C26" s="310">
        <f t="shared" si="4"/>
        <v>0</v>
      </c>
      <c r="D26" s="310">
        <f t="shared" si="5"/>
        <v>0</v>
      </c>
      <c r="E26" s="310">
        <f t="shared" si="5"/>
        <v>1.8907599999999999E-4</v>
      </c>
      <c r="F26" s="310">
        <f t="shared" si="5"/>
        <v>4.2673099999999996E-4</v>
      </c>
      <c r="G26" s="310">
        <f t="shared" si="5"/>
        <v>6.2965799999999995E-4</v>
      </c>
      <c r="H26" s="310">
        <f t="shared" si="5"/>
        <v>6.2965799999999995E-4</v>
      </c>
      <c r="I26" s="310">
        <f t="shared" si="6"/>
        <v>0</v>
      </c>
      <c r="J26" s="310">
        <f t="shared" si="7"/>
        <v>0</v>
      </c>
      <c r="K26" s="310">
        <f t="shared" si="7"/>
        <v>1.9380000000000001E-3</v>
      </c>
      <c r="L26" s="310">
        <f t="shared" si="7"/>
        <v>4.8510800000000007E-3</v>
      </c>
      <c r="M26" s="316">
        <f t="shared" si="7"/>
        <v>7.1938700000000006E-3</v>
      </c>
      <c r="N26" s="310">
        <f t="shared" si="7"/>
        <v>7.1938700000000006E-3</v>
      </c>
      <c r="O26" s="310">
        <f t="shared" si="8"/>
        <v>0</v>
      </c>
      <c r="P26" s="310">
        <f t="shared" si="9"/>
        <v>0</v>
      </c>
      <c r="Q26" s="310">
        <f t="shared" si="9"/>
        <v>5.28482E-3</v>
      </c>
      <c r="R26" s="310">
        <f t="shared" si="9"/>
        <v>1.1103479999999999E-2</v>
      </c>
      <c r="S26" s="310">
        <f t="shared" si="9"/>
        <v>1.4261029999999999E-2</v>
      </c>
      <c r="T26" s="317">
        <f>S26+T14</f>
        <v>1.4261029999999999E-2</v>
      </c>
      <c r="U26" s="315"/>
    </row>
    <row r="27" spans="1:21" ht="15.75" thickBot="1" x14ac:dyDescent="0.3">
      <c r="A27" s="311" t="s">
        <v>506</v>
      </c>
      <c r="B27" s="312">
        <v>2.0212149220000004</v>
      </c>
      <c r="C27" s="312">
        <f t="shared" si="4"/>
        <v>2.773809569</v>
      </c>
      <c r="D27" s="312">
        <f t="shared" si="5"/>
        <v>8.8160453270000012</v>
      </c>
      <c r="E27" s="312">
        <f t="shared" si="5"/>
        <v>13.634618710000002</v>
      </c>
      <c r="F27" s="312">
        <f t="shared" si="5"/>
        <v>17.958780404000002</v>
      </c>
      <c r="G27" s="312">
        <f t="shared" si="5"/>
        <v>22.627786704000002</v>
      </c>
      <c r="H27" s="312">
        <f t="shared" si="5"/>
        <v>29.107132716000002</v>
      </c>
      <c r="I27" s="312">
        <f t="shared" si="6"/>
        <v>21.816423549999996</v>
      </c>
      <c r="J27" s="312">
        <f t="shared" si="7"/>
        <v>72.990847470000006</v>
      </c>
      <c r="K27" s="312">
        <f t="shared" si="7"/>
        <v>122.33320358</v>
      </c>
      <c r="L27" s="312">
        <f t="shared" si="7"/>
        <v>175.25124966000001</v>
      </c>
      <c r="M27" s="312">
        <f t="shared" si="7"/>
        <v>229.05310025000003</v>
      </c>
      <c r="N27" s="312">
        <f t="shared" si="7"/>
        <v>298.85449924</v>
      </c>
      <c r="O27" s="312">
        <f t="shared" si="8"/>
        <v>40.615898360000003</v>
      </c>
      <c r="P27" s="312">
        <f t="shared" si="9"/>
        <v>171.84005159999998</v>
      </c>
      <c r="Q27" s="312">
        <f t="shared" si="9"/>
        <v>306.40487310000003</v>
      </c>
      <c r="R27" s="312">
        <f t="shared" si="9"/>
        <v>412.13714021000004</v>
      </c>
      <c r="S27" s="312">
        <f t="shared" si="9"/>
        <v>484.71504257000004</v>
      </c>
      <c r="T27" s="312">
        <f t="shared" si="9"/>
        <v>583.77893597000002</v>
      </c>
    </row>
    <row r="28" spans="1:21" ht="15.75" thickTop="1" x14ac:dyDescent="0.25"/>
  </sheetData>
  <hyperlinks>
    <hyperlink ref="B1" r:id="rId1" xr:uid="{C0C36772-8281-4B17-B55E-C259CDE17289}"/>
  </hyperlinks>
  <pageMargins left="0.7" right="0.7" top="0.78740157499999996" bottom="0.78740157499999996"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6E557-460A-4CD7-9C6C-86DE342FF644}">
  <dimension ref="B1:N74"/>
  <sheetViews>
    <sheetView zoomScaleNormal="100" workbookViewId="0">
      <pane ySplit="2" topLeftCell="A3" activePane="bottomLeft" state="frozen"/>
      <selection pane="bottomLeft" activeCell="P66" sqref="P66"/>
    </sheetView>
  </sheetViews>
  <sheetFormatPr baseColWidth="10" defaultRowHeight="15" x14ac:dyDescent="0.25"/>
  <cols>
    <col min="1" max="1" width="2.85546875" customWidth="1"/>
    <col min="2" max="2" width="5.28515625" bestFit="1" customWidth="1"/>
    <col min="3" max="3" width="14.7109375" bestFit="1" customWidth="1"/>
    <col min="4" max="4" width="17.28515625" bestFit="1" customWidth="1"/>
    <col min="5" max="5" width="15.7109375" bestFit="1" customWidth="1"/>
  </cols>
  <sheetData>
    <row r="1" spans="2:14" x14ac:dyDescent="0.25">
      <c r="C1" t="s">
        <v>849</v>
      </c>
      <c r="D1" t="s">
        <v>1177</v>
      </c>
      <c r="G1" t="s">
        <v>1176</v>
      </c>
    </row>
    <row r="2" spans="2:14" x14ac:dyDescent="0.25">
      <c r="B2" s="14" t="s">
        <v>6</v>
      </c>
      <c r="C2" s="14" t="s">
        <v>19</v>
      </c>
      <c r="D2" s="14" t="s">
        <v>20</v>
      </c>
      <c r="E2" s="14" t="s">
        <v>107</v>
      </c>
      <c r="G2" s="14" t="s">
        <v>6</v>
      </c>
      <c r="H2" s="14" t="s">
        <v>19</v>
      </c>
      <c r="I2" s="14" t="s">
        <v>20</v>
      </c>
      <c r="J2" s="14" t="s">
        <v>107</v>
      </c>
    </row>
    <row r="3" spans="2:14" x14ac:dyDescent="0.25">
      <c r="B3">
        <v>1954</v>
      </c>
      <c r="C3">
        <f>IFERROR(VLOOKUP(B3,scholarly_works__3[],2,FALSE),0)</f>
        <v>3</v>
      </c>
      <c r="D3">
        <f>IFERROR(VLOOKUP(B3,patent_documents[],2,FALSE),0)</f>
        <v>0</v>
      </c>
      <c r="E3">
        <f>C3+D3</f>
        <v>3</v>
      </c>
      <c r="G3">
        <v>1954</v>
      </c>
      <c r="H3">
        <v>3</v>
      </c>
      <c r="I3">
        <v>0</v>
      </c>
      <c r="J3">
        <f>SUM(H3:I3)</f>
        <v>3</v>
      </c>
    </row>
    <row r="4" spans="2:14" x14ac:dyDescent="0.25">
      <c r="B4">
        <v>1955</v>
      </c>
      <c r="C4">
        <f>IFERROR(VLOOKUP(B4,scholarly_works__3[],2,FALSE),0)</f>
        <v>0</v>
      </c>
      <c r="D4">
        <f>IFERROR(VLOOKUP(B4,patent_documents[],2,FALSE),0)</f>
        <v>0</v>
      </c>
      <c r="E4">
        <f t="shared" ref="E4:E67" si="0">C4+D4</f>
        <v>0</v>
      </c>
      <c r="G4">
        <v>1955</v>
      </c>
      <c r="H4">
        <v>0</v>
      </c>
      <c r="I4">
        <v>0</v>
      </c>
      <c r="J4">
        <f t="shared" ref="J4:J67" si="1">SUM(H4:I4)</f>
        <v>0</v>
      </c>
      <c r="N4" t="s">
        <v>59</v>
      </c>
    </row>
    <row r="5" spans="2:14" x14ac:dyDescent="0.25">
      <c r="B5">
        <v>1956</v>
      </c>
      <c r="C5">
        <f>IFERROR(VLOOKUP(B5,scholarly_works__3[],2,FALSE),0)</f>
        <v>0</v>
      </c>
      <c r="D5">
        <f>IFERROR(VLOOKUP(B5,patent_documents[],2,FALSE),0)</f>
        <v>0</v>
      </c>
      <c r="E5">
        <f t="shared" si="0"/>
        <v>0</v>
      </c>
      <c r="G5">
        <v>1956</v>
      </c>
      <c r="H5">
        <v>0</v>
      </c>
      <c r="I5">
        <v>0</v>
      </c>
      <c r="J5">
        <f t="shared" si="1"/>
        <v>0</v>
      </c>
    </row>
    <row r="6" spans="2:14" x14ac:dyDescent="0.25">
      <c r="B6">
        <v>1957</v>
      </c>
      <c r="C6">
        <f>IFERROR(VLOOKUP(B6,scholarly_works__3[],2,FALSE),0)</f>
        <v>0</v>
      </c>
      <c r="D6">
        <f>IFERROR(VLOOKUP(B6,patent_documents[],2,FALSE),0)</f>
        <v>1</v>
      </c>
      <c r="E6">
        <f t="shared" si="0"/>
        <v>1</v>
      </c>
      <c r="G6">
        <v>1957</v>
      </c>
      <c r="H6">
        <v>0</v>
      </c>
      <c r="I6">
        <v>1</v>
      </c>
      <c r="J6">
        <f t="shared" si="1"/>
        <v>1</v>
      </c>
    </row>
    <row r="7" spans="2:14" x14ac:dyDescent="0.25">
      <c r="B7">
        <v>1958</v>
      </c>
      <c r="C7">
        <f>IFERROR(VLOOKUP(B7,scholarly_works__3[],2,FALSE),0)</f>
        <v>0</v>
      </c>
      <c r="D7">
        <f>IFERROR(VLOOKUP(B7,patent_documents[],2,FALSE),0)</f>
        <v>0</v>
      </c>
      <c r="E7">
        <f t="shared" si="0"/>
        <v>0</v>
      </c>
      <c r="G7">
        <v>1958</v>
      </c>
      <c r="H7">
        <v>0</v>
      </c>
      <c r="I7">
        <v>0</v>
      </c>
      <c r="J7">
        <f t="shared" si="1"/>
        <v>0</v>
      </c>
    </row>
    <row r="8" spans="2:14" x14ac:dyDescent="0.25">
      <c r="B8">
        <v>1959</v>
      </c>
      <c r="C8">
        <f>IFERROR(VLOOKUP(B8,scholarly_works__3[],2,FALSE),0)</f>
        <v>2</v>
      </c>
      <c r="D8">
        <f>IFERROR(VLOOKUP(B8,patent_documents[],2,FALSE),0)</f>
        <v>0</v>
      </c>
      <c r="E8">
        <f t="shared" si="0"/>
        <v>2</v>
      </c>
      <c r="G8">
        <v>1959</v>
      </c>
      <c r="H8">
        <v>2</v>
      </c>
      <c r="I8">
        <v>0</v>
      </c>
      <c r="J8">
        <f t="shared" si="1"/>
        <v>2</v>
      </c>
    </row>
    <row r="9" spans="2:14" x14ac:dyDescent="0.25">
      <c r="B9">
        <v>1960</v>
      </c>
      <c r="C9">
        <f>IFERROR(VLOOKUP(B9,scholarly_works__3[],2,FALSE),0)</f>
        <v>0</v>
      </c>
      <c r="D9">
        <f>IFERROR(VLOOKUP(B9,patent_documents[],2,FALSE),0)</f>
        <v>0</v>
      </c>
      <c r="E9">
        <f t="shared" si="0"/>
        <v>0</v>
      </c>
      <c r="G9">
        <v>1960</v>
      </c>
      <c r="H9">
        <v>0</v>
      </c>
      <c r="I9">
        <v>0</v>
      </c>
      <c r="J9">
        <f t="shared" si="1"/>
        <v>0</v>
      </c>
    </row>
    <row r="10" spans="2:14" x14ac:dyDescent="0.25">
      <c r="B10">
        <v>1961</v>
      </c>
      <c r="C10">
        <f>IFERROR(VLOOKUP(B10,scholarly_works__3[],2,FALSE),0)</f>
        <v>0</v>
      </c>
      <c r="D10">
        <f>IFERROR(VLOOKUP(B10,patent_documents[],2,FALSE),0)</f>
        <v>0</v>
      </c>
      <c r="E10">
        <f t="shared" si="0"/>
        <v>0</v>
      </c>
      <c r="G10">
        <v>1961</v>
      </c>
      <c r="H10">
        <v>0</v>
      </c>
      <c r="I10">
        <v>0</v>
      </c>
      <c r="J10">
        <f t="shared" si="1"/>
        <v>0</v>
      </c>
    </row>
    <row r="11" spans="2:14" x14ac:dyDescent="0.25">
      <c r="B11">
        <v>1962</v>
      </c>
      <c r="C11">
        <f>IFERROR(VLOOKUP(B11,scholarly_works__3[],2,FALSE),0)</f>
        <v>0</v>
      </c>
      <c r="D11">
        <f>IFERROR(VLOOKUP(B11,patent_documents[],2,FALSE),0)</f>
        <v>0</v>
      </c>
      <c r="E11">
        <f t="shared" si="0"/>
        <v>0</v>
      </c>
      <c r="G11">
        <v>1962</v>
      </c>
      <c r="H11">
        <v>0</v>
      </c>
      <c r="I11">
        <v>0</v>
      </c>
      <c r="J11">
        <f t="shared" si="1"/>
        <v>0</v>
      </c>
    </row>
    <row r="12" spans="2:14" x14ac:dyDescent="0.25">
      <c r="B12">
        <v>1963</v>
      </c>
      <c r="C12">
        <f>IFERROR(VLOOKUP(B12,scholarly_works__3[],2,FALSE),0)</f>
        <v>0</v>
      </c>
      <c r="D12">
        <f>IFERROR(VLOOKUP(B12,patent_documents[],2,FALSE),0)</f>
        <v>0</v>
      </c>
      <c r="E12">
        <f t="shared" si="0"/>
        <v>0</v>
      </c>
      <c r="G12">
        <v>1963</v>
      </c>
      <c r="H12">
        <v>0</v>
      </c>
      <c r="I12">
        <v>0</v>
      </c>
      <c r="J12">
        <f t="shared" si="1"/>
        <v>0</v>
      </c>
    </row>
    <row r="13" spans="2:14" x14ac:dyDescent="0.25">
      <c r="B13">
        <v>1964</v>
      </c>
      <c r="C13">
        <f>IFERROR(VLOOKUP(B13,scholarly_works__3[],2,FALSE),0)</f>
        <v>0</v>
      </c>
      <c r="D13">
        <f>IFERROR(VLOOKUP(B13,patent_documents[],2,FALSE),0)</f>
        <v>0</v>
      </c>
      <c r="E13">
        <f t="shared" si="0"/>
        <v>0</v>
      </c>
      <c r="G13">
        <v>1964</v>
      </c>
      <c r="H13">
        <v>0</v>
      </c>
      <c r="I13">
        <v>0</v>
      </c>
      <c r="J13">
        <f t="shared" si="1"/>
        <v>0</v>
      </c>
    </row>
    <row r="14" spans="2:14" x14ac:dyDescent="0.25">
      <c r="B14">
        <v>1965</v>
      </c>
      <c r="C14">
        <f>IFERROR(VLOOKUP(B14,scholarly_works__3[],2,FALSE),0)</f>
        <v>0</v>
      </c>
      <c r="D14">
        <f>IFERROR(VLOOKUP(B14,patent_documents[],2,FALSE),0)</f>
        <v>0</v>
      </c>
      <c r="E14">
        <f t="shared" si="0"/>
        <v>0</v>
      </c>
      <c r="G14">
        <v>1965</v>
      </c>
      <c r="H14">
        <v>0</v>
      </c>
      <c r="I14">
        <v>0</v>
      </c>
      <c r="J14">
        <f t="shared" si="1"/>
        <v>0</v>
      </c>
    </row>
    <row r="15" spans="2:14" x14ac:dyDescent="0.25">
      <c r="B15">
        <v>1966</v>
      </c>
      <c r="C15">
        <f>IFERROR(VLOOKUP(B15,scholarly_works__3[],2,FALSE),0)</f>
        <v>1</v>
      </c>
      <c r="D15">
        <f>IFERROR(VLOOKUP(B15,patent_documents[],2,FALSE),0)</f>
        <v>0</v>
      </c>
      <c r="E15">
        <f t="shared" si="0"/>
        <v>1</v>
      </c>
      <c r="G15">
        <v>1966</v>
      </c>
      <c r="H15">
        <v>1</v>
      </c>
      <c r="I15">
        <v>0</v>
      </c>
      <c r="J15">
        <f t="shared" si="1"/>
        <v>1</v>
      </c>
    </row>
    <row r="16" spans="2:14" x14ac:dyDescent="0.25">
      <c r="B16">
        <v>1967</v>
      </c>
      <c r="C16">
        <f>IFERROR(VLOOKUP(B16,scholarly_works__3[],2,FALSE),0)</f>
        <v>1</v>
      </c>
      <c r="D16">
        <f>IFERROR(VLOOKUP(B16,patent_documents[],2,FALSE),0)</f>
        <v>0</v>
      </c>
      <c r="E16">
        <f t="shared" si="0"/>
        <v>1</v>
      </c>
      <c r="G16">
        <v>1967</v>
      </c>
      <c r="H16">
        <v>1</v>
      </c>
      <c r="I16">
        <v>0</v>
      </c>
      <c r="J16">
        <f t="shared" si="1"/>
        <v>1</v>
      </c>
    </row>
    <row r="17" spans="2:10" x14ac:dyDescent="0.25">
      <c r="B17">
        <v>1968</v>
      </c>
      <c r="C17">
        <f>IFERROR(VLOOKUP(B17,scholarly_works__3[],2,FALSE),0)</f>
        <v>1</v>
      </c>
      <c r="D17">
        <f>IFERROR(VLOOKUP(B17,patent_documents[],2,FALSE),0)</f>
        <v>0</v>
      </c>
      <c r="E17">
        <f t="shared" si="0"/>
        <v>1</v>
      </c>
      <c r="G17">
        <v>1968</v>
      </c>
      <c r="H17">
        <v>1</v>
      </c>
      <c r="I17">
        <v>0</v>
      </c>
      <c r="J17">
        <f t="shared" si="1"/>
        <v>1</v>
      </c>
    </row>
    <row r="18" spans="2:10" x14ac:dyDescent="0.25">
      <c r="B18">
        <v>1969</v>
      </c>
      <c r="C18">
        <f>IFERROR(VLOOKUP(B18,scholarly_works__3[],2,FALSE),0)</f>
        <v>0</v>
      </c>
      <c r="D18">
        <f>IFERROR(VLOOKUP(B18,patent_documents[],2,FALSE),0)</f>
        <v>0</v>
      </c>
      <c r="E18">
        <f t="shared" si="0"/>
        <v>0</v>
      </c>
      <c r="G18">
        <v>1969</v>
      </c>
      <c r="H18">
        <v>0</v>
      </c>
      <c r="I18">
        <v>0</v>
      </c>
      <c r="J18">
        <f t="shared" si="1"/>
        <v>0</v>
      </c>
    </row>
    <row r="19" spans="2:10" x14ac:dyDescent="0.25">
      <c r="B19">
        <v>1970</v>
      </c>
      <c r="C19">
        <f>IFERROR(VLOOKUP(B19,scholarly_works__3[],2,FALSE),0)</f>
        <v>1</v>
      </c>
      <c r="D19">
        <f>IFERROR(VLOOKUP(B19,patent_documents[],2,FALSE),0)</f>
        <v>0</v>
      </c>
      <c r="E19">
        <f t="shared" si="0"/>
        <v>1</v>
      </c>
      <c r="G19">
        <v>1970</v>
      </c>
      <c r="H19">
        <v>1</v>
      </c>
      <c r="I19">
        <v>0</v>
      </c>
      <c r="J19">
        <f t="shared" si="1"/>
        <v>1</v>
      </c>
    </row>
    <row r="20" spans="2:10" x14ac:dyDescent="0.25">
      <c r="B20">
        <v>1971</v>
      </c>
      <c r="C20">
        <f>IFERROR(VLOOKUP(B20,scholarly_works__3[],2,FALSE),0)</f>
        <v>0</v>
      </c>
      <c r="D20">
        <f>IFERROR(VLOOKUP(B20,patent_documents[],2,FALSE),0)</f>
        <v>0</v>
      </c>
      <c r="E20">
        <f t="shared" si="0"/>
        <v>0</v>
      </c>
      <c r="G20">
        <v>1971</v>
      </c>
      <c r="H20">
        <v>0</v>
      </c>
      <c r="I20">
        <v>0</v>
      </c>
      <c r="J20">
        <f t="shared" si="1"/>
        <v>0</v>
      </c>
    </row>
    <row r="21" spans="2:10" x14ac:dyDescent="0.25">
      <c r="B21">
        <v>1972</v>
      </c>
      <c r="C21">
        <f>IFERROR(VLOOKUP(B21,scholarly_works__3[],2,FALSE),0)</f>
        <v>0</v>
      </c>
      <c r="D21">
        <f>IFERROR(VLOOKUP(B21,patent_documents[],2,FALSE),0)</f>
        <v>0</v>
      </c>
      <c r="E21">
        <f t="shared" si="0"/>
        <v>0</v>
      </c>
      <c r="G21">
        <v>1972</v>
      </c>
      <c r="H21">
        <v>0</v>
      </c>
      <c r="I21">
        <v>0</v>
      </c>
      <c r="J21">
        <f t="shared" si="1"/>
        <v>0</v>
      </c>
    </row>
    <row r="22" spans="2:10" x14ac:dyDescent="0.25">
      <c r="B22">
        <v>1973</v>
      </c>
      <c r="C22">
        <f>IFERROR(VLOOKUP(B22,scholarly_works__3[],2,FALSE),0)</f>
        <v>0</v>
      </c>
      <c r="D22">
        <f>IFERROR(VLOOKUP(B22,patent_documents[],2,FALSE),0)</f>
        <v>0</v>
      </c>
      <c r="E22">
        <f t="shared" si="0"/>
        <v>0</v>
      </c>
      <c r="G22">
        <v>1973</v>
      </c>
      <c r="H22">
        <v>0</v>
      </c>
      <c r="I22">
        <v>0</v>
      </c>
      <c r="J22">
        <f t="shared" si="1"/>
        <v>0</v>
      </c>
    </row>
    <row r="23" spans="2:10" x14ac:dyDescent="0.25">
      <c r="B23">
        <v>1974</v>
      </c>
      <c r="C23">
        <f>IFERROR(VLOOKUP(B23,scholarly_works__3[],2,FALSE),0)</f>
        <v>0</v>
      </c>
      <c r="D23">
        <f>IFERROR(VLOOKUP(B23,patent_documents[],2,FALSE),0)</f>
        <v>0</v>
      </c>
      <c r="E23">
        <f t="shared" si="0"/>
        <v>0</v>
      </c>
      <c r="G23">
        <v>1974</v>
      </c>
      <c r="H23">
        <v>0</v>
      </c>
      <c r="I23">
        <v>0</v>
      </c>
      <c r="J23">
        <f t="shared" si="1"/>
        <v>0</v>
      </c>
    </row>
    <row r="24" spans="2:10" x14ac:dyDescent="0.25">
      <c r="B24">
        <v>1975</v>
      </c>
      <c r="C24">
        <f>IFERROR(VLOOKUP(B24,scholarly_works__3[],2,FALSE),0)</f>
        <v>1</v>
      </c>
      <c r="D24">
        <f>IFERROR(VLOOKUP(B24,patent_documents[],2,FALSE),0)</f>
        <v>0</v>
      </c>
      <c r="E24">
        <f t="shared" si="0"/>
        <v>1</v>
      </c>
      <c r="G24">
        <v>1975</v>
      </c>
      <c r="H24">
        <v>1</v>
      </c>
      <c r="I24">
        <v>0</v>
      </c>
      <c r="J24">
        <f t="shared" si="1"/>
        <v>1</v>
      </c>
    </row>
    <row r="25" spans="2:10" x14ac:dyDescent="0.25">
      <c r="B25">
        <v>1976</v>
      </c>
      <c r="C25">
        <f>IFERROR(VLOOKUP(B25,scholarly_works__3[],2,FALSE),0)</f>
        <v>0</v>
      </c>
      <c r="D25">
        <f>IFERROR(VLOOKUP(B25,patent_documents[],2,FALSE),0)</f>
        <v>2</v>
      </c>
      <c r="E25">
        <f t="shared" si="0"/>
        <v>2</v>
      </c>
      <c r="G25">
        <v>1976</v>
      </c>
      <c r="H25">
        <v>0</v>
      </c>
      <c r="I25">
        <v>2</v>
      </c>
      <c r="J25">
        <f t="shared" si="1"/>
        <v>2</v>
      </c>
    </row>
    <row r="26" spans="2:10" x14ac:dyDescent="0.25">
      <c r="B26">
        <v>1977</v>
      </c>
      <c r="C26">
        <f>IFERROR(VLOOKUP(B26,scholarly_works__3[],2,FALSE),0)</f>
        <v>5</v>
      </c>
      <c r="D26">
        <f>IFERROR(VLOOKUP(B26,patent_documents[],2,FALSE),0)</f>
        <v>2</v>
      </c>
      <c r="E26">
        <f t="shared" si="0"/>
        <v>7</v>
      </c>
      <c r="G26">
        <v>1977</v>
      </c>
      <c r="H26">
        <v>5</v>
      </c>
      <c r="I26">
        <v>2</v>
      </c>
      <c r="J26">
        <f t="shared" si="1"/>
        <v>7</v>
      </c>
    </row>
    <row r="27" spans="2:10" x14ac:dyDescent="0.25">
      <c r="B27">
        <v>1978</v>
      </c>
      <c r="C27">
        <f>IFERROR(VLOOKUP(B27,scholarly_works__3[],2,FALSE),0)</f>
        <v>1</v>
      </c>
      <c r="D27">
        <f>IFERROR(VLOOKUP(B27,patent_documents[],2,FALSE),0)</f>
        <v>1</v>
      </c>
      <c r="E27">
        <f t="shared" si="0"/>
        <v>2</v>
      </c>
      <c r="G27">
        <v>1978</v>
      </c>
      <c r="H27">
        <v>1</v>
      </c>
      <c r="I27">
        <v>1</v>
      </c>
      <c r="J27">
        <f t="shared" si="1"/>
        <v>2</v>
      </c>
    </row>
    <row r="28" spans="2:10" x14ac:dyDescent="0.25">
      <c r="B28">
        <v>1979</v>
      </c>
      <c r="C28">
        <f>IFERROR(VLOOKUP(B28,scholarly_works__3[],2,FALSE),0)</f>
        <v>1</v>
      </c>
      <c r="D28">
        <f>IFERROR(VLOOKUP(B28,patent_documents[],2,FALSE),0)</f>
        <v>4</v>
      </c>
      <c r="E28">
        <f t="shared" si="0"/>
        <v>5</v>
      </c>
      <c r="G28">
        <v>1979</v>
      </c>
      <c r="H28">
        <v>1</v>
      </c>
      <c r="I28">
        <v>4</v>
      </c>
      <c r="J28">
        <f t="shared" si="1"/>
        <v>5</v>
      </c>
    </row>
    <row r="29" spans="2:10" x14ac:dyDescent="0.25">
      <c r="B29">
        <v>1980</v>
      </c>
      <c r="C29">
        <f>IFERROR(VLOOKUP(B29,scholarly_works__3[],2,FALSE),0)</f>
        <v>7</v>
      </c>
      <c r="D29">
        <f>IFERROR(VLOOKUP(B29,patent_documents[],2,FALSE),0)</f>
        <v>1</v>
      </c>
      <c r="E29">
        <f t="shared" si="0"/>
        <v>8</v>
      </c>
      <c r="G29">
        <v>1980</v>
      </c>
      <c r="H29">
        <v>7</v>
      </c>
      <c r="I29">
        <v>1</v>
      </c>
      <c r="J29">
        <f t="shared" si="1"/>
        <v>8</v>
      </c>
    </row>
    <row r="30" spans="2:10" x14ac:dyDescent="0.25">
      <c r="B30">
        <v>1981</v>
      </c>
      <c r="C30">
        <f>IFERROR(VLOOKUP(B30,scholarly_works__3[],2,FALSE),0)</f>
        <v>8</v>
      </c>
      <c r="D30">
        <f>IFERROR(VLOOKUP(B30,patent_documents[],2,FALSE),0)</f>
        <v>4</v>
      </c>
      <c r="E30">
        <f t="shared" si="0"/>
        <v>12</v>
      </c>
      <c r="G30">
        <v>1981</v>
      </c>
      <c r="H30">
        <v>8</v>
      </c>
      <c r="I30">
        <v>4</v>
      </c>
      <c r="J30">
        <f t="shared" si="1"/>
        <v>12</v>
      </c>
    </row>
    <row r="31" spans="2:10" x14ac:dyDescent="0.25">
      <c r="B31">
        <v>1982</v>
      </c>
      <c r="C31">
        <f>IFERROR(VLOOKUP(B31,scholarly_works__3[],2,FALSE),0)</f>
        <v>5</v>
      </c>
      <c r="D31">
        <f>IFERROR(VLOOKUP(B31,patent_documents[],2,FALSE),0)</f>
        <v>4</v>
      </c>
      <c r="E31">
        <f t="shared" si="0"/>
        <v>9</v>
      </c>
      <c r="G31">
        <v>1982</v>
      </c>
      <c r="H31">
        <v>5</v>
      </c>
      <c r="I31">
        <v>4</v>
      </c>
      <c r="J31">
        <f t="shared" si="1"/>
        <v>9</v>
      </c>
    </row>
    <row r="32" spans="2:10" x14ac:dyDescent="0.25">
      <c r="B32">
        <v>1983</v>
      </c>
      <c r="C32">
        <f>IFERROR(VLOOKUP(B32,scholarly_works__3[],2,FALSE),0)</f>
        <v>5</v>
      </c>
      <c r="D32">
        <f>IFERROR(VLOOKUP(B32,patent_documents[],2,FALSE),0)</f>
        <v>5</v>
      </c>
      <c r="E32">
        <f t="shared" si="0"/>
        <v>10</v>
      </c>
      <c r="G32">
        <v>1983</v>
      </c>
      <c r="H32">
        <v>5</v>
      </c>
      <c r="I32">
        <v>5</v>
      </c>
      <c r="J32">
        <f t="shared" si="1"/>
        <v>10</v>
      </c>
    </row>
    <row r="33" spans="2:10" x14ac:dyDescent="0.25">
      <c r="B33">
        <v>1984</v>
      </c>
      <c r="C33">
        <f>IFERROR(VLOOKUP(B33,scholarly_works__3[],2,FALSE),0)</f>
        <v>7</v>
      </c>
      <c r="D33">
        <f>IFERROR(VLOOKUP(B33,patent_documents[],2,FALSE),0)</f>
        <v>2</v>
      </c>
      <c r="E33">
        <f t="shared" si="0"/>
        <v>9</v>
      </c>
      <c r="G33">
        <v>1984</v>
      </c>
      <c r="H33">
        <v>7</v>
      </c>
      <c r="I33">
        <v>2</v>
      </c>
      <c r="J33">
        <f t="shared" si="1"/>
        <v>9</v>
      </c>
    </row>
    <row r="34" spans="2:10" x14ac:dyDescent="0.25">
      <c r="B34">
        <v>1985</v>
      </c>
      <c r="C34">
        <f>IFERROR(VLOOKUP(B34,scholarly_works__3[],2,FALSE),0)</f>
        <v>5</v>
      </c>
      <c r="D34">
        <f>IFERROR(VLOOKUP(B34,patent_documents[],2,FALSE),0)</f>
        <v>1</v>
      </c>
      <c r="E34">
        <f t="shared" si="0"/>
        <v>6</v>
      </c>
      <c r="G34">
        <v>1985</v>
      </c>
      <c r="H34">
        <v>5</v>
      </c>
      <c r="I34">
        <v>1</v>
      </c>
      <c r="J34">
        <f t="shared" si="1"/>
        <v>6</v>
      </c>
    </row>
    <row r="35" spans="2:10" x14ac:dyDescent="0.25">
      <c r="B35">
        <v>1986</v>
      </c>
      <c r="C35">
        <f>IFERROR(VLOOKUP(B35,scholarly_works__3[],2,FALSE),0)</f>
        <v>7</v>
      </c>
      <c r="D35">
        <f>IFERROR(VLOOKUP(B35,patent_documents[],2,FALSE),0)</f>
        <v>3</v>
      </c>
      <c r="E35">
        <f t="shared" si="0"/>
        <v>10</v>
      </c>
      <c r="G35">
        <v>1986</v>
      </c>
      <c r="H35">
        <v>7</v>
      </c>
      <c r="I35">
        <v>3</v>
      </c>
      <c r="J35">
        <f t="shared" si="1"/>
        <v>10</v>
      </c>
    </row>
    <row r="36" spans="2:10" x14ac:dyDescent="0.25">
      <c r="B36">
        <v>1987</v>
      </c>
      <c r="C36">
        <f>IFERROR(VLOOKUP(B36,scholarly_works__3[],2,FALSE),0)</f>
        <v>6</v>
      </c>
      <c r="D36">
        <f>IFERROR(VLOOKUP(B36,patent_documents[],2,FALSE),0)</f>
        <v>5</v>
      </c>
      <c r="E36">
        <f t="shared" si="0"/>
        <v>11</v>
      </c>
      <c r="G36">
        <v>1987</v>
      </c>
      <c r="H36">
        <v>6</v>
      </c>
      <c r="I36">
        <v>5</v>
      </c>
      <c r="J36">
        <f t="shared" si="1"/>
        <v>11</v>
      </c>
    </row>
    <row r="37" spans="2:10" x14ac:dyDescent="0.25">
      <c r="B37">
        <v>1988</v>
      </c>
      <c r="C37">
        <f>IFERROR(VLOOKUP(B37,scholarly_works__3[],2,FALSE),0)</f>
        <v>5</v>
      </c>
      <c r="D37">
        <f>IFERROR(VLOOKUP(B37,patent_documents[],2,FALSE),0)</f>
        <v>9</v>
      </c>
      <c r="E37">
        <f t="shared" si="0"/>
        <v>14</v>
      </c>
      <c r="G37">
        <v>1988</v>
      </c>
      <c r="H37">
        <v>5</v>
      </c>
      <c r="I37">
        <v>9</v>
      </c>
      <c r="J37">
        <f t="shared" si="1"/>
        <v>14</v>
      </c>
    </row>
    <row r="38" spans="2:10" x14ac:dyDescent="0.25">
      <c r="B38">
        <v>1989</v>
      </c>
      <c r="C38">
        <f>IFERROR(VLOOKUP(B38,scholarly_works__3[],2,FALSE),0)</f>
        <v>8</v>
      </c>
      <c r="D38">
        <f>IFERROR(VLOOKUP(B38,patent_documents[],2,FALSE),0)</f>
        <v>6</v>
      </c>
      <c r="E38">
        <f t="shared" si="0"/>
        <v>14</v>
      </c>
      <c r="G38">
        <v>1989</v>
      </c>
      <c r="H38">
        <v>8</v>
      </c>
      <c r="I38">
        <v>6</v>
      </c>
      <c r="J38">
        <f t="shared" si="1"/>
        <v>14</v>
      </c>
    </row>
    <row r="39" spans="2:10" x14ac:dyDescent="0.25">
      <c r="B39">
        <v>1990</v>
      </c>
      <c r="C39">
        <f>IFERROR(VLOOKUP(B39,scholarly_works__3[],2,FALSE),0)</f>
        <v>13</v>
      </c>
      <c r="D39">
        <f>IFERROR(VLOOKUP(B39,patent_documents[],2,FALSE),0)</f>
        <v>3</v>
      </c>
      <c r="E39">
        <f t="shared" si="0"/>
        <v>16</v>
      </c>
      <c r="G39">
        <v>1990</v>
      </c>
      <c r="H39">
        <v>13</v>
      </c>
      <c r="I39">
        <v>3</v>
      </c>
      <c r="J39">
        <f t="shared" si="1"/>
        <v>16</v>
      </c>
    </row>
    <row r="40" spans="2:10" x14ac:dyDescent="0.25">
      <c r="B40">
        <v>1991</v>
      </c>
      <c r="C40">
        <f>IFERROR(VLOOKUP(B40,scholarly_works__3[],2,FALSE),0)</f>
        <v>10</v>
      </c>
      <c r="D40">
        <f>IFERROR(VLOOKUP(B40,patent_documents[],2,FALSE),0)</f>
        <v>8</v>
      </c>
      <c r="E40">
        <f t="shared" si="0"/>
        <v>18</v>
      </c>
      <c r="G40">
        <v>1991</v>
      </c>
      <c r="H40">
        <v>10</v>
      </c>
      <c r="I40">
        <v>8</v>
      </c>
      <c r="J40">
        <f t="shared" si="1"/>
        <v>18</v>
      </c>
    </row>
    <row r="41" spans="2:10" x14ac:dyDescent="0.25">
      <c r="B41">
        <v>1992</v>
      </c>
      <c r="C41">
        <f>IFERROR(VLOOKUP(B41,scholarly_works__3[],2,FALSE),0)</f>
        <v>15</v>
      </c>
      <c r="D41">
        <f>IFERROR(VLOOKUP(B41,patent_documents[],2,FALSE),0)</f>
        <v>15</v>
      </c>
      <c r="E41">
        <f t="shared" si="0"/>
        <v>30</v>
      </c>
      <c r="G41">
        <v>1992</v>
      </c>
      <c r="H41">
        <v>15</v>
      </c>
      <c r="I41">
        <v>15</v>
      </c>
      <c r="J41">
        <f t="shared" si="1"/>
        <v>30</v>
      </c>
    </row>
    <row r="42" spans="2:10" x14ac:dyDescent="0.25">
      <c r="B42">
        <v>1993</v>
      </c>
      <c r="C42">
        <f>IFERROR(VLOOKUP(B42,scholarly_works__3[],2,FALSE),0)</f>
        <v>9</v>
      </c>
      <c r="D42">
        <f>IFERROR(VLOOKUP(B42,patent_documents[],2,FALSE),0)</f>
        <v>8</v>
      </c>
      <c r="E42">
        <f t="shared" si="0"/>
        <v>17</v>
      </c>
      <c r="G42">
        <v>1993</v>
      </c>
      <c r="H42">
        <v>9</v>
      </c>
      <c r="I42">
        <v>8</v>
      </c>
      <c r="J42">
        <f t="shared" si="1"/>
        <v>17</v>
      </c>
    </row>
    <row r="43" spans="2:10" x14ac:dyDescent="0.25">
      <c r="B43">
        <v>1994</v>
      </c>
      <c r="C43">
        <f>IFERROR(VLOOKUP(B43,scholarly_works__3[],2,FALSE),0)</f>
        <v>7</v>
      </c>
      <c r="D43">
        <f>IFERROR(VLOOKUP(B43,patent_documents[],2,FALSE),0)</f>
        <v>14</v>
      </c>
      <c r="E43">
        <f t="shared" si="0"/>
        <v>21</v>
      </c>
      <c r="G43">
        <v>1994</v>
      </c>
      <c r="H43">
        <v>7</v>
      </c>
      <c r="I43">
        <v>14</v>
      </c>
      <c r="J43">
        <f t="shared" si="1"/>
        <v>21</v>
      </c>
    </row>
    <row r="44" spans="2:10" x14ac:dyDescent="0.25">
      <c r="B44">
        <v>1995</v>
      </c>
      <c r="C44">
        <f>IFERROR(VLOOKUP(B44,scholarly_works__3[],2,FALSE),0)</f>
        <v>20</v>
      </c>
      <c r="D44">
        <f>IFERROR(VLOOKUP(B44,patent_documents[],2,FALSE),0)</f>
        <v>14</v>
      </c>
      <c r="E44">
        <f t="shared" si="0"/>
        <v>34</v>
      </c>
      <c r="G44">
        <v>1995</v>
      </c>
      <c r="H44">
        <v>20</v>
      </c>
      <c r="I44">
        <v>14</v>
      </c>
      <c r="J44">
        <f t="shared" si="1"/>
        <v>34</v>
      </c>
    </row>
    <row r="45" spans="2:10" x14ac:dyDescent="0.25">
      <c r="B45">
        <v>1996</v>
      </c>
      <c r="C45">
        <f>IFERROR(VLOOKUP(B45,scholarly_works__3[],2,FALSE),0)</f>
        <v>19</v>
      </c>
      <c r="D45">
        <f>IFERROR(VLOOKUP(B45,patent_documents[],2,FALSE),0)</f>
        <v>14</v>
      </c>
      <c r="E45">
        <f t="shared" si="0"/>
        <v>33</v>
      </c>
      <c r="G45">
        <v>1996</v>
      </c>
      <c r="H45">
        <v>19</v>
      </c>
      <c r="I45">
        <v>14</v>
      </c>
      <c r="J45">
        <f t="shared" si="1"/>
        <v>33</v>
      </c>
    </row>
    <row r="46" spans="2:10" x14ac:dyDescent="0.25">
      <c r="B46">
        <v>1997</v>
      </c>
      <c r="C46">
        <f>IFERROR(VLOOKUP(B46,scholarly_works__3[],2,FALSE),0)</f>
        <v>9</v>
      </c>
      <c r="D46">
        <f>IFERROR(VLOOKUP(B46,patent_documents[],2,FALSE),0)</f>
        <v>9</v>
      </c>
      <c r="E46">
        <f t="shared" si="0"/>
        <v>18</v>
      </c>
      <c r="G46">
        <v>1997</v>
      </c>
      <c r="H46">
        <v>9</v>
      </c>
      <c r="I46">
        <v>9</v>
      </c>
      <c r="J46">
        <f t="shared" si="1"/>
        <v>18</v>
      </c>
    </row>
    <row r="47" spans="2:10" x14ac:dyDescent="0.25">
      <c r="B47">
        <v>1998</v>
      </c>
      <c r="C47">
        <f>IFERROR(VLOOKUP(B47,scholarly_works__3[],2,FALSE),0)</f>
        <v>16</v>
      </c>
      <c r="D47">
        <f>IFERROR(VLOOKUP(B47,patent_documents[],2,FALSE),0)</f>
        <v>17</v>
      </c>
      <c r="E47">
        <f t="shared" si="0"/>
        <v>33</v>
      </c>
      <c r="G47">
        <v>1998</v>
      </c>
      <c r="H47">
        <v>16</v>
      </c>
      <c r="I47">
        <v>17</v>
      </c>
      <c r="J47">
        <f t="shared" si="1"/>
        <v>33</v>
      </c>
    </row>
    <row r="48" spans="2:10" x14ac:dyDescent="0.25">
      <c r="B48">
        <v>1999</v>
      </c>
      <c r="C48">
        <f>IFERROR(VLOOKUP(B48,scholarly_works__3[],2,FALSE),0)</f>
        <v>14</v>
      </c>
      <c r="D48">
        <f>IFERROR(VLOOKUP(B48,patent_documents[],2,FALSE),0)</f>
        <v>34</v>
      </c>
      <c r="E48">
        <f t="shared" si="0"/>
        <v>48</v>
      </c>
      <c r="G48">
        <v>1999</v>
      </c>
      <c r="H48">
        <v>14</v>
      </c>
      <c r="I48">
        <v>34</v>
      </c>
      <c r="J48">
        <f t="shared" si="1"/>
        <v>48</v>
      </c>
    </row>
    <row r="49" spans="2:10" x14ac:dyDescent="0.25">
      <c r="B49">
        <v>2000</v>
      </c>
      <c r="C49">
        <f>IFERROR(VLOOKUP(B49,scholarly_works__3[],2,FALSE),0)</f>
        <v>11</v>
      </c>
      <c r="D49">
        <f>IFERROR(VLOOKUP(B49,patent_documents[],2,FALSE),0)</f>
        <v>29</v>
      </c>
      <c r="E49">
        <f t="shared" si="0"/>
        <v>40</v>
      </c>
      <c r="G49">
        <v>2000</v>
      </c>
      <c r="H49">
        <v>11</v>
      </c>
      <c r="I49">
        <v>29</v>
      </c>
      <c r="J49">
        <f t="shared" si="1"/>
        <v>40</v>
      </c>
    </row>
    <row r="50" spans="2:10" x14ac:dyDescent="0.25">
      <c r="B50">
        <v>2001</v>
      </c>
      <c r="C50">
        <f>IFERROR(VLOOKUP(B50,scholarly_works__3[],2,FALSE),0)</f>
        <v>27</v>
      </c>
      <c r="D50">
        <f>IFERROR(VLOOKUP(B50,patent_documents[],2,FALSE),0)</f>
        <v>35</v>
      </c>
      <c r="E50">
        <f t="shared" si="0"/>
        <v>62</v>
      </c>
      <c r="G50">
        <v>2001</v>
      </c>
      <c r="H50">
        <v>27</v>
      </c>
      <c r="I50">
        <v>35</v>
      </c>
      <c r="J50">
        <f t="shared" si="1"/>
        <v>62</v>
      </c>
    </row>
    <row r="51" spans="2:10" x14ac:dyDescent="0.25">
      <c r="B51">
        <v>2002</v>
      </c>
      <c r="C51">
        <f>IFERROR(VLOOKUP(B51,scholarly_works__3[],2,FALSE),0)</f>
        <v>24</v>
      </c>
      <c r="D51">
        <f>IFERROR(VLOOKUP(B51,patent_documents[],2,FALSE),0)</f>
        <v>43</v>
      </c>
      <c r="E51">
        <f t="shared" si="0"/>
        <v>67</v>
      </c>
      <c r="G51">
        <v>2002</v>
      </c>
      <c r="H51">
        <v>24</v>
      </c>
      <c r="I51">
        <v>43</v>
      </c>
      <c r="J51">
        <f t="shared" si="1"/>
        <v>67</v>
      </c>
    </row>
    <row r="52" spans="2:10" x14ac:dyDescent="0.25">
      <c r="B52">
        <v>2003</v>
      </c>
      <c r="C52">
        <f>IFERROR(VLOOKUP(B52,scholarly_works__3[],2,FALSE),0)</f>
        <v>41</v>
      </c>
      <c r="D52">
        <f>IFERROR(VLOOKUP(B52,patent_documents[],2,FALSE),0)</f>
        <v>43</v>
      </c>
      <c r="E52">
        <f t="shared" si="0"/>
        <v>84</v>
      </c>
      <c r="G52">
        <v>2003</v>
      </c>
      <c r="H52">
        <v>41</v>
      </c>
      <c r="I52">
        <v>43</v>
      </c>
      <c r="J52">
        <f t="shared" si="1"/>
        <v>84</v>
      </c>
    </row>
    <row r="53" spans="2:10" x14ac:dyDescent="0.25">
      <c r="B53">
        <v>2004</v>
      </c>
      <c r="C53">
        <f>IFERROR(VLOOKUP(B53,scholarly_works__3[],2,FALSE),0)</f>
        <v>37</v>
      </c>
      <c r="D53">
        <f>IFERROR(VLOOKUP(B53,patent_documents[],2,FALSE),0)</f>
        <v>42</v>
      </c>
      <c r="E53">
        <f t="shared" si="0"/>
        <v>79</v>
      </c>
      <c r="G53">
        <v>2004</v>
      </c>
      <c r="H53">
        <v>37</v>
      </c>
      <c r="I53">
        <v>42</v>
      </c>
      <c r="J53">
        <f t="shared" si="1"/>
        <v>79</v>
      </c>
    </row>
    <row r="54" spans="2:10" x14ac:dyDescent="0.25">
      <c r="B54">
        <v>2005</v>
      </c>
      <c r="C54">
        <f>IFERROR(VLOOKUP(B54,scholarly_works__3[],2,FALSE),0)</f>
        <v>38</v>
      </c>
      <c r="D54">
        <f>IFERROR(VLOOKUP(B54,patent_documents[],2,FALSE),0)</f>
        <v>58</v>
      </c>
      <c r="E54">
        <f t="shared" si="0"/>
        <v>96</v>
      </c>
      <c r="G54">
        <v>2005</v>
      </c>
      <c r="H54">
        <v>38</v>
      </c>
      <c r="I54">
        <v>58</v>
      </c>
      <c r="J54">
        <f t="shared" si="1"/>
        <v>96</v>
      </c>
    </row>
    <row r="55" spans="2:10" x14ac:dyDescent="0.25">
      <c r="B55">
        <v>2006</v>
      </c>
      <c r="C55">
        <f>IFERROR(VLOOKUP(B55,scholarly_works__3[],2,FALSE),0)</f>
        <v>64</v>
      </c>
      <c r="D55">
        <f>IFERROR(VLOOKUP(B55,patent_documents[],2,FALSE),0)</f>
        <v>88</v>
      </c>
      <c r="E55">
        <f t="shared" si="0"/>
        <v>152</v>
      </c>
      <c r="G55">
        <v>2006</v>
      </c>
      <c r="H55">
        <v>64</v>
      </c>
      <c r="I55">
        <v>88</v>
      </c>
      <c r="J55">
        <f t="shared" si="1"/>
        <v>152</v>
      </c>
    </row>
    <row r="56" spans="2:10" x14ac:dyDescent="0.25">
      <c r="B56">
        <v>2007</v>
      </c>
      <c r="C56">
        <f>IFERROR(VLOOKUP(B56,scholarly_works__3[],2,FALSE),0)</f>
        <v>70</v>
      </c>
      <c r="D56">
        <f>IFERROR(VLOOKUP(B56,patent_documents[],2,FALSE),0)</f>
        <v>75</v>
      </c>
      <c r="E56">
        <f t="shared" si="0"/>
        <v>145</v>
      </c>
      <c r="G56">
        <v>2007</v>
      </c>
      <c r="H56">
        <v>70</v>
      </c>
      <c r="I56">
        <v>75</v>
      </c>
      <c r="J56">
        <f t="shared" si="1"/>
        <v>145</v>
      </c>
    </row>
    <row r="57" spans="2:10" x14ac:dyDescent="0.25">
      <c r="B57">
        <v>2008</v>
      </c>
      <c r="C57">
        <f>IFERROR(VLOOKUP(B57,scholarly_works__3[],2,FALSE),0)</f>
        <v>68</v>
      </c>
      <c r="D57">
        <f>IFERROR(VLOOKUP(B57,patent_documents[],2,FALSE),0)</f>
        <v>112</v>
      </c>
      <c r="E57">
        <f t="shared" si="0"/>
        <v>180</v>
      </c>
      <c r="G57">
        <v>2008</v>
      </c>
      <c r="H57">
        <v>68</v>
      </c>
      <c r="I57">
        <v>112</v>
      </c>
      <c r="J57">
        <f t="shared" si="1"/>
        <v>180</v>
      </c>
    </row>
    <row r="58" spans="2:10" x14ac:dyDescent="0.25">
      <c r="B58">
        <v>2009</v>
      </c>
      <c r="C58">
        <f>IFERROR(VLOOKUP(B58,scholarly_works__3[],2,FALSE),0)</f>
        <v>78</v>
      </c>
      <c r="D58">
        <f>IFERROR(VLOOKUP(B58,patent_documents[],2,FALSE),0)</f>
        <v>233</v>
      </c>
      <c r="E58">
        <f t="shared" si="0"/>
        <v>311</v>
      </c>
      <c r="G58">
        <v>2009</v>
      </c>
      <c r="H58">
        <v>78</v>
      </c>
      <c r="I58">
        <v>233</v>
      </c>
      <c r="J58">
        <f t="shared" si="1"/>
        <v>311</v>
      </c>
    </row>
    <row r="59" spans="2:10" x14ac:dyDescent="0.25">
      <c r="B59">
        <v>2010</v>
      </c>
      <c r="C59">
        <f>IFERROR(VLOOKUP(B59,scholarly_works__3[],2,FALSE),0)</f>
        <v>91</v>
      </c>
      <c r="D59">
        <f>IFERROR(VLOOKUP(B59,patent_documents[],2,FALSE),0)</f>
        <v>287</v>
      </c>
      <c r="E59">
        <f t="shared" si="0"/>
        <v>378</v>
      </c>
      <c r="G59">
        <v>2010</v>
      </c>
      <c r="H59">
        <v>91</v>
      </c>
      <c r="I59">
        <v>287</v>
      </c>
      <c r="J59">
        <f t="shared" si="1"/>
        <v>378</v>
      </c>
    </row>
    <row r="60" spans="2:10" x14ac:dyDescent="0.25">
      <c r="B60">
        <v>2011</v>
      </c>
      <c r="C60">
        <f>IFERROR(VLOOKUP(B60,scholarly_works__3[],2,FALSE),0)</f>
        <v>97</v>
      </c>
      <c r="D60">
        <f>IFERROR(VLOOKUP(B60,patent_documents[],2,FALSE),0)</f>
        <v>387</v>
      </c>
      <c r="E60">
        <f t="shared" si="0"/>
        <v>484</v>
      </c>
      <c r="G60">
        <v>2011</v>
      </c>
      <c r="H60">
        <v>97</v>
      </c>
      <c r="I60">
        <v>387</v>
      </c>
      <c r="J60">
        <f t="shared" si="1"/>
        <v>484</v>
      </c>
    </row>
    <row r="61" spans="2:10" x14ac:dyDescent="0.25">
      <c r="B61">
        <v>2012</v>
      </c>
      <c r="C61">
        <f>IFERROR(VLOOKUP(B61,scholarly_works__3[],2,FALSE),0)</f>
        <v>109</v>
      </c>
      <c r="D61">
        <f>IFERROR(VLOOKUP(B61,patent_documents[],2,FALSE),0)</f>
        <v>416</v>
      </c>
      <c r="E61">
        <f t="shared" si="0"/>
        <v>525</v>
      </c>
      <c r="G61">
        <v>2012</v>
      </c>
      <c r="H61">
        <v>109</v>
      </c>
      <c r="I61">
        <v>416</v>
      </c>
      <c r="J61">
        <f t="shared" si="1"/>
        <v>525</v>
      </c>
    </row>
    <row r="62" spans="2:10" x14ac:dyDescent="0.25">
      <c r="B62">
        <v>2013</v>
      </c>
      <c r="C62">
        <f>IFERROR(VLOOKUP(B62,scholarly_works__3[],2,FALSE),0)</f>
        <v>144</v>
      </c>
      <c r="D62">
        <f>IFERROR(VLOOKUP(B62,patent_documents[],2,FALSE),0)</f>
        <v>501</v>
      </c>
      <c r="E62">
        <f t="shared" si="0"/>
        <v>645</v>
      </c>
      <c r="G62">
        <v>2013</v>
      </c>
      <c r="H62">
        <v>144</v>
      </c>
      <c r="I62">
        <v>501</v>
      </c>
      <c r="J62">
        <f t="shared" si="1"/>
        <v>645</v>
      </c>
    </row>
    <row r="63" spans="2:10" x14ac:dyDescent="0.25">
      <c r="B63">
        <v>2014</v>
      </c>
      <c r="C63">
        <f>IFERROR(VLOOKUP(B63,scholarly_works__3[],2,FALSE),0)</f>
        <v>162</v>
      </c>
      <c r="D63">
        <f>IFERROR(VLOOKUP(B63,patent_documents[],2,FALSE),0)</f>
        <v>517</v>
      </c>
      <c r="E63">
        <f t="shared" si="0"/>
        <v>679</v>
      </c>
      <c r="G63">
        <v>2014</v>
      </c>
      <c r="H63">
        <v>162</v>
      </c>
      <c r="I63">
        <v>517</v>
      </c>
      <c r="J63">
        <f t="shared" si="1"/>
        <v>679</v>
      </c>
    </row>
    <row r="64" spans="2:10" x14ac:dyDescent="0.25">
      <c r="B64">
        <v>2015</v>
      </c>
      <c r="C64">
        <f>IFERROR(VLOOKUP(B64,scholarly_works__3[],2,FALSE),0)</f>
        <v>192</v>
      </c>
      <c r="D64">
        <f>IFERROR(VLOOKUP(B64,patent_documents[],2,FALSE),0)</f>
        <v>486</v>
      </c>
      <c r="E64">
        <f t="shared" si="0"/>
        <v>678</v>
      </c>
      <c r="G64">
        <v>2015</v>
      </c>
      <c r="H64">
        <v>192</v>
      </c>
      <c r="I64">
        <v>486</v>
      </c>
      <c r="J64">
        <f t="shared" si="1"/>
        <v>678</v>
      </c>
    </row>
    <row r="65" spans="2:10" x14ac:dyDescent="0.25">
      <c r="B65">
        <v>2016</v>
      </c>
      <c r="C65">
        <f>IFERROR(VLOOKUP(B65,scholarly_works__3[],2,FALSE),0)</f>
        <v>224</v>
      </c>
      <c r="D65">
        <f>IFERROR(VLOOKUP(B65,patent_documents[],2,FALSE),0)</f>
        <v>493</v>
      </c>
      <c r="E65">
        <f t="shared" si="0"/>
        <v>717</v>
      </c>
      <c r="G65">
        <v>2016</v>
      </c>
      <c r="H65">
        <v>224</v>
      </c>
      <c r="I65">
        <v>493</v>
      </c>
      <c r="J65">
        <f t="shared" si="1"/>
        <v>717</v>
      </c>
    </row>
    <row r="66" spans="2:10" x14ac:dyDescent="0.25">
      <c r="B66">
        <v>2017</v>
      </c>
      <c r="C66">
        <f>IFERROR(VLOOKUP(B66,scholarly_works__3[],2,FALSE),0)</f>
        <v>267</v>
      </c>
      <c r="D66">
        <f>IFERROR(VLOOKUP(B66,patent_documents[],2,FALSE),0)</f>
        <v>411</v>
      </c>
      <c r="E66">
        <f t="shared" si="0"/>
        <v>678</v>
      </c>
      <c r="G66">
        <v>2017</v>
      </c>
      <c r="H66">
        <v>267</v>
      </c>
      <c r="I66">
        <v>411</v>
      </c>
      <c r="J66">
        <f t="shared" si="1"/>
        <v>678</v>
      </c>
    </row>
    <row r="67" spans="2:10" x14ac:dyDescent="0.25">
      <c r="B67">
        <v>2018</v>
      </c>
      <c r="C67">
        <f>IFERROR(VLOOKUP(B67,scholarly_works__3[],2,FALSE),0)</f>
        <v>304</v>
      </c>
      <c r="D67">
        <f>IFERROR(VLOOKUP(B67,patent_documents[],2,FALSE),0)</f>
        <v>429</v>
      </c>
      <c r="E67">
        <f t="shared" si="0"/>
        <v>733</v>
      </c>
      <c r="G67">
        <v>2018</v>
      </c>
      <c r="H67">
        <f>IFERROR(VLOOKUP(G67,scholarly_works__3[],2,FALSE),0)</f>
        <v>304</v>
      </c>
      <c r="I67">
        <f>IFERROR(VLOOKUP(G67,patent_documents[],2,FALSE),0)</f>
        <v>429</v>
      </c>
      <c r="J67">
        <f t="shared" si="1"/>
        <v>733</v>
      </c>
    </row>
    <row r="68" spans="2:10" x14ac:dyDescent="0.25">
      <c r="B68">
        <v>2019</v>
      </c>
      <c r="C68">
        <f>IFERROR(VLOOKUP(B68,scholarly_works__3[],2,FALSE),0)</f>
        <v>453</v>
      </c>
      <c r="D68">
        <f>IFERROR(VLOOKUP(B68,patent_documents[],2,FALSE),0)</f>
        <v>399</v>
      </c>
      <c r="E68">
        <f t="shared" ref="E68:E73" si="2">C68+D68</f>
        <v>852</v>
      </c>
      <c r="G68">
        <v>2019</v>
      </c>
      <c r="H68">
        <f>IFERROR(VLOOKUP(G68,scholarly_works__3[],2,FALSE),0)</f>
        <v>453</v>
      </c>
      <c r="I68">
        <f>IFERROR(VLOOKUP(G68,patent_documents[],2,FALSE),0)</f>
        <v>399</v>
      </c>
      <c r="J68">
        <f t="shared" ref="J68:J73" si="3">SUM(H68:I68)</f>
        <v>852</v>
      </c>
    </row>
    <row r="69" spans="2:10" x14ac:dyDescent="0.25">
      <c r="B69">
        <v>2020</v>
      </c>
      <c r="C69">
        <f>IFERROR(VLOOKUP(B69,scholarly_works__3[],2,FALSE),0)</f>
        <v>770</v>
      </c>
      <c r="D69">
        <f>IFERROR(VLOOKUP(B69,patent_documents[],2,FALSE),0)</f>
        <v>376</v>
      </c>
      <c r="E69">
        <f t="shared" si="2"/>
        <v>1146</v>
      </c>
      <c r="G69">
        <v>2020</v>
      </c>
      <c r="H69">
        <f>IFERROR(VLOOKUP(G69,scholarly_works__3[],2,FALSE),0)</f>
        <v>770</v>
      </c>
      <c r="I69">
        <f>IFERROR(VLOOKUP(G69,patent_documents[],2,FALSE),0)</f>
        <v>376</v>
      </c>
      <c r="J69">
        <f t="shared" si="3"/>
        <v>1146</v>
      </c>
    </row>
    <row r="70" spans="2:10" x14ac:dyDescent="0.25">
      <c r="B70">
        <v>2021</v>
      </c>
      <c r="C70">
        <f>IFERROR(VLOOKUP(B70,scholarly_works__3[],2,FALSE),0)</f>
        <v>1244</v>
      </c>
      <c r="D70">
        <f>IFERROR(VLOOKUP(B70,patent_documents[],2,FALSE),0)</f>
        <v>494</v>
      </c>
      <c r="E70">
        <f t="shared" si="2"/>
        <v>1738</v>
      </c>
      <c r="G70">
        <v>2021</v>
      </c>
      <c r="H70">
        <f>IFERROR(VLOOKUP(G70,scholarly_works__3[],2,FALSE),0)</f>
        <v>1244</v>
      </c>
      <c r="I70">
        <f>IFERROR(VLOOKUP(G70,patent_documents[],2,FALSE),0)</f>
        <v>494</v>
      </c>
      <c r="J70">
        <f t="shared" si="3"/>
        <v>1738</v>
      </c>
    </row>
    <row r="71" spans="2:10" x14ac:dyDescent="0.25">
      <c r="B71">
        <v>2022</v>
      </c>
      <c r="C71">
        <f>IFERROR(VLOOKUP(B71,scholarly_works__3[],2,FALSE),0)</f>
        <v>2081</v>
      </c>
      <c r="D71">
        <f>IFERROR(VLOOKUP(B71,patent_documents[],2,FALSE),0)</f>
        <v>739</v>
      </c>
      <c r="E71">
        <f t="shared" si="2"/>
        <v>2820</v>
      </c>
      <c r="G71">
        <v>2022</v>
      </c>
      <c r="H71">
        <f>IFERROR(VLOOKUP(G71,scholarly_works__3[],2,FALSE),0)</f>
        <v>2081</v>
      </c>
      <c r="I71">
        <f>IFERROR(VLOOKUP(G71,patent_documents[],2,FALSE),0)</f>
        <v>739</v>
      </c>
      <c r="J71">
        <f t="shared" si="3"/>
        <v>2820</v>
      </c>
    </row>
    <row r="72" spans="2:10" x14ac:dyDescent="0.25">
      <c r="B72">
        <v>2023</v>
      </c>
      <c r="C72">
        <f>IFERROR(VLOOKUP(B72,scholarly_works__3[],2,FALSE),0)</f>
        <v>2992</v>
      </c>
      <c r="D72">
        <f>IFERROR(VLOOKUP(B72,patent_documents[],2,FALSE),0)</f>
        <v>1124</v>
      </c>
      <c r="E72">
        <f t="shared" si="2"/>
        <v>4116</v>
      </c>
      <c r="G72">
        <v>2023</v>
      </c>
      <c r="H72">
        <f>IFERROR(VLOOKUP(G72,scholarly_works__3[],2,FALSE),0)</f>
        <v>2992</v>
      </c>
      <c r="I72">
        <f>IFERROR(VLOOKUP(G72,patent_documents[],2,FALSE),0)</f>
        <v>1124</v>
      </c>
      <c r="J72">
        <f t="shared" si="3"/>
        <v>4116</v>
      </c>
    </row>
    <row r="73" spans="2:10" x14ac:dyDescent="0.25">
      <c r="B73" t="s">
        <v>21</v>
      </c>
      <c r="C73">
        <f>SUM(C3:C72)</f>
        <v>9800</v>
      </c>
      <c r="D73">
        <f>SUM(D3:D72)</f>
        <v>8003</v>
      </c>
      <c r="E73">
        <f t="shared" si="2"/>
        <v>17803</v>
      </c>
      <c r="G73" t="s">
        <v>21</v>
      </c>
      <c r="H73">
        <f>SUM(H3:H72)</f>
        <v>9800</v>
      </c>
      <c r="I73">
        <f>SUM(I3:I72)</f>
        <v>8003</v>
      </c>
      <c r="J73">
        <f t="shared" si="3"/>
        <v>17803</v>
      </c>
    </row>
    <row r="74" spans="2:10" x14ac:dyDescent="0.25">
      <c r="C74">
        <v>2914</v>
      </c>
      <c r="D74">
        <v>1061</v>
      </c>
      <c r="H74">
        <v>2914</v>
      </c>
      <c r="I74">
        <v>1061</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E8D93-4F21-432F-A9FA-D019BA10144D}">
  <sheetPr>
    <pageSetUpPr fitToPage="1"/>
  </sheetPr>
  <dimension ref="B1:AM124"/>
  <sheetViews>
    <sheetView zoomScale="25" zoomScaleNormal="25" workbookViewId="0">
      <selection activeCell="AM44" sqref="AM44"/>
    </sheetView>
  </sheetViews>
  <sheetFormatPr baseColWidth="10" defaultRowHeight="15" x14ac:dyDescent="0.25"/>
  <cols>
    <col min="1" max="1" width="3.140625" customWidth="1"/>
    <col min="2" max="2" width="3.140625" style="15" customWidth="1"/>
    <col min="3" max="3" width="14.5703125" customWidth="1"/>
    <col min="4" max="4" width="7.85546875" customWidth="1"/>
    <col min="5" max="5" width="13" customWidth="1"/>
    <col min="6" max="6" width="15.5703125" customWidth="1"/>
    <col min="7" max="7" width="5.7109375" customWidth="1"/>
    <col min="8" max="8" width="9.85546875" customWidth="1"/>
    <col min="9" max="9" width="5.7109375" customWidth="1"/>
    <col min="10" max="10" width="9.7109375" customWidth="1"/>
    <col min="11" max="11" width="5.7109375" customWidth="1"/>
    <col min="12" max="12" width="12.42578125" customWidth="1"/>
    <col min="13" max="13" width="12" customWidth="1"/>
    <col min="14" max="14" width="11.5703125" customWidth="1"/>
    <col min="15" max="15" width="5.28515625" customWidth="1"/>
    <col min="16" max="16" width="9.85546875" customWidth="1"/>
    <col min="17" max="17" width="9.28515625" customWidth="1"/>
    <col min="18" max="18" width="9.5703125" customWidth="1"/>
    <col min="21" max="22" width="11.5703125" customWidth="1"/>
    <col min="28" max="28" width="11.42578125" customWidth="1"/>
    <col min="29" max="29" width="4" customWidth="1"/>
    <col min="30" max="31" width="11.5703125" customWidth="1"/>
  </cols>
  <sheetData>
    <row r="1" spans="3:36" ht="16.5" thickBot="1" x14ac:dyDescent="0.3">
      <c r="C1" s="522" t="s">
        <v>547</v>
      </c>
    </row>
    <row r="2" spans="3:36" x14ac:dyDescent="0.25">
      <c r="C2" s="1043" t="s">
        <v>845</v>
      </c>
      <c r="D2" s="1044"/>
      <c r="E2" s="1047" t="s">
        <v>521</v>
      </c>
      <c r="F2" s="1047"/>
      <c r="G2" s="1048"/>
      <c r="H2" s="1049" t="s">
        <v>847</v>
      </c>
      <c r="I2" s="1050"/>
      <c r="J2" s="1053" t="s">
        <v>848</v>
      </c>
      <c r="K2" s="1054"/>
      <c r="L2" s="1057" t="s">
        <v>546</v>
      </c>
      <c r="M2" s="1059" t="s">
        <v>545</v>
      </c>
    </row>
    <row r="3" spans="3:36" ht="15.75" thickBot="1" x14ac:dyDescent="0.3">
      <c r="C3" s="1045"/>
      <c r="D3" s="1046"/>
      <c r="E3" s="378" t="s">
        <v>413</v>
      </c>
      <c r="F3" s="1061" t="s">
        <v>414</v>
      </c>
      <c r="G3" s="1062"/>
      <c r="H3" s="1051"/>
      <c r="I3" s="1052"/>
      <c r="J3" s="1055"/>
      <c r="K3" s="1056"/>
      <c r="L3" s="1058"/>
      <c r="M3" s="1060"/>
    </row>
    <row r="4" spans="3:36" x14ac:dyDescent="0.25">
      <c r="C4" s="1065">
        <v>1</v>
      </c>
      <c r="D4" s="1066"/>
      <c r="E4" s="365" t="s">
        <v>933</v>
      </c>
      <c r="F4" s="1067" t="s">
        <v>65</v>
      </c>
      <c r="G4" s="1068"/>
      <c r="H4" s="1069" t="s">
        <v>424</v>
      </c>
      <c r="I4" s="1068"/>
      <c r="J4" s="1069" t="s">
        <v>428</v>
      </c>
      <c r="K4" s="1068"/>
      <c r="L4" s="366" t="s">
        <v>415</v>
      </c>
      <c r="M4" s="347" t="s">
        <v>417</v>
      </c>
    </row>
    <row r="5" spans="3:36" x14ac:dyDescent="0.25">
      <c r="C5" s="1063">
        <v>2</v>
      </c>
      <c r="D5" s="1064"/>
      <c r="E5" s="367" t="s">
        <v>934</v>
      </c>
      <c r="F5" s="1031" t="s">
        <v>516</v>
      </c>
      <c r="G5" s="958"/>
      <c r="H5" s="957" t="s">
        <v>425</v>
      </c>
      <c r="I5" s="958"/>
      <c r="J5" s="957" t="s">
        <v>432</v>
      </c>
      <c r="K5" s="958"/>
      <c r="L5" s="368" t="s">
        <v>416</v>
      </c>
      <c r="M5" s="330" t="s">
        <v>60</v>
      </c>
    </row>
    <row r="6" spans="3:36" x14ac:dyDescent="0.25">
      <c r="C6" s="1063">
        <v>3</v>
      </c>
      <c r="D6" s="1064"/>
      <c r="E6" s="367" t="s">
        <v>935</v>
      </c>
      <c r="F6" s="1031" t="s">
        <v>65</v>
      </c>
      <c r="G6" s="958"/>
      <c r="H6" s="957" t="s">
        <v>426</v>
      </c>
      <c r="I6" s="958"/>
      <c r="J6" s="957" t="s">
        <v>429</v>
      </c>
      <c r="K6" s="958"/>
      <c r="L6" s="368" t="s">
        <v>61</v>
      </c>
      <c r="M6" s="330" t="s">
        <v>61</v>
      </c>
    </row>
    <row r="7" spans="3:36" x14ac:dyDescent="0.25">
      <c r="C7" s="1063">
        <v>4</v>
      </c>
      <c r="D7" s="1064"/>
      <c r="E7" s="367" t="s">
        <v>936</v>
      </c>
      <c r="F7" s="1031" t="s">
        <v>65</v>
      </c>
      <c r="G7" s="958"/>
      <c r="H7" s="957" t="s">
        <v>427</v>
      </c>
      <c r="I7" s="958"/>
      <c r="J7" s="957" t="s">
        <v>431</v>
      </c>
      <c r="K7" s="958"/>
      <c r="L7" s="368" t="s">
        <v>60</v>
      </c>
      <c r="M7" s="330" t="s">
        <v>62</v>
      </c>
    </row>
    <row r="8" spans="3:36" ht="15.75" thickBot="1" x14ac:dyDescent="0.3">
      <c r="C8" s="1032">
        <v>5</v>
      </c>
      <c r="D8" s="1033"/>
      <c r="E8" s="369" t="s">
        <v>937</v>
      </c>
      <c r="F8" s="1034" t="s">
        <v>65</v>
      </c>
      <c r="G8" s="960"/>
      <c r="H8" s="959" t="s">
        <v>8</v>
      </c>
      <c r="I8" s="960"/>
      <c r="J8" s="959" t="s">
        <v>430</v>
      </c>
      <c r="K8" s="960"/>
      <c r="L8" s="370" t="s">
        <v>417</v>
      </c>
      <c r="M8" s="339" t="s">
        <v>418</v>
      </c>
    </row>
    <row r="9" spans="3:36" x14ac:dyDescent="0.25">
      <c r="C9" s="215"/>
    </row>
    <row r="10" spans="3:36" ht="16.5" thickBot="1" x14ac:dyDescent="0.3">
      <c r="C10" s="523" t="s">
        <v>548</v>
      </c>
      <c r="P10" s="216"/>
    </row>
    <row r="11" spans="3:36" ht="21" customHeight="1" thickBot="1" x14ac:dyDescent="0.3">
      <c r="C11" s="1035" t="s">
        <v>938</v>
      </c>
      <c r="D11" s="1036"/>
      <c r="E11" s="375" t="s">
        <v>413</v>
      </c>
      <c r="F11" s="524" t="s">
        <v>414</v>
      </c>
      <c r="G11" s="533" t="s">
        <v>535</v>
      </c>
      <c r="H11" s="525" t="s">
        <v>529</v>
      </c>
      <c r="I11" s="534" t="s">
        <v>536</v>
      </c>
      <c r="J11" s="526" t="s">
        <v>530</v>
      </c>
      <c r="K11" s="535" t="s">
        <v>537</v>
      </c>
      <c r="L11" s="376" t="s">
        <v>538</v>
      </c>
      <c r="M11" s="377" t="s">
        <v>539</v>
      </c>
      <c r="N11" s="742" t="s">
        <v>1192</v>
      </c>
      <c r="P11" s="326" t="s">
        <v>512</v>
      </c>
      <c r="Q11" s="326" t="s">
        <v>513</v>
      </c>
      <c r="R11" s="326" t="s">
        <v>514</v>
      </c>
      <c r="S11" s="326" t="s">
        <v>522</v>
      </c>
      <c r="U11" s="325" t="s">
        <v>520</v>
      </c>
      <c r="V11" s="328" t="s">
        <v>145</v>
      </c>
      <c r="W11" s="331" t="s">
        <v>413</v>
      </c>
      <c r="X11" s="332" t="s">
        <v>414</v>
      </c>
      <c r="Y11" s="353" t="s">
        <v>1193</v>
      </c>
      <c r="Z11" s="337" t="s">
        <v>518</v>
      </c>
      <c r="AA11" s="338" t="s">
        <v>1194</v>
      </c>
      <c r="AB11" s="354" t="s">
        <v>519</v>
      </c>
      <c r="AC11" s="341" t="s">
        <v>1195</v>
      </c>
      <c r="AD11" s="340" t="s">
        <v>1196</v>
      </c>
      <c r="AE11" s="355" t="s">
        <v>1197</v>
      </c>
      <c r="AG11" s="326" t="s">
        <v>512</v>
      </c>
      <c r="AH11" s="326" t="s">
        <v>513</v>
      </c>
      <c r="AI11" s="326" t="s">
        <v>514</v>
      </c>
      <c r="AJ11" s="326" t="s">
        <v>522</v>
      </c>
    </row>
    <row r="12" spans="3:36" ht="15" customHeight="1" thickBot="1" x14ac:dyDescent="0.3">
      <c r="C12" s="786" t="s">
        <v>423</v>
      </c>
      <c r="D12" s="1016"/>
      <c r="E12" s="1018">
        <v>1</v>
      </c>
      <c r="F12" s="1020">
        <v>0</v>
      </c>
      <c r="G12" s="1022">
        <f>IF(SUM(E12:F13)&lt;5,SUM(E12:F13),5)</f>
        <v>1</v>
      </c>
      <c r="H12" s="1024">
        <v>2236.5</v>
      </c>
      <c r="I12" s="1022">
        <v>5</v>
      </c>
      <c r="J12" s="1024">
        <v>244</v>
      </c>
      <c r="K12" s="1022">
        <v>1</v>
      </c>
      <c r="L12" s="1014">
        <v>5</v>
      </c>
      <c r="M12" s="1014">
        <v>5</v>
      </c>
      <c r="N12" s="1014">
        <f>SUM(M12,L12,K12,I12,G12)</f>
        <v>17</v>
      </c>
      <c r="P12" s="357">
        <f>$M12*$M$27+$L12*$L$27+$K12*$J$27+$I12*$H$27+$G12*$E$27</f>
        <v>3</v>
      </c>
      <c r="Q12" s="357">
        <f>$M12*$M$28+$L12*$L$28+$K12*$J$28+$I12*$H$28+$G12*$E$28</f>
        <v>3.6</v>
      </c>
      <c r="R12" s="357">
        <f>$M12*$M$29+$L12*$L$29+$K12*$J$29+$I12*$H$29+$G12*$E$29</f>
        <v>2.6</v>
      </c>
      <c r="S12" s="357">
        <f t="shared" ref="S12:S22" si="0">SUM(P12:R12)/3</f>
        <v>3.0666666666666664</v>
      </c>
      <c r="U12" s="423" t="s">
        <v>423</v>
      </c>
      <c r="V12" s="346"/>
      <c r="W12" s="705">
        <v>1</v>
      </c>
      <c r="X12" s="706">
        <v>0</v>
      </c>
      <c r="Y12" s="707">
        <v>1</v>
      </c>
      <c r="Z12" s="698">
        <v>2236.5</v>
      </c>
      <c r="AA12" s="707">
        <v>5</v>
      </c>
      <c r="AB12" s="697">
        <v>244</v>
      </c>
      <c r="AC12" s="708">
        <v>1</v>
      </c>
      <c r="AD12" s="709">
        <v>5</v>
      </c>
      <c r="AE12" s="709">
        <v>5</v>
      </c>
      <c r="AG12" s="357">
        <v>3</v>
      </c>
      <c r="AH12" s="357">
        <v>3.6</v>
      </c>
      <c r="AI12" s="357">
        <v>2.6</v>
      </c>
      <c r="AJ12" s="357">
        <v>3.0666666666666664</v>
      </c>
    </row>
    <row r="13" spans="3:36" ht="15" customHeight="1" thickBot="1" x14ac:dyDescent="0.3">
      <c r="C13" s="787" t="s">
        <v>550</v>
      </c>
      <c r="D13" s="1017"/>
      <c r="E13" s="1027"/>
      <c r="F13" s="1028"/>
      <c r="G13" s="1030"/>
      <c r="H13" s="1029"/>
      <c r="I13" s="1030"/>
      <c r="J13" s="1029"/>
      <c r="K13" s="1030"/>
      <c r="L13" s="1015"/>
      <c r="M13" s="1015"/>
      <c r="N13" s="1015"/>
      <c r="P13" s="371"/>
      <c r="Q13" s="371"/>
      <c r="R13" s="371"/>
      <c r="S13" s="371"/>
      <c r="U13" s="423" t="s">
        <v>421</v>
      </c>
      <c r="V13" s="346"/>
      <c r="W13" s="705">
        <v>2</v>
      </c>
      <c r="X13" s="706">
        <v>2</v>
      </c>
      <c r="Y13" s="707">
        <v>4</v>
      </c>
      <c r="Z13" s="698">
        <v>1257.0999999999999</v>
      </c>
      <c r="AA13" s="707">
        <v>2</v>
      </c>
      <c r="AB13" s="697">
        <v>1239</v>
      </c>
      <c r="AC13" s="708">
        <v>5</v>
      </c>
      <c r="AD13" s="709">
        <v>4</v>
      </c>
      <c r="AE13" s="709">
        <v>1</v>
      </c>
      <c r="AG13" s="357">
        <v>3.4499999999999997</v>
      </c>
      <c r="AH13" s="357">
        <v>3.3999999999999995</v>
      </c>
      <c r="AI13" s="357">
        <v>3.8000000000000003</v>
      </c>
      <c r="AJ13" s="357">
        <v>3.5500000000000003</v>
      </c>
    </row>
    <row r="14" spans="3:36" ht="15" customHeight="1" thickBot="1" x14ac:dyDescent="0.3">
      <c r="C14" s="786" t="s">
        <v>421</v>
      </c>
      <c r="D14" s="1016"/>
      <c r="E14" s="1018">
        <v>2</v>
      </c>
      <c r="F14" s="1020">
        <v>2</v>
      </c>
      <c r="G14" s="1022">
        <f t="shared" ref="G14" si="1">IF(SUM(E14:F15)&lt;5,SUM(E14:F15),5)</f>
        <v>4</v>
      </c>
      <c r="H14" s="1024">
        <v>1257.0999999999999</v>
      </c>
      <c r="I14" s="1022">
        <v>2</v>
      </c>
      <c r="J14" s="1024">
        <v>1239</v>
      </c>
      <c r="K14" s="1022">
        <v>5</v>
      </c>
      <c r="L14" s="1014">
        <v>4</v>
      </c>
      <c r="M14" s="1014">
        <v>1</v>
      </c>
      <c r="N14" s="1014">
        <f t="shared" ref="N14" si="2">SUM(M14,L14,K14,I14,G14)</f>
        <v>16</v>
      </c>
      <c r="P14" s="358">
        <f>$M14*$M$27+$L14*$L$27+$K14*$J$27+$I14*$H$27+$G14*$E$27</f>
        <v>3.4499999999999997</v>
      </c>
      <c r="Q14" s="358">
        <f>$M14*$M$28+$L14*$L$28+$K14*$J$28+$I14*$H$28+$G14*$E$28</f>
        <v>3.3999999999999995</v>
      </c>
      <c r="R14" s="358">
        <f>$M14*$M$29+$L14*$L$29+$K14*$J$29+$I14*$H$29+$G14*$E$29</f>
        <v>3.8000000000000003</v>
      </c>
      <c r="S14" s="358">
        <f t="shared" si="0"/>
        <v>3.5500000000000003</v>
      </c>
      <c r="U14" s="424" t="s">
        <v>511</v>
      </c>
      <c r="V14" s="322"/>
      <c r="W14" s="710">
        <v>4</v>
      </c>
      <c r="X14" s="711">
        <v>0</v>
      </c>
      <c r="Y14" s="707">
        <v>4</v>
      </c>
      <c r="Z14" s="713">
        <v>1171.3</v>
      </c>
      <c r="AA14" s="712">
        <v>1</v>
      </c>
      <c r="AB14" s="714">
        <v>300</v>
      </c>
      <c r="AC14" s="715">
        <v>2</v>
      </c>
      <c r="AD14" s="716">
        <v>3</v>
      </c>
      <c r="AE14" s="716">
        <v>5</v>
      </c>
      <c r="AG14" s="357">
        <v>2</v>
      </c>
      <c r="AH14" s="357">
        <v>3.05</v>
      </c>
      <c r="AI14" s="357">
        <v>2.8</v>
      </c>
      <c r="AJ14" s="357">
        <v>2.6166666666666667</v>
      </c>
    </row>
    <row r="15" spans="3:36" ht="15" customHeight="1" thickBot="1" x14ac:dyDescent="0.3">
      <c r="C15" s="787" t="s">
        <v>551</v>
      </c>
      <c r="D15" s="1017"/>
      <c r="E15" s="1027"/>
      <c r="F15" s="1028"/>
      <c r="G15" s="1023"/>
      <c r="H15" s="1029"/>
      <c r="I15" s="1030"/>
      <c r="J15" s="1029"/>
      <c r="K15" s="1030"/>
      <c r="L15" s="1015"/>
      <c r="M15" s="1015"/>
      <c r="N15" s="1015"/>
      <c r="P15" s="358"/>
      <c r="Q15" s="358"/>
      <c r="R15" s="358"/>
      <c r="S15" s="358"/>
      <c r="U15" s="424" t="s">
        <v>515</v>
      </c>
      <c r="V15" s="322"/>
      <c r="W15" s="710">
        <v>4</v>
      </c>
      <c r="X15" s="711">
        <v>2</v>
      </c>
      <c r="Y15" s="707">
        <v>5</v>
      </c>
      <c r="Z15" s="713">
        <v>1069.4000000000001</v>
      </c>
      <c r="AA15" s="712">
        <v>1</v>
      </c>
      <c r="AB15" s="714">
        <v>861</v>
      </c>
      <c r="AC15" s="715">
        <v>4</v>
      </c>
      <c r="AD15" s="716">
        <v>3</v>
      </c>
      <c r="AE15" s="716">
        <v>2</v>
      </c>
      <c r="AG15" s="357">
        <v>2.75</v>
      </c>
      <c r="AH15" s="357">
        <v>3.0999999999999996</v>
      </c>
      <c r="AI15" s="357">
        <v>3.6</v>
      </c>
      <c r="AJ15" s="357">
        <v>3.15</v>
      </c>
    </row>
    <row r="16" spans="3:36" ht="15" customHeight="1" thickBot="1" x14ac:dyDescent="0.3">
      <c r="C16" s="786" t="s">
        <v>515</v>
      </c>
      <c r="D16" s="1016"/>
      <c r="E16" s="1018">
        <v>4</v>
      </c>
      <c r="F16" s="1020">
        <v>2</v>
      </c>
      <c r="G16" s="1022">
        <f t="shared" ref="G16" si="3">IF(SUM(E16:F17)&lt;5,SUM(E16:F17),5)</f>
        <v>5</v>
      </c>
      <c r="H16" s="1024">
        <v>1069.4000000000001</v>
      </c>
      <c r="I16" s="1022">
        <v>1</v>
      </c>
      <c r="J16" s="1024">
        <v>861</v>
      </c>
      <c r="K16" s="1022">
        <v>4</v>
      </c>
      <c r="L16" s="1014">
        <v>3</v>
      </c>
      <c r="M16" s="1014">
        <v>2</v>
      </c>
      <c r="N16" s="1014">
        <f t="shared" ref="N16" si="4">SUM(M16,L16,K16,I16,G16)</f>
        <v>15</v>
      </c>
      <c r="P16" s="358">
        <f>$M16*$M$27+$L16*$L$27+$K16*$J$27+$I16*$H$27+$G16*$E$27</f>
        <v>2.75</v>
      </c>
      <c r="Q16" s="358">
        <f>$M16*$M$28+$L16*$L$28+$K16*$J$28+$I16*$H$28+$G16*$E$28</f>
        <v>3.0999999999999996</v>
      </c>
      <c r="R16" s="358">
        <f>$M16*$M$29+$L16*$L$29+$K16*$J$29+$I16*$H$29+$G16*$E$29</f>
        <v>3.6</v>
      </c>
      <c r="S16" s="358">
        <f t="shared" si="0"/>
        <v>3.15</v>
      </c>
      <c r="U16" s="424" t="s">
        <v>419</v>
      </c>
      <c r="V16" s="322"/>
      <c r="W16" s="710">
        <v>1</v>
      </c>
      <c r="X16" s="711">
        <v>2</v>
      </c>
      <c r="Y16" s="707">
        <v>3</v>
      </c>
      <c r="Z16" s="713">
        <v>1992.3</v>
      </c>
      <c r="AA16" s="712">
        <v>4</v>
      </c>
      <c r="AB16" s="714">
        <v>1040</v>
      </c>
      <c r="AC16" s="715">
        <v>5</v>
      </c>
      <c r="AD16" s="716">
        <v>1</v>
      </c>
      <c r="AE16" s="716">
        <v>4</v>
      </c>
      <c r="AG16" s="357">
        <v>4.1500000000000004</v>
      </c>
      <c r="AH16" s="357">
        <v>2.9</v>
      </c>
      <c r="AI16" s="357">
        <v>3.2</v>
      </c>
      <c r="AJ16" s="357">
        <v>3.4166666666666665</v>
      </c>
    </row>
    <row r="17" spans="2:37" ht="15" customHeight="1" thickBot="1" x14ac:dyDescent="0.3">
      <c r="C17" s="787" t="s">
        <v>552</v>
      </c>
      <c r="D17" s="1017"/>
      <c r="E17" s="1027"/>
      <c r="F17" s="1028"/>
      <c r="G17" s="1023"/>
      <c r="H17" s="1029"/>
      <c r="I17" s="1030"/>
      <c r="J17" s="1029"/>
      <c r="K17" s="1030"/>
      <c r="L17" s="1015"/>
      <c r="M17" s="1015"/>
      <c r="N17" s="1015"/>
      <c r="P17" s="358"/>
      <c r="Q17" s="358"/>
      <c r="R17" s="358"/>
      <c r="S17" s="358"/>
      <c r="U17" s="425" t="s">
        <v>420</v>
      </c>
      <c r="V17" s="319"/>
      <c r="W17" s="717">
        <v>3</v>
      </c>
      <c r="X17" s="718">
        <v>0</v>
      </c>
      <c r="Y17" s="719">
        <v>3</v>
      </c>
      <c r="Z17" s="720">
        <v>1853.1</v>
      </c>
      <c r="AA17" s="719">
        <v>4</v>
      </c>
      <c r="AB17" s="721">
        <v>114</v>
      </c>
      <c r="AC17" s="722">
        <v>1</v>
      </c>
      <c r="AD17" s="723">
        <v>2</v>
      </c>
      <c r="AE17" s="723">
        <v>4</v>
      </c>
      <c r="AG17" s="357">
        <v>2.6000000000000005</v>
      </c>
      <c r="AH17" s="357">
        <v>2.65</v>
      </c>
      <c r="AI17" s="357">
        <v>2.6000000000000005</v>
      </c>
      <c r="AJ17" s="357">
        <v>2.6166666666666667</v>
      </c>
    </row>
    <row r="18" spans="2:37" ht="15" customHeight="1" x14ac:dyDescent="0.25">
      <c r="C18" s="786" t="s">
        <v>511</v>
      </c>
      <c r="D18" s="1016"/>
      <c r="E18" s="1018">
        <v>4</v>
      </c>
      <c r="F18" s="1020">
        <v>0</v>
      </c>
      <c r="G18" s="1022">
        <f t="shared" ref="G18" si="5">IF(SUM(E18:F19)&lt;5,SUM(E18:F19),5)</f>
        <v>4</v>
      </c>
      <c r="H18" s="1024">
        <v>1171.3</v>
      </c>
      <c r="I18" s="1022">
        <v>1</v>
      </c>
      <c r="J18" s="1024">
        <v>300</v>
      </c>
      <c r="K18" s="1022">
        <v>2</v>
      </c>
      <c r="L18" s="1014">
        <v>3</v>
      </c>
      <c r="M18" s="1014">
        <v>5</v>
      </c>
      <c r="N18" s="1014">
        <f t="shared" ref="N18" si="6">SUM(M18,L18,K18,I18,G18)</f>
        <v>15</v>
      </c>
      <c r="P18" s="358">
        <f>$M18*$M$27+$L18*$L$27+$K18*$J$27+$I18*$H$27+$G18*$E$27</f>
        <v>2</v>
      </c>
      <c r="Q18" s="358">
        <f>$M18*$M$28+$L18*$L$28+$K18*$J$28+$I18*$H$28+$G18*$E$28</f>
        <v>3.05</v>
      </c>
      <c r="R18" s="358">
        <f>$M18*$M$29+$L18*$L$29+$K18*$J$29+$I18*$H$29+$G18*$E$29</f>
        <v>2.8</v>
      </c>
      <c r="S18" s="358">
        <f t="shared" si="0"/>
        <v>2.6166666666666667</v>
      </c>
    </row>
    <row r="19" spans="2:37" ht="15" customHeight="1" thickBot="1" x14ac:dyDescent="0.3">
      <c r="C19" s="787" t="s">
        <v>553</v>
      </c>
      <c r="D19" s="1017"/>
      <c r="E19" s="1027"/>
      <c r="F19" s="1028"/>
      <c r="G19" s="1023"/>
      <c r="H19" s="1029"/>
      <c r="I19" s="1030"/>
      <c r="J19" s="1029"/>
      <c r="K19" s="1030"/>
      <c r="L19" s="1015"/>
      <c r="M19" s="1015"/>
      <c r="N19" s="1015"/>
      <c r="P19" s="358"/>
      <c r="Q19" s="358"/>
      <c r="R19" s="358"/>
      <c r="S19" s="358"/>
    </row>
    <row r="20" spans="2:37" ht="15" customHeight="1" x14ac:dyDescent="0.25">
      <c r="C20" s="786" t="s">
        <v>420</v>
      </c>
      <c r="D20" s="1016"/>
      <c r="E20" s="1018">
        <v>3</v>
      </c>
      <c r="F20" s="1020">
        <v>0</v>
      </c>
      <c r="G20" s="1022">
        <f t="shared" ref="G20" si="7">IF(SUM(E20:F21)&lt;5,SUM(E20:F21),5)</f>
        <v>3</v>
      </c>
      <c r="H20" s="1024">
        <v>1853.1</v>
      </c>
      <c r="I20" s="1022">
        <v>4</v>
      </c>
      <c r="J20" s="1024">
        <v>114</v>
      </c>
      <c r="K20" s="1022">
        <v>1</v>
      </c>
      <c r="L20" s="1014">
        <v>2</v>
      </c>
      <c r="M20" s="1014">
        <v>4</v>
      </c>
      <c r="N20" s="1014">
        <f t="shared" ref="N20" si="8">SUM(M20,L20,K20,I20,G20)</f>
        <v>14</v>
      </c>
      <c r="P20" s="358">
        <f>$M20*$M$27+$L20*$L$27+$K20*$J$27+$I20*$H$27+$G20*$E$27</f>
        <v>2.6000000000000005</v>
      </c>
      <c r="Q20" s="358">
        <f>$M20*$M$28+$L20*$L$28+$K20*$J$28+$I20*$H$28+$G20*$E$28</f>
        <v>2.65</v>
      </c>
      <c r="R20" s="358">
        <f>$M20*$M$29+$L20*$L$29+$K20*$J$29+$I20*$H$29+$G20*$E$29</f>
        <v>2.6000000000000005</v>
      </c>
      <c r="S20" s="358">
        <f t="shared" si="0"/>
        <v>2.6166666666666667</v>
      </c>
    </row>
    <row r="21" spans="2:37" ht="15" customHeight="1" thickBot="1" x14ac:dyDescent="0.3">
      <c r="C21" s="787" t="s">
        <v>553</v>
      </c>
      <c r="D21" s="1017"/>
      <c r="E21" s="1027"/>
      <c r="F21" s="1028"/>
      <c r="G21" s="1023"/>
      <c r="H21" s="1029"/>
      <c r="I21" s="1030"/>
      <c r="J21" s="1029"/>
      <c r="K21" s="1030"/>
      <c r="L21" s="1015"/>
      <c r="M21" s="1015"/>
      <c r="N21" s="1015"/>
      <c r="P21" s="372"/>
      <c r="Q21" s="372"/>
      <c r="R21" s="372"/>
      <c r="S21" s="372"/>
    </row>
    <row r="22" spans="2:37" ht="15" customHeight="1" thickBot="1" x14ac:dyDescent="0.3">
      <c r="C22" s="786" t="s">
        <v>419</v>
      </c>
      <c r="D22" s="1016"/>
      <c r="E22" s="1018">
        <v>1</v>
      </c>
      <c r="F22" s="1020">
        <v>2</v>
      </c>
      <c r="G22" s="1022">
        <f t="shared" ref="G22" si="9">IF(SUM(E22:F23)&lt;5,SUM(E22:F23),5)</f>
        <v>3</v>
      </c>
      <c r="H22" s="1024">
        <v>1992.3</v>
      </c>
      <c r="I22" s="1022">
        <v>4</v>
      </c>
      <c r="J22" s="1024">
        <v>1040</v>
      </c>
      <c r="K22" s="1022">
        <v>5</v>
      </c>
      <c r="L22" s="1014">
        <v>1</v>
      </c>
      <c r="M22" s="1014">
        <v>4</v>
      </c>
      <c r="N22" s="1014">
        <f t="shared" ref="N22" si="10">SUM(M22,L22,K22,I22,G22)</f>
        <v>17</v>
      </c>
      <c r="P22" s="359">
        <f>$M22*$M$27+$L22*$L$27+$K22*$J$27+$I22*$H$27+$G22*$E$27</f>
        <v>4.1500000000000004</v>
      </c>
      <c r="Q22" s="359">
        <f>$M22*$M$28+$L22*$L$28+$K22*$J$28+$I22*$H$28+$G22*$E$28</f>
        <v>2.9</v>
      </c>
      <c r="R22" s="359">
        <f>$M22*$M$29+$L22*$L$29+$K22*$J$29+$I22*$H$29+$G22*$E$29</f>
        <v>3.2</v>
      </c>
      <c r="S22" s="359">
        <f t="shared" si="0"/>
        <v>3.4166666666666665</v>
      </c>
    </row>
    <row r="23" spans="2:37" ht="15" customHeight="1" thickBot="1" x14ac:dyDescent="0.3">
      <c r="C23" s="787" t="s">
        <v>551</v>
      </c>
      <c r="D23" s="1017"/>
      <c r="E23" s="1019"/>
      <c r="F23" s="1021"/>
      <c r="G23" s="1023"/>
      <c r="H23" s="1025"/>
      <c r="I23" s="1023"/>
      <c r="J23" s="1025"/>
      <c r="K23" s="1023"/>
      <c r="L23" s="1026"/>
      <c r="M23" s="1026"/>
      <c r="N23" s="1026"/>
      <c r="P23" s="373"/>
      <c r="Q23" s="373"/>
      <c r="R23" s="373"/>
      <c r="S23" s="373"/>
    </row>
    <row r="24" spans="2:37" ht="15" customHeight="1" x14ac:dyDescent="0.25">
      <c r="B24" s="380"/>
      <c r="C24" s="521"/>
      <c r="D24" s="373"/>
      <c r="E24" s="373"/>
      <c r="F24" s="373"/>
      <c r="G24" s="373"/>
      <c r="H24" s="373"/>
      <c r="I24" s="373"/>
      <c r="J24" s="373"/>
      <c r="K24" s="373"/>
      <c r="L24" s="373"/>
      <c r="M24" s="373"/>
      <c r="N24" s="373"/>
      <c r="O24" s="373"/>
      <c r="P24" s="373"/>
      <c r="Q24" s="373"/>
      <c r="R24" s="373"/>
      <c r="S24" s="373"/>
    </row>
    <row r="25" spans="2:37" ht="16.5" thickBot="1" x14ac:dyDescent="0.3">
      <c r="C25" s="522" t="s">
        <v>549</v>
      </c>
      <c r="D25" s="216"/>
      <c r="E25" s="216"/>
      <c r="F25" s="216"/>
      <c r="G25" s="216"/>
      <c r="H25" s="216"/>
      <c r="I25" s="216"/>
      <c r="J25" s="216"/>
      <c r="K25" s="216"/>
      <c r="L25" s="216"/>
      <c r="M25" s="216"/>
      <c r="N25" s="216"/>
      <c r="O25" s="216"/>
      <c r="P25" s="216"/>
    </row>
    <row r="26" spans="2:37" ht="18" thickBot="1" x14ac:dyDescent="0.35">
      <c r="C26" s="981" t="s">
        <v>846</v>
      </c>
      <c r="D26" s="982"/>
      <c r="E26" s="983" t="s">
        <v>540</v>
      </c>
      <c r="F26" s="984"/>
      <c r="G26" s="985"/>
      <c r="H26" s="986" t="s">
        <v>541</v>
      </c>
      <c r="I26" s="987"/>
      <c r="J26" s="988" t="s">
        <v>542</v>
      </c>
      <c r="K26" s="989"/>
      <c r="L26" s="363" t="s">
        <v>543</v>
      </c>
      <c r="M26" s="364" t="s">
        <v>544</v>
      </c>
      <c r="P26" s="216"/>
    </row>
    <row r="27" spans="2:37" ht="19.5" customHeight="1" x14ac:dyDescent="0.25">
      <c r="C27" s="998" t="s">
        <v>532</v>
      </c>
      <c r="D27" s="999"/>
      <c r="E27" s="1000">
        <v>0.1</v>
      </c>
      <c r="F27" s="1000"/>
      <c r="G27" s="1001"/>
      <c r="H27" s="1002">
        <v>0.4</v>
      </c>
      <c r="I27" s="1003"/>
      <c r="J27" s="1004">
        <v>0.4</v>
      </c>
      <c r="K27" s="1005"/>
      <c r="L27" s="699">
        <v>0.05</v>
      </c>
      <c r="M27" s="700">
        <v>0.05</v>
      </c>
      <c r="P27" s="216"/>
    </row>
    <row r="28" spans="2:37" ht="19.5" customHeight="1" x14ac:dyDescent="0.25">
      <c r="C28" s="1006" t="s">
        <v>533</v>
      </c>
      <c r="D28" s="1007"/>
      <c r="E28" s="1008">
        <v>0.2</v>
      </c>
      <c r="F28" s="1008"/>
      <c r="G28" s="1009"/>
      <c r="H28" s="1010">
        <v>0.15</v>
      </c>
      <c r="I28" s="1011"/>
      <c r="J28" s="1012">
        <v>0.15</v>
      </c>
      <c r="K28" s="1013"/>
      <c r="L28" s="701">
        <v>0.35</v>
      </c>
      <c r="M28" s="702">
        <v>0.15</v>
      </c>
      <c r="P28" s="216"/>
    </row>
    <row r="29" spans="2:37" ht="18.75" customHeight="1" thickBot="1" x14ac:dyDescent="0.3">
      <c r="C29" s="990" t="s">
        <v>534</v>
      </c>
      <c r="D29" s="991"/>
      <c r="E29" s="992">
        <v>0.4</v>
      </c>
      <c r="F29" s="992"/>
      <c r="G29" s="993"/>
      <c r="H29" s="994">
        <v>0.2</v>
      </c>
      <c r="I29" s="995"/>
      <c r="J29" s="996">
        <v>0.2</v>
      </c>
      <c r="K29" s="997"/>
      <c r="L29" s="703">
        <v>0.2</v>
      </c>
      <c r="M29" s="704">
        <v>0</v>
      </c>
      <c r="P29" s="216"/>
    </row>
    <row r="30" spans="2:37" ht="15.75" thickBot="1" x14ac:dyDescent="0.3">
      <c r="D30" s="329"/>
      <c r="E30" s="356"/>
      <c r="F30" s="356"/>
      <c r="G30" s="356"/>
      <c r="H30" s="356"/>
      <c r="I30" s="356"/>
      <c r="J30" s="356"/>
      <c r="K30" s="356"/>
      <c r="L30" s="356"/>
      <c r="M30" s="356"/>
      <c r="P30" s="216"/>
    </row>
    <row r="31" spans="2:37" ht="22.5" thickBot="1" x14ac:dyDescent="0.45">
      <c r="U31" s="799" t="s">
        <v>65</v>
      </c>
      <c r="AD31" s="799" t="s">
        <v>1263</v>
      </c>
      <c r="AK31" s="426"/>
    </row>
    <row r="32" spans="2:37" ht="20.100000000000001" customHeight="1" x14ac:dyDescent="0.3">
      <c r="U32" s="798"/>
      <c r="V32" s="789" t="s">
        <v>1234</v>
      </c>
      <c r="W32" s="1072" t="s">
        <v>535</v>
      </c>
      <c r="X32" s="1080" t="s">
        <v>536</v>
      </c>
      <c r="Y32" s="1078" t="s">
        <v>537</v>
      </c>
      <c r="Z32" s="1076" t="s">
        <v>538</v>
      </c>
      <c r="AA32" s="1074" t="s">
        <v>539</v>
      </c>
      <c r="AB32" s="1070" t="s">
        <v>1192</v>
      </c>
      <c r="AD32" s="798"/>
      <c r="AE32" s="789" t="s">
        <v>1234</v>
      </c>
      <c r="AF32" s="800">
        <f>E27</f>
        <v>0.1</v>
      </c>
      <c r="AG32" s="801">
        <f>H27</f>
        <v>0.4</v>
      </c>
      <c r="AH32" s="802">
        <f>J27</f>
        <v>0.4</v>
      </c>
      <c r="AI32" s="803">
        <f>L27</f>
        <v>0.05</v>
      </c>
      <c r="AJ32" s="804">
        <f>M27</f>
        <v>0.05</v>
      </c>
      <c r="AK32" s="1070" t="s">
        <v>1192</v>
      </c>
    </row>
    <row r="33" spans="3:39" ht="20.100000000000001" customHeight="1" thickBot="1" x14ac:dyDescent="0.3">
      <c r="U33" s="790" t="s">
        <v>1191</v>
      </c>
      <c r="V33" s="788"/>
      <c r="W33" s="1073"/>
      <c r="X33" s="1081"/>
      <c r="Y33" s="1079"/>
      <c r="Z33" s="1077"/>
      <c r="AA33" s="1075"/>
      <c r="AB33" s="1071"/>
      <c r="AD33" s="790" t="s">
        <v>1191</v>
      </c>
      <c r="AE33" s="788"/>
      <c r="AF33" s="793" t="s">
        <v>535</v>
      </c>
      <c r="AG33" s="794" t="s">
        <v>536</v>
      </c>
      <c r="AH33" s="795" t="s">
        <v>537</v>
      </c>
      <c r="AI33" s="796" t="s">
        <v>538</v>
      </c>
      <c r="AJ33" s="797" t="s">
        <v>539</v>
      </c>
      <c r="AK33" s="1071"/>
    </row>
    <row r="34" spans="3:39" ht="30" customHeight="1" x14ac:dyDescent="0.25">
      <c r="C34" s="972"/>
      <c r="D34" s="973"/>
      <c r="E34" s="973"/>
      <c r="F34" s="973"/>
      <c r="G34" s="973"/>
      <c r="H34" s="973"/>
      <c r="I34" s="973"/>
      <c r="J34" s="973"/>
      <c r="K34" s="973"/>
      <c r="L34" s="973"/>
      <c r="M34" s="974"/>
      <c r="U34" s="1039" t="s">
        <v>423</v>
      </c>
      <c r="V34" s="1040"/>
      <c r="W34" s="736">
        <f>G12</f>
        <v>1</v>
      </c>
      <c r="X34" s="737">
        <f>I12</f>
        <v>5</v>
      </c>
      <c r="Y34" s="737">
        <f>K12</f>
        <v>1</v>
      </c>
      <c r="Z34" s="791">
        <f>L12</f>
        <v>5</v>
      </c>
      <c r="AA34" s="792">
        <f>M12</f>
        <v>5</v>
      </c>
      <c r="AB34" s="735">
        <f>SUM(W34:AA34)</f>
        <v>17</v>
      </c>
      <c r="AD34" s="1039" t="s">
        <v>423</v>
      </c>
      <c r="AE34" s="1040"/>
      <c r="AF34" s="736">
        <f>W34*$E$27</f>
        <v>0.1</v>
      </c>
      <c r="AG34" s="737">
        <f>X34*$H$27</f>
        <v>2</v>
      </c>
      <c r="AH34" s="737">
        <f>Y34*$J$27</f>
        <v>0.4</v>
      </c>
      <c r="AI34" s="737">
        <f>Z34*$L$27</f>
        <v>0.25</v>
      </c>
      <c r="AJ34" s="738">
        <f>AA34*$M$27</f>
        <v>0.25</v>
      </c>
      <c r="AK34" s="748">
        <f>SUM(AF34:AJ34)</f>
        <v>3</v>
      </c>
      <c r="AL34" s="156"/>
    </row>
    <row r="35" spans="3:39" ht="30" customHeight="1" x14ac:dyDescent="0.25">
      <c r="C35" s="975"/>
      <c r="D35" s="976"/>
      <c r="E35" s="976"/>
      <c r="F35" s="976"/>
      <c r="G35" s="976"/>
      <c r="H35" s="976"/>
      <c r="I35" s="976"/>
      <c r="J35" s="976"/>
      <c r="K35" s="976"/>
      <c r="L35" s="976"/>
      <c r="M35" s="977"/>
      <c r="U35" s="1037" t="s">
        <v>421</v>
      </c>
      <c r="V35" s="1038"/>
      <c r="W35" s="697">
        <f>G14</f>
        <v>4</v>
      </c>
      <c r="X35" s="727">
        <f>I14</f>
        <v>2</v>
      </c>
      <c r="Y35" s="727">
        <f>K14</f>
        <v>5</v>
      </c>
      <c r="Z35" s="728">
        <f>L14</f>
        <v>4</v>
      </c>
      <c r="AA35" s="729">
        <f>M14</f>
        <v>1</v>
      </c>
      <c r="AB35" s="746">
        <f t="shared" ref="AB35:AB39" si="11">SUM(W35:AA35)</f>
        <v>16</v>
      </c>
      <c r="AD35" s="1037" t="s">
        <v>421</v>
      </c>
      <c r="AE35" s="1038"/>
      <c r="AF35" s="714">
        <f t="shared" ref="AF35:AF39" si="12">W35*$E$27</f>
        <v>0.4</v>
      </c>
      <c r="AG35" s="727">
        <f t="shared" ref="AG35:AG39" si="13">X35*$H$27</f>
        <v>0.8</v>
      </c>
      <c r="AH35" s="727">
        <f t="shared" ref="AH35:AH39" si="14">Y35*$J$27</f>
        <v>2</v>
      </c>
      <c r="AI35" s="727">
        <f>Z35*$L$27</f>
        <v>0.2</v>
      </c>
      <c r="AJ35" s="712">
        <f t="shared" ref="AJ35:AJ39" si="15">AA35*$M$27</f>
        <v>0.05</v>
      </c>
      <c r="AK35" s="744">
        <f t="shared" ref="AK35:AK39" si="16">SUM(AF35:AJ35)</f>
        <v>3.45</v>
      </c>
      <c r="AL35" s="156"/>
    </row>
    <row r="36" spans="3:39" ht="30" customHeight="1" x14ac:dyDescent="0.25">
      <c r="C36" s="975"/>
      <c r="D36" s="976"/>
      <c r="E36" s="976"/>
      <c r="F36" s="976"/>
      <c r="G36" s="976"/>
      <c r="H36" s="976"/>
      <c r="I36" s="976"/>
      <c r="J36" s="976"/>
      <c r="K36" s="976"/>
      <c r="L36" s="976"/>
      <c r="M36" s="977"/>
      <c r="U36" s="1037" t="s">
        <v>515</v>
      </c>
      <c r="V36" s="1038"/>
      <c r="W36" s="697">
        <f>G16</f>
        <v>5</v>
      </c>
      <c r="X36" s="727">
        <f>I16</f>
        <v>1</v>
      </c>
      <c r="Y36" s="727">
        <f>K16</f>
        <v>4</v>
      </c>
      <c r="Z36" s="728">
        <f>L16</f>
        <v>3</v>
      </c>
      <c r="AA36" s="729">
        <f>M16</f>
        <v>2</v>
      </c>
      <c r="AB36" s="746">
        <f t="shared" si="11"/>
        <v>15</v>
      </c>
      <c r="AD36" s="1037" t="s">
        <v>515</v>
      </c>
      <c r="AE36" s="1038"/>
      <c r="AF36" s="714">
        <f t="shared" si="12"/>
        <v>0.5</v>
      </c>
      <c r="AG36" s="727">
        <f t="shared" si="13"/>
        <v>0.4</v>
      </c>
      <c r="AH36" s="727">
        <f t="shared" si="14"/>
        <v>1.6</v>
      </c>
      <c r="AI36" s="727">
        <f t="shared" ref="AI36:AI39" si="17">Z36*$L$27</f>
        <v>0.15000000000000002</v>
      </c>
      <c r="AJ36" s="712">
        <f t="shared" si="15"/>
        <v>0.1</v>
      </c>
      <c r="AK36" s="744">
        <f t="shared" si="16"/>
        <v>2.75</v>
      </c>
      <c r="AL36" s="156"/>
    </row>
    <row r="37" spans="3:39" ht="30" customHeight="1" x14ac:dyDescent="0.25">
      <c r="C37" s="975"/>
      <c r="D37" s="976"/>
      <c r="E37" s="976"/>
      <c r="F37" s="976"/>
      <c r="G37" s="976"/>
      <c r="H37" s="976"/>
      <c r="I37" s="976"/>
      <c r="J37" s="976"/>
      <c r="K37" s="976"/>
      <c r="L37" s="976"/>
      <c r="M37" s="977"/>
      <c r="U37" s="1037" t="s">
        <v>511</v>
      </c>
      <c r="V37" s="1038"/>
      <c r="W37" s="697">
        <f>G18</f>
        <v>4</v>
      </c>
      <c r="X37" s="727">
        <f>I18</f>
        <v>1</v>
      </c>
      <c r="Y37" s="727">
        <f>K18</f>
        <v>2</v>
      </c>
      <c r="Z37" s="728">
        <f>L18</f>
        <v>3</v>
      </c>
      <c r="AA37" s="729">
        <f>M18</f>
        <v>5</v>
      </c>
      <c r="AB37" s="746">
        <f t="shared" si="11"/>
        <v>15</v>
      </c>
      <c r="AD37" s="1037" t="s">
        <v>511</v>
      </c>
      <c r="AE37" s="1038"/>
      <c r="AF37" s="714">
        <f t="shared" si="12"/>
        <v>0.4</v>
      </c>
      <c r="AG37" s="727">
        <f t="shared" si="13"/>
        <v>0.4</v>
      </c>
      <c r="AH37" s="727">
        <f t="shared" si="14"/>
        <v>0.8</v>
      </c>
      <c r="AI37" s="727">
        <f t="shared" si="17"/>
        <v>0.15000000000000002</v>
      </c>
      <c r="AJ37" s="712">
        <f t="shared" si="15"/>
        <v>0.25</v>
      </c>
      <c r="AK37" s="744">
        <f t="shared" si="16"/>
        <v>2</v>
      </c>
      <c r="AL37" s="156"/>
    </row>
    <row r="38" spans="3:39" ht="30" customHeight="1" x14ac:dyDescent="0.25">
      <c r="C38" s="975"/>
      <c r="D38" s="976"/>
      <c r="E38" s="976"/>
      <c r="F38" s="976"/>
      <c r="G38" s="976"/>
      <c r="H38" s="976"/>
      <c r="I38" s="976"/>
      <c r="J38" s="976"/>
      <c r="K38" s="976"/>
      <c r="L38" s="976"/>
      <c r="M38" s="977"/>
      <c r="U38" s="1037" t="s">
        <v>420</v>
      </c>
      <c r="V38" s="1038"/>
      <c r="W38" s="697">
        <f>G20</f>
        <v>3</v>
      </c>
      <c r="X38" s="727">
        <f>I20</f>
        <v>4</v>
      </c>
      <c r="Y38" s="727">
        <f>K20</f>
        <v>1</v>
      </c>
      <c r="Z38" s="728">
        <f>L20</f>
        <v>2</v>
      </c>
      <c r="AA38" s="729">
        <f>M20</f>
        <v>4</v>
      </c>
      <c r="AB38" s="746">
        <f t="shared" si="11"/>
        <v>14</v>
      </c>
      <c r="AD38" s="1037" t="s">
        <v>420</v>
      </c>
      <c r="AE38" s="1038"/>
      <c r="AF38" s="714">
        <f t="shared" si="12"/>
        <v>0.30000000000000004</v>
      </c>
      <c r="AG38" s="727">
        <f t="shared" si="13"/>
        <v>1.6</v>
      </c>
      <c r="AH38" s="727">
        <f t="shared" si="14"/>
        <v>0.4</v>
      </c>
      <c r="AI38" s="727">
        <f t="shared" si="17"/>
        <v>0.1</v>
      </c>
      <c r="AJ38" s="712">
        <f t="shared" si="15"/>
        <v>0.2</v>
      </c>
      <c r="AK38" s="744">
        <f t="shared" si="16"/>
        <v>2.6000000000000005</v>
      </c>
      <c r="AL38" s="156"/>
    </row>
    <row r="39" spans="3:39" ht="30" customHeight="1" thickBot="1" x14ac:dyDescent="0.3">
      <c r="C39" s="975"/>
      <c r="D39" s="976"/>
      <c r="E39" s="976"/>
      <c r="F39" s="976"/>
      <c r="G39" s="976"/>
      <c r="H39" s="976"/>
      <c r="I39" s="976"/>
      <c r="J39" s="976"/>
      <c r="K39" s="976"/>
      <c r="L39" s="976"/>
      <c r="M39" s="977"/>
      <c r="U39" s="1041" t="s">
        <v>419</v>
      </c>
      <c r="V39" s="1042"/>
      <c r="W39" s="749">
        <f>G22</f>
        <v>3</v>
      </c>
      <c r="X39" s="730">
        <f>I22</f>
        <v>4</v>
      </c>
      <c r="Y39" s="730">
        <f>K22</f>
        <v>5</v>
      </c>
      <c r="Z39" s="731">
        <f>L22</f>
        <v>1</v>
      </c>
      <c r="AA39" s="732">
        <f>M22</f>
        <v>4</v>
      </c>
      <c r="AB39" s="747">
        <f t="shared" si="11"/>
        <v>17</v>
      </c>
      <c r="AD39" s="1041" t="s">
        <v>419</v>
      </c>
      <c r="AE39" s="1042"/>
      <c r="AF39" s="721">
        <f t="shared" si="12"/>
        <v>0.30000000000000004</v>
      </c>
      <c r="AG39" s="730">
        <f t="shared" si="13"/>
        <v>1.6</v>
      </c>
      <c r="AH39" s="730">
        <f t="shared" si="14"/>
        <v>2</v>
      </c>
      <c r="AI39" s="730">
        <f t="shared" si="17"/>
        <v>0.05</v>
      </c>
      <c r="AJ39" s="719">
        <f t="shared" si="15"/>
        <v>0.2</v>
      </c>
      <c r="AK39" s="745">
        <f t="shared" si="16"/>
        <v>4.1500000000000004</v>
      </c>
      <c r="AL39" s="156"/>
    </row>
    <row r="40" spans="3:39" ht="11.25" customHeight="1" thickBot="1" x14ac:dyDescent="0.3">
      <c r="C40" s="975"/>
      <c r="D40" s="976"/>
      <c r="E40" s="976"/>
      <c r="F40" s="976"/>
      <c r="G40" s="976"/>
      <c r="H40" s="976"/>
      <c r="I40" s="976"/>
      <c r="J40" s="976"/>
      <c r="K40" s="976"/>
      <c r="L40" s="976"/>
      <c r="M40" s="977"/>
      <c r="P40" s="373"/>
      <c r="Q40" s="373"/>
      <c r="R40" s="373"/>
      <c r="S40" s="373"/>
      <c r="U40" s="521"/>
      <c r="W40" s="733"/>
      <c r="X40" s="733"/>
      <c r="Y40" s="733"/>
      <c r="Z40" s="734"/>
      <c r="AA40" s="734"/>
      <c r="AD40" s="521"/>
      <c r="AF40" s="733"/>
      <c r="AG40" s="733"/>
      <c r="AH40" s="733"/>
      <c r="AI40" s="734"/>
      <c r="AJ40" s="734"/>
    </row>
    <row r="41" spans="3:39" ht="23.25" customHeight="1" thickBot="1" x14ac:dyDescent="0.45">
      <c r="C41" s="975"/>
      <c r="D41" s="976"/>
      <c r="E41" s="976"/>
      <c r="F41" s="976"/>
      <c r="G41" s="976"/>
      <c r="H41" s="976"/>
      <c r="I41" s="976"/>
      <c r="J41" s="976"/>
      <c r="K41" s="976"/>
      <c r="L41" s="976"/>
      <c r="M41" s="977"/>
      <c r="U41" s="799" t="s">
        <v>1264</v>
      </c>
      <c r="W41" s="520"/>
      <c r="X41" s="520"/>
      <c r="Y41" s="520"/>
      <c r="Z41" s="520"/>
      <c r="AA41" s="520"/>
      <c r="AB41" s="426"/>
      <c r="AD41" s="799" t="s">
        <v>1265</v>
      </c>
      <c r="AF41" s="520"/>
      <c r="AG41" s="520"/>
      <c r="AH41" s="520"/>
      <c r="AI41" s="520"/>
      <c r="AJ41" s="520"/>
      <c r="AK41" s="426"/>
    </row>
    <row r="42" spans="3:39" ht="20.100000000000001" customHeight="1" x14ac:dyDescent="0.3">
      <c r="C42" s="975"/>
      <c r="D42" s="976"/>
      <c r="E42" s="976"/>
      <c r="F42" s="976"/>
      <c r="G42" s="976"/>
      <c r="H42" s="976"/>
      <c r="I42" s="976"/>
      <c r="J42" s="976"/>
      <c r="K42" s="976"/>
      <c r="L42" s="976"/>
      <c r="M42" s="977"/>
      <c r="U42" s="798"/>
      <c r="V42" s="789" t="s">
        <v>1234</v>
      </c>
      <c r="W42" s="800">
        <f>E28</f>
        <v>0.2</v>
      </c>
      <c r="X42" s="801">
        <f>H28</f>
        <v>0.15</v>
      </c>
      <c r="Y42" s="802">
        <v>0.15</v>
      </c>
      <c r="Z42" s="803">
        <f>L28</f>
        <v>0.35</v>
      </c>
      <c r="AA42" s="804">
        <f>M28</f>
        <v>0.15</v>
      </c>
      <c r="AB42" s="1070" t="s">
        <v>1192</v>
      </c>
      <c r="AD42" s="798"/>
      <c r="AE42" s="789" t="s">
        <v>1234</v>
      </c>
      <c r="AF42" s="800">
        <f>E29</f>
        <v>0.4</v>
      </c>
      <c r="AG42" s="801">
        <f>H29</f>
        <v>0.2</v>
      </c>
      <c r="AH42" s="802">
        <f>J29</f>
        <v>0.2</v>
      </c>
      <c r="AI42" s="803">
        <f>L29</f>
        <v>0.2</v>
      </c>
      <c r="AJ42" s="804">
        <f>M29</f>
        <v>0</v>
      </c>
      <c r="AK42" s="1070" t="s">
        <v>1192</v>
      </c>
    </row>
    <row r="43" spans="3:39" ht="20.100000000000001" customHeight="1" thickBot="1" x14ac:dyDescent="0.3">
      <c r="C43" s="975"/>
      <c r="D43" s="976"/>
      <c r="E43" s="976"/>
      <c r="F43" s="976"/>
      <c r="G43" s="976"/>
      <c r="H43" s="976"/>
      <c r="I43" s="976"/>
      <c r="J43" s="976"/>
      <c r="K43" s="976"/>
      <c r="L43" s="976"/>
      <c r="M43" s="977"/>
      <c r="U43" s="790" t="s">
        <v>1191</v>
      </c>
      <c r="V43" s="788"/>
      <c r="W43" s="793" t="s">
        <v>535</v>
      </c>
      <c r="X43" s="794" t="s">
        <v>536</v>
      </c>
      <c r="Y43" s="795" t="s">
        <v>537</v>
      </c>
      <c r="Z43" s="796" t="s">
        <v>538</v>
      </c>
      <c r="AA43" s="797" t="s">
        <v>539</v>
      </c>
      <c r="AB43" s="1071"/>
      <c r="AD43" s="790" t="s">
        <v>1191</v>
      </c>
      <c r="AE43" s="788"/>
      <c r="AF43" s="793" t="s">
        <v>535</v>
      </c>
      <c r="AG43" s="794" t="s">
        <v>536</v>
      </c>
      <c r="AH43" s="795" t="s">
        <v>537</v>
      </c>
      <c r="AI43" s="796" t="s">
        <v>538</v>
      </c>
      <c r="AJ43" s="797" t="s">
        <v>539</v>
      </c>
      <c r="AK43" s="1071"/>
      <c r="AM43" t="s">
        <v>1198</v>
      </c>
    </row>
    <row r="44" spans="3:39" ht="30" customHeight="1" x14ac:dyDescent="0.25">
      <c r="C44" s="975"/>
      <c r="D44" s="976"/>
      <c r="E44" s="976"/>
      <c r="F44" s="976"/>
      <c r="G44" s="976"/>
      <c r="H44" s="976"/>
      <c r="I44" s="976"/>
      <c r="J44" s="976"/>
      <c r="K44" s="976"/>
      <c r="L44" s="976"/>
      <c r="M44" s="977"/>
      <c r="U44" s="1039" t="s">
        <v>423</v>
      </c>
      <c r="V44" s="1040"/>
      <c r="W44" s="736">
        <f t="shared" ref="W44:W49" si="18">W34*$E$28</f>
        <v>0.2</v>
      </c>
      <c r="X44" s="737">
        <f t="shared" ref="X44:X49" si="19">X34*$H$28</f>
        <v>0.75</v>
      </c>
      <c r="Y44" s="737">
        <f t="shared" ref="Y44:Y49" si="20">Y34*$J$28</f>
        <v>0.15</v>
      </c>
      <c r="Z44" s="737">
        <f t="shared" ref="Z44:Z49" si="21">Z34*$L$28</f>
        <v>1.75</v>
      </c>
      <c r="AA44" s="739">
        <f t="shared" ref="AA44:AA49" si="22">AA34*$M$28</f>
        <v>0.75</v>
      </c>
      <c r="AB44" s="743">
        <f>SUM(W44:AA44)</f>
        <v>3.5999999999999996</v>
      </c>
      <c r="AD44" s="1039" t="s">
        <v>423</v>
      </c>
      <c r="AE44" s="1040"/>
      <c r="AF44" s="697">
        <f t="shared" ref="AF44:AF49" si="23">W34*$E$29</f>
        <v>0.4</v>
      </c>
      <c r="AG44" s="724">
        <f t="shared" ref="AG44:AG49" si="24">X34*$H$29</f>
        <v>1</v>
      </c>
      <c r="AH44" s="724">
        <f t="shared" ref="AH44:AH49" si="25">Y34*$J$29</f>
        <v>0.2</v>
      </c>
      <c r="AI44" s="725">
        <f t="shared" ref="AI44:AI49" si="26">Z34*$L$29</f>
        <v>1</v>
      </c>
      <c r="AJ44" s="726">
        <f t="shared" ref="AJ44:AJ49" si="27">AA34*$M$29</f>
        <v>0</v>
      </c>
      <c r="AK44" s="743">
        <f>SUM(AF44:AJ44)</f>
        <v>2.5999999999999996</v>
      </c>
      <c r="AM44" s="156">
        <f t="shared" ref="AM44:AM49" si="28">AVERAGE(AK34,AB44,AK44)</f>
        <v>3.0666666666666664</v>
      </c>
    </row>
    <row r="45" spans="3:39" ht="30" customHeight="1" x14ac:dyDescent="0.25">
      <c r="C45" s="975"/>
      <c r="D45" s="976"/>
      <c r="E45" s="976"/>
      <c r="F45" s="976"/>
      <c r="G45" s="976"/>
      <c r="H45" s="976"/>
      <c r="I45" s="976"/>
      <c r="J45" s="976"/>
      <c r="K45" s="976"/>
      <c r="L45" s="976"/>
      <c r="M45" s="977"/>
      <c r="U45" s="1037" t="s">
        <v>421</v>
      </c>
      <c r="V45" s="1038"/>
      <c r="W45" s="714">
        <f t="shared" si="18"/>
        <v>0.8</v>
      </c>
      <c r="X45" s="727">
        <f t="shared" si="19"/>
        <v>0.3</v>
      </c>
      <c r="Y45" s="727">
        <f t="shared" si="20"/>
        <v>0.75</v>
      </c>
      <c r="Z45" s="727">
        <f t="shared" si="21"/>
        <v>1.4</v>
      </c>
      <c r="AA45" s="740">
        <f t="shared" si="22"/>
        <v>0.15</v>
      </c>
      <c r="AB45" s="744">
        <f t="shared" ref="AB45:AB49" si="29">SUM(W45:AA45)</f>
        <v>3.4</v>
      </c>
      <c r="AD45" s="1037" t="s">
        <v>421</v>
      </c>
      <c r="AE45" s="1038"/>
      <c r="AF45" s="714">
        <f t="shared" si="23"/>
        <v>1.6</v>
      </c>
      <c r="AG45" s="727">
        <f t="shared" si="24"/>
        <v>0.4</v>
      </c>
      <c r="AH45" s="727">
        <f t="shared" si="25"/>
        <v>1</v>
      </c>
      <c r="AI45" s="728">
        <f t="shared" si="26"/>
        <v>0.8</v>
      </c>
      <c r="AJ45" s="729">
        <f t="shared" si="27"/>
        <v>0</v>
      </c>
      <c r="AK45" s="744">
        <f t="shared" ref="AK45:AK49" si="30">SUM(AF45:AJ45)</f>
        <v>3.8</v>
      </c>
      <c r="AM45" s="156">
        <f t="shared" si="28"/>
        <v>3.5499999999999994</v>
      </c>
    </row>
    <row r="46" spans="3:39" ht="30" customHeight="1" x14ac:dyDescent="0.25">
      <c r="C46" s="975"/>
      <c r="D46" s="976"/>
      <c r="E46" s="976"/>
      <c r="F46" s="976"/>
      <c r="G46" s="976"/>
      <c r="H46" s="976"/>
      <c r="I46" s="976"/>
      <c r="J46" s="976"/>
      <c r="K46" s="976"/>
      <c r="L46" s="976"/>
      <c r="M46" s="977"/>
      <c r="U46" s="1037" t="s">
        <v>515</v>
      </c>
      <c r="V46" s="1038"/>
      <c r="W46" s="714">
        <f t="shared" si="18"/>
        <v>1</v>
      </c>
      <c r="X46" s="727">
        <f t="shared" si="19"/>
        <v>0.15</v>
      </c>
      <c r="Y46" s="727">
        <f t="shared" si="20"/>
        <v>0.6</v>
      </c>
      <c r="Z46" s="727">
        <f t="shared" si="21"/>
        <v>1.0499999999999998</v>
      </c>
      <c r="AA46" s="740">
        <f t="shared" si="22"/>
        <v>0.3</v>
      </c>
      <c r="AB46" s="744">
        <f t="shared" si="29"/>
        <v>3.0999999999999996</v>
      </c>
      <c r="AD46" s="1037" t="s">
        <v>515</v>
      </c>
      <c r="AE46" s="1038"/>
      <c r="AF46" s="714">
        <f t="shared" si="23"/>
        <v>2</v>
      </c>
      <c r="AG46" s="727">
        <f t="shared" si="24"/>
        <v>0.2</v>
      </c>
      <c r="AH46" s="727">
        <f t="shared" si="25"/>
        <v>0.8</v>
      </c>
      <c r="AI46" s="728">
        <f t="shared" si="26"/>
        <v>0.60000000000000009</v>
      </c>
      <c r="AJ46" s="729">
        <f t="shared" si="27"/>
        <v>0</v>
      </c>
      <c r="AK46" s="744">
        <f t="shared" si="30"/>
        <v>3.6</v>
      </c>
      <c r="AM46" s="156">
        <f t="shared" si="28"/>
        <v>3.15</v>
      </c>
    </row>
    <row r="47" spans="3:39" ht="30" customHeight="1" x14ac:dyDescent="0.25">
      <c r="C47" s="975"/>
      <c r="D47" s="976"/>
      <c r="E47" s="976"/>
      <c r="F47" s="976"/>
      <c r="G47" s="976"/>
      <c r="H47" s="976"/>
      <c r="I47" s="976"/>
      <c r="J47" s="976"/>
      <c r="K47" s="976"/>
      <c r="L47" s="976"/>
      <c r="M47" s="977"/>
      <c r="U47" s="1037" t="s">
        <v>511</v>
      </c>
      <c r="V47" s="1038"/>
      <c r="W47" s="714">
        <f t="shared" si="18"/>
        <v>0.8</v>
      </c>
      <c r="X47" s="727">
        <f t="shared" si="19"/>
        <v>0.15</v>
      </c>
      <c r="Y47" s="727">
        <f t="shared" si="20"/>
        <v>0.3</v>
      </c>
      <c r="Z47" s="727">
        <f t="shared" si="21"/>
        <v>1.0499999999999998</v>
      </c>
      <c r="AA47" s="740">
        <f t="shared" si="22"/>
        <v>0.75</v>
      </c>
      <c r="AB47" s="744">
        <f t="shared" si="29"/>
        <v>3.05</v>
      </c>
      <c r="AD47" s="1037" t="s">
        <v>511</v>
      </c>
      <c r="AE47" s="1038"/>
      <c r="AF47" s="714">
        <f t="shared" si="23"/>
        <v>1.6</v>
      </c>
      <c r="AG47" s="727">
        <f t="shared" si="24"/>
        <v>0.2</v>
      </c>
      <c r="AH47" s="727">
        <f t="shared" si="25"/>
        <v>0.4</v>
      </c>
      <c r="AI47" s="728">
        <f t="shared" si="26"/>
        <v>0.60000000000000009</v>
      </c>
      <c r="AJ47" s="729">
        <f t="shared" si="27"/>
        <v>0</v>
      </c>
      <c r="AK47" s="744">
        <f t="shared" si="30"/>
        <v>2.8000000000000003</v>
      </c>
      <c r="AM47" s="156">
        <f t="shared" si="28"/>
        <v>2.6166666666666667</v>
      </c>
    </row>
    <row r="48" spans="3:39" ht="30" customHeight="1" x14ac:dyDescent="0.25">
      <c r="C48" s="975"/>
      <c r="D48" s="976"/>
      <c r="E48" s="976"/>
      <c r="F48" s="976"/>
      <c r="G48" s="976"/>
      <c r="H48" s="976"/>
      <c r="I48" s="976"/>
      <c r="J48" s="976"/>
      <c r="K48" s="976"/>
      <c r="L48" s="976"/>
      <c r="M48" s="977"/>
      <c r="U48" s="1037" t="s">
        <v>420</v>
      </c>
      <c r="V48" s="1038"/>
      <c r="W48" s="714">
        <f t="shared" si="18"/>
        <v>0.60000000000000009</v>
      </c>
      <c r="X48" s="727">
        <f t="shared" si="19"/>
        <v>0.6</v>
      </c>
      <c r="Y48" s="727">
        <f t="shared" si="20"/>
        <v>0.15</v>
      </c>
      <c r="Z48" s="727">
        <f t="shared" si="21"/>
        <v>0.7</v>
      </c>
      <c r="AA48" s="740">
        <f t="shared" si="22"/>
        <v>0.6</v>
      </c>
      <c r="AB48" s="744">
        <f t="shared" si="29"/>
        <v>2.65</v>
      </c>
      <c r="AD48" s="1037" t="s">
        <v>420</v>
      </c>
      <c r="AE48" s="1038"/>
      <c r="AF48" s="714">
        <f t="shared" si="23"/>
        <v>1.2000000000000002</v>
      </c>
      <c r="AG48" s="727">
        <f t="shared" si="24"/>
        <v>0.8</v>
      </c>
      <c r="AH48" s="727">
        <f t="shared" si="25"/>
        <v>0.2</v>
      </c>
      <c r="AI48" s="728">
        <f t="shared" si="26"/>
        <v>0.4</v>
      </c>
      <c r="AJ48" s="729">
        <f t="shared" si="27"/>
        <v>0</v>
      </c>
      <c r="AK48" s="744">
        <f t="shared" si="30"/>
        <v>2.6</v>
      </c>
      <c r="AM48" s="156">
        <f t="shared" si="28"/>
        <v>2.6166666666666667</v>
      </c>
    </row>
    <row r="49" spans="2:39" ht="30" customHeight="1" thickBot="1" x14ac:dyDescent="0.3">
      <c r="C49" s="975"/>
      <c r="D49" s="976"/>
      <c r="E49" s="976"/>
      <c r="F49" s="976"/>
      <c r="G49" s="976"/>
      <c r="H49" s="976"/>
      <c r="I49" s="976"/>
      <c r="J49" s="976"/>
      <c r="K49" s="976"/>
      <c r="L49" s="976"/>
      <c r="M49" s="977"/>
      <c r="U49" s="1041" t="s">
        <v>419</v>
      </c>
      <c r="V49" s="1042"/>
      <c r="W49" s="721">
        <f t="shared" si="18"/>
        <v>0.60000000000000009</v>
      </c>
      <c r="X49" s="730">
        <f t="shared" si="19"/>
        <v>0.6</v>
      </c>
      <c r="Y49" s="730">
        <f t="shared" si="20"/>
        <v>0.75</v>
      </c>
      <c r="Z49" s="730">
        <f t="shared" si="21"/>
        <v>0.35</v>
      </c>
      <c r="AA49" s="741">
        <f t="shared" si="22"/>
        <v>0.6</v>
      </c>
      <c r="AB49" s="745">
        <f t="shared" si="29"/>
        <v>2.9000000000000004</v>
      </c>
      <c r="AD49" s="1041" t="s">
        <v>419</v>
      </c>
      <c r="AE49" s="1042"/>
      <c r="AF49" s="721">
        <f t="shared" si="23"/>
        <v>1.2000000000000002</v>
      </c>
      <c r="AG49" s="730">
        <f t="shared" si="24"/>
        <v>0.8</v>
      </c>
      <c r="AH49" s="730">
        <f t="shared" si="25"/>
        <v>1</v>
      </c>
      <c r="AI49" s="731">
        <f t="shared" si="26"/>
        <v>0.2</v>
      </c>
      <c r="AJ49" s="732">
        <f t="shared" si="27"/>
        <v>0</v>
      </c>
      <c r="AK49" s="745">
        <f t="shared" si="30"/>
        <v>3.2</v>
      </c>
      <c r="AM49" s="156">
        <f t="shared" si="28"/>
        <v>3.4166666666666665</v>
      </c>
    </row>
    <row r="50" spans="2:39" ht="30" customHeight="1" thickBot="1" x14ac:dyDescent="0.3">
      <c r="C50" s="978"/>
      <c r="D50" s="979"/>
      <c r="E50" s="979"/>
      <c r="F50" s="979"/>
      <c r="G50" s="979"/>
      <c r="H50" s="979"/>
      <c r="I50" s="979"/>
      <c r="J50" s="979"/>
      <c r="K50" s="979"/>
      <c r="L50" s="979"/>
      <c r="M50" s="980"/>
    </row>
    <row r="51" spans="2:39" ht="30" customHeight="1" thickBot="1" x14ac:dyDescent="0.3">
      <c r="C51" s="14" t="s">
        <v>531</v>
      </c>
    </row>
    <row r="52" spans="2:39" ht="30" customHeight="1" thickBot="1" x14ac:dyDescent="0.4">
      <c r="B52" s="15" t="s">
        <v>387</v>
      </c>
      <c r="C52" s="325" t="s">
        <v>520</v>
      </c>
      <c r="D52" s="696" t="s">
        <v>145</v>
      </c>
      <c r="E52" s="759" t="s">
        <v>413</v>
      </c>
      <c r="F52" s="332" t="s">
        <v>414</v>
      </c>
      <c r="G52" s="353" t="s">
        <v>524</v>
      </c>
      <c r="H52" s="337" t="s">
        <v>518</v>
      </c>
      <c r="I52" s="338" t="s">
        <v>525</v>
      </c>
      <c r="J52" s="354" t="s">
        <v>519</v>
      </c>
      <c r="K52" s="341" t="s">
        <v>526</v>
      </c>
      <c r="L52" s="340" t="s">
        <v>527</v>
      </c>
      <c r="M52" s="355" t="s">
        <v>528</v>
      </c>
      <c r="P52" s="415" t="s">
        <v>512</v>
      </c>
      <c r="Q52" s="416" t="s">
        <v>513</v>
      </c>
      <c r="R52" s="416" t="s">
        <v>514</v>
      </c>
      <c r="S52" s="417" t="s">
        <v>522</v>
      </c>
    </row>
    <row r="53" spans="2:39" ht="30" customHeight="1" x14ac:dyDescent="0.25">
      <c r="B53" s="15">
        <v>3</v>
      </c>
      <c r="C53" s="423" t="s">
        <v>511</v>
      </c>
      <c r="D53" s="760"/>
      <c r="E53" s="705">
        <v>4</v>
      </c>
      <c r="F53" s="706">
        <v>0</v>
      </c>
      <c r="G53" s="707">
        <f>IF(SUM(E53:F53)&lt;5,SUM(E53:F53),5)</f>
        <v>4</v>
      </c>
      <c r="H53" s="698">
        <v>1171.3</v>
      </c>
      <c r="I53" s="707">
        <v>1</v>
      </c>
      <c r="J53" s="697">
        <v>300</v>
      </c>
      <c r="K53" s="708">
        <v>2</v>
      </c>
      <c r="L53" s="709">
        <v>3</v>
      </c>
      <c r="M53" s="709">
        <v>5</v>
      </c>
      <c r="P53" s="756">
        <f t="shared" ref="P53:P58" si="31">$M53*$M$27+$L53*$L$27+$K53*$J$27+$I53*$H$27+$G53*$E$27</f>
        <v>2</v>
      </c>
      <c r="Q53" s="757">
        <f t="shared" ref="Q53:Q58" si="32">$M53*$M$28+$L53*$L$28+$K53*$J$28+$I53*$H$28+$G53*$E$28</f>
        <v>3.05</v>
      </c>
      <c r="R53" s="757">
        <f t="shared" ref="R53:R58" si="33">$M53*$M$29+$L53*$L$29+$K53*$J$29+$I53*$H$29+$G53*$E$29</f>
        <v>2.8</v>
      </c>
      <c r="S53" s="758">
        <f t="shared" ref="S53:S58" si="34">SUM(P53:R53)/3</f>
        <v>2.6166666666666667</v>
      </c>
    </row>
    <row r="54" spans="2:39" ht="30" customHeight="1" x14ac:dyDescent="0.25">
      <c r="B54" s="15">
        <v>6</v>
      </c>
      <c r="C54" s="424" t="s">
        <v>420</v>
      </c>
      <c r="D54" s="761"/>
      <c r="E54" s="705">
        <v>3</v>
      </c>
      <c r="F54" s="706">
        <v>0</v>
      </c>
      <c r="G54" s="707">
        <f t="shared" ref="G54:G58" si="35">IF(SUM(E54:F54)&lt;5,SUM(E54:F54),5)</f>
        <v>3</v>
      </c>
      <c r="H54" s="698">
        <v>1853.1</v>
      </c>
      <c r="I54" s="707">
        <v>4</v>
      </c>
      <c r="J54" s="697">
        <v>114</v>
      </c>
      <c r="K54" s="708">
        <v>1</v>
      </c>
      <c r="L54" s="709">
        <v>2</v>
      </c>
      <c r="M54" s="709">
        <v>4</v>
      </c>
      <c r="P54" s="751">
        <f t="shared" si="31"/>
        <v>2.6000000000000005</v>
      </c>
      <c r="Q54" s="750">
        <f t="shared" si="32"/>
        <v>2.65</v>
      </c>
      <c r="R54" s="750">
        <f t="shared" si="33"/>
        <v>2.6000000000000005</v>
      </c>
      <c r="S54" s="752">
        <f t="shared" si="34"/>
        <v>2.6166666666666667</v>
      </c>
    </row>
    <row r="55" spans="2:39" ht="30" customHeight="1" x14ac:dyDescent="0.25">
      <c r="B55" s="15">
        <v>1</v>
      </c>
      <c r="C55" s="424" t="s">
        <v>423</v>
      </c>
      <c r="D55" s="761"/>
      <c r="E55" s="710">
        <v>1</v>
      </c>
      <c r="F55" s="711">
        <v>0</v>
      </c>
      <c r="G55" s="707">
        <f t="shared" si="35"/>
        <v>1</v>
      </c>
      <c r="H55" s="713">
        <v>2236.5</v>
      </c>
      <c r="I55" s="712">
        <v>5</v>
      </c>
      <c r="J55" s="714">
        <v>244</v>
      </c>
      <c r="K55" s="715">
        <v>1</v>
      </c>
      <c r="L55" s="716">
        <v>5</v>
      </c>
      <c r="M55" s="716">
        <v>5</v>
      </c>
      <c r="P55" s="751">
        <f t="shared" si="31"/>
        <v>3</v>
      </c>
      <c r="Q55" s="750">
        <f t="shared" si="32"/>
        <v>3.6</v>
      </c>
      <c r="R55" s="750">
        <f t="shared" si="33"/>
        <v>2.6</v>
      </c>
      <c r="S55" s="752">
        <f t="shared" si="34"/>
        <v>3.0666666666666664</v>
      </c>
    </row>
    <row r="56" spans="2:39" ht="30" customHeight="1" x14ac:dyDescent="0.25">
      <c r="B56" s="15">
        <v>4</v>
      </c>
      <c r="C56" s="424" t="s">
        <v>515</v>
      </c>
      <c r="D56" s="761"/>
      <c r="E56" s="710">
        <v>4</v>
      </c>
      <c r="F56" s="711">
        <v>2</v>
      </c>
      <c r="G56" s="707">
        <f t="shared" si="35"/>
        <v>5</v>
      </c>
      <c r="H56" s="713">
        <v>1069.4000000000001</v>
      </c>
      <c r="I56" s="712">
        <v>1</v>
      </c>
      <c r="J56" s="714">
        <v>861</v>
      </c>
      <c r="K56" s="715">
        <v>4</v>
      </c>
      <c r="L56" s="716">
        <v>3</v>
      </c>
      <c r="M56" s="716">
        <v>2</v>
      </c>
      <c r="P56" s="751">
        <f t="shared" si="31"/>
        <v>2.75</v>
      </c>
      <c r="Q56" s="750">
        <f t="shared" si="32"/>
        <v>3.0999999999999996</v>
      </c>
      <c r="R56" s="750">
        <f t="shared" si="33"/>
        <v>3.6</v>
      </c>
      <c r="S56" s="752">
        <f t="shared" si="34"/>
        <v>3.15</v>
      </c>
    </row>
    <row r="57" spans="2:39" ht="30" customHeight="1" x14ac:dyDescent="0.25">
      <c r="B57" s="15">
        <v>5</v>
      </c>
      <c r="C57" s="424" t="s">
        <v>419</v>
      </c>
      <c r="D57" s="761"/>
      <c r="E57" s="710">
        <v>1</v>
      </c>
      <c r="F57" s="711">
        <v>2</v>
      </c>
      <c r="G57" s="707">
        <f t="shared" si="35"/>
        <v>3</v>
      </c>
      <c r="H57" s="713">
        <v>1992.3</v>
      </c>
      <c r="I57" s="712">
        <v>4</v>
      </c>
      <c r="J57" s="714">
        <v>1040</v>
      </c>
      <c r="K57" s="715">
        <v>5</v>
      </c>
      <c r="L57" s="716">
        <v>1</v>
      </c>
      <c r="M57" s="716">
        <v>4</v>
      </c>
      <c r="P57" s="751">
        <f t="shared" si="31"/>
        <v>4.1500000000000004</v>
      </c>
      <c r="Q57" s="750">
        <f t="shared" si="32"/>
        <v>2.9</v>
      </c>
      <c r="R57" s="750">
        <f t="shared" si="33"/>
        <v>3.2</v>
      </c>
      <c r="S57" s="752">
        <f t="shared" si="34"/>
        <v>3.4166666666666665</v>
      </c>
    </row>
    <row r="58" spans="2:39" ht="30" customHeight="1" thickBot="1" x14ac:dyDescent="0.3">
      <c r="B58" s="15">
        <v>2</v>
      </c>
      <c r="C58" s="425" t="s">
        <v>421</v>
      </c>
      <c r="D58" s="762"/>
      <c r="E58" s="717">
        <v>2</v>
      </c>
      <c r="F58" s="718">
        <v>2</v>
      </c>
      <c r="G58" s="707">
        <f t="shared" si="35"/>
        <v>4</v>
      </c>
      <c r="H58" s="720">
        <v>1257.0999999999999</v>
      </c>
      <c r="I58" s="719">
        <v>2</v>
      </c>
      <c r="J58" s="721">
        <v>1239</v>
      </c>
      <c r="K58" s="722">
        <v>5</v>
      </c>
      <c r="L58" s="723">
        <v>4</v>
      </c>
      <c r="M58" s="723">
        <v>1</v>
      </c>
      <c r="P58" s="753">
        <f t="shared" si="31"/>
        <v>3.4499999999999997</v>
      </c>
      <c r="Q58" s="754">
        <f t="shared" si="32"/>
        <v>3.3999999999999995</v>
      </c>
      <c r="R58" s="754">
        <f t="shared" si="33"/>
        <v>3.8000000000000003</v>
      </c>
      <c r="S58" s="755">
        <f t="shared" si="34"/>
        <v>3.5500000000000003</v>
      </c>
    </row>
    <row r="59" spans="2:39" ht="30" customHeight="1" x14ac:dyDescent="0.25"/>
    <row r="60" spans="2:39" ht="30" customHeight="1" x14ac:dyDescent="0.25"/>
    <row r="61" spans="2:39" ht="30" customHeight="1" x14ac:dyDescent="0.25"/>
    <row r="62" spans="2:39" ht="30" customHeight="1" x14ac:dyDescent="0.25"/>
    <row r="63" spans="2:39" ht="30" customHeight="1" x14ac:dyDescent="0.25"/>
    <row r="64" spans="2:39"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sheetData>
  <autoFilter ref="B52:S52" xr:uid="{59BE8D93-4F21-432F-A9FA-D019BA10144D}">
    <sortState xmlns:xlrd2="http://schemas.microsoft.com/office/spreadsheetml/2017/richdata2" ref="B53:S58">
      <sortCondition ref="S52"/>
    </sortState>
  </autoFilter>
  <mergeCells count="144">
    <mergeCell ref="AK32:AK33"/>
    <mergeCell ref="AB42:AB43"/>
    <mergeCell ref="AK42:AK43"/>
    <mergeCell ref="W32:W33"/>
    <mergeCell ref="AA32:AA33"/>
    <mergeCell ref="Z32:Z33"/>
    <mergeCell ref="Y32:Y33"/>
    <mergeCell ref="X32:X33"/>
    <mergeCell ref="AD36:AE36"/>
    <mergeCell ref="AD35:AE35"/>
    <mergeCell ref="AD34:AE34"/>
    <mergeCell ref="N12:N13"/>
    <mergeCell ref="N14:N15"/>
    <mergeCell ref="N16:N17"/>
    <mergeCell ref="N18:N19"/>
    <mergeCell ref="N20:N21"/>
    <mergeCell ref="N22:N23"/>
    <mergeCell ref="AB32:AB33"/>
    <mergeCell ref="AD49:AE49"/>
    <mergeCell ref="AD48:AE48"/>
    <mergeCell ref="AD47:AE47"/>
    <mergeCell ref="AD46:AE46"/>
    <mergeCell ref="AD45:AE45"/>
    <mergeCell ref="AD44:AE44"/>
    <mergeCell ref="AD39:AE39"/>
    <mergeCell ref="AD38:AE38"/>
    <mergeCell ref="AD37:AE37"/>
    <mergeCell ref="U34:V34"/>
    <mergeCell ref="U35:V35"/>
    <mergeCell ref="U36:V36"/>
    <mergeCell ref="U38:V38"/>
    <mergeCell ref="U37:V37"/>
    <mergeCell ref="U49:V49"/>
    <mergeCell ref="U48:V48"/>
    <mergeCell ref="U47:V47"/>
    <mergeCell ref="U46:V46"/>
    <mergeCell ref="U45:V45"/>
    <mergeCell ref="U44:V44"/>
    <mergeCell ref="U39:V39"/>
    <mergeCell ref="C2:D3"/>
    <mergeCell ref="E2:G2"/>
    <mergeCell ref="H2:I3"/>
    <mergeCell ref="J2:K3"/>
    <mergeCell ref="L2:L3"/>
    <mergeCell ref="M2:M3"/>
    <mergeCell ref="F3:G3"/>
    <mergeCell ref="C6:D6"/>
    <mergeCell ref="F6:G6"/>
    <mergeCell ref="H6:I6"/>
    <mergeCell ref="J6:K6"/>
    <mergeCell ref="C7:D7"/>
    <mergeCell ref="F7:G7"/>
    <mergeCell ref="H7:I7"/>
    <mergeCell ref="J7:K7"/>
    <mergeCell ref="C4:D4"/>
    <mergeCell ref="F4:G4"/>
    <mergeCell ref="H4:I4"/>
    <mergeCell ref="J4:K4"/>
    <mergeCell ref="C5:D5"/>
    <mergeCell ref="F5:G5"/>
    <mergeCell ref="H5:I5"/>
    <mergeCell ref="J5:K5"/>
    <mergeCell ref="C8:D8"/>
    <mergeCell ref="F8:G8"/>
    <mergeCell ref="H8:I8"/>
    <mergeCell ref="J8:K8"/>
    <mergeCell ref="C11:D11"/>
    <mergeCell ref="D12:D13"/>
    <mergeCell ref="E12:E13"/>
    <mergeCell ref="F12:F13"/>
    <mergeCell ref="G12:G13"/>
    <mergeCell ref="H12:H13"/>
    <mergeCell ref="I12:I13"/>
    <mergeCell ref="J12:J13"/>
    <mergeCell ref="K12:K13"/>
    <mergeCell ref="L12:L13"/>
    <mergeCell ref="M12:M13"/>
    <mergeCell ref="D14:D15"/>
    <mergeCell ref="E14:E15"/>
    <mergeCell ref="F14:F15"/>
    <mergeCell ref="G14:G15"/>
    <mergeCell ref="H14:H15"/>
    <mergeCell ref="I14:I15"/>
    <mergeCell ref="J14:J15"/>
    <mergeCell ref="K14:K15"/>
    <mergeCell ref="L14:L15"/>
    <mergeCell ref="M14:M15"/>
    <mergeCell ref="M16:M17"/>
    <mergeCell ref="D18:D19"/>
    <mergeCell ref="E18:E19"/>
    <mergeCell ref="F18:F19"/>
    <mergeCell ref="G18:G19"/>
    <mergeCell ref="H18:H19"/>
    <mergeCell ref="I18:I19"/>
    <mergeCell ref="J18:J19"/>
    <mergeCell ref="K18:K19"/>
    <mergeCell ref="L18:L19"/>
    <mergeCell ref="M18:M19"/>
    <mergeCell ref="D16:D17"/>
    <mergeCell ref="E16:E17"/>
    <mergeCell ref="F16:F17"/>
    <mergeCell ref="G16:G17"/>
    <mergeCell ref="H16:H17"/>
    <mergeCell ref="I16:I17"/>
    <mergeCell ref="J16:J17"/>
    <mergeCell ref="K16:K17"/>
    <mergeCell ref="L16:L17"/>
    <mergeCell ref="M20:M21"/>
    <mergeCell ref="D22:D23"/>
    <mergeCell ref="E22:E23"/>
    <mergeCell ref="F22:F23"/>
    <mergeCell ref="G22:G23"/>
    <mergeCell ref="H22:H23"/>
    <mergeCell ref="I22:I23"/>
    <mergeCell ref="J22:J23"/>
    <mergeCell ref="K22:K23"/>
    <mergeCell ref="L22:L23"/>
    <mergeCell ref="M22:M23"/>
    <mergeCell ref="D20:D21"/>
    <mergeCell ref="E20:E21"/>
    <mergeCell ref="F20:F21"/>
    <mergeCell ref="G20:G21"/>
    <mergeCell ref="H20:H21"/>
    <mergeCell ref="I20:I21"/>
    <mergeCell ref="J20:J21"/>
    <mergeCell ref="K20:K21"/>
    <mergeCell ref="L20:L21"/>
    <mergeCell ref="C34:M50"/>
    <mergeCell ref="C26:D26"/>
    <mergeCell ref="E26:G26"/>
    <mergeCell ref="H26:I26"/>
    <mergeCell ref="J26:K26"/>
    <mergeCell ref="C29:D29"/>
    <mergeCell ref="E29:G29"/>
    <mergeCell ref="H29:I29"/>
    <mergeCell ref="J29:K29"/>
    <mergeCell ref="C27:D27"/>
    <mergeCell ref="E27:G27"/>
    <mergeCell ref="H27:I27"/>
    <mergeCell ref="J27:K27"/>
    <mergeCell ref="C28:D28"/>
    <mergeCell ref="E28:G28"/>
    <mergeCell ref="H28:I28"/>
    <mergeCell ref="J28:K28"/>
  </mergeCells>
  <conditionalFormatting sqref="C4:C9">
    <cfRule type="colorScale" priority="21">
      <colorScale>
        <cfvo type="min"/>
        <cfvo type="percentile" val="50"/>
        <cfvo type="max"/>
        <color rgb="FFF8696B"/>
        <color rgb="FFFFEB84"/>
        <color rgb="FF63BE7B"/>
      </colorScale>
    </cfRule>
  </conditionalFormatting>
  <conditionalFormatting sqref="G12:G23">
    <cfRule type="colorScale" priority="7">
      <colorScale>
        <cfvo type="min"/>
        <cfvo type="max"/>
        <color rgb="FFE9F2FB"/>
        <color rgb="FFCADFF2"/>
      </colorScale>
    </cfRule>
  </conditionalFormatting>
  <conditionalFormatting sqref="I12:I23">
    <cfRule type="colorScale" priority="6">
      <colorScale>
        <cfvo type="min"/>
        <cfvo type="max"/>
        <color rgb="FFFEF2EC"/>
        <color rgb="FFFBDFCD"/>
      </colorScale>
    </cfRule>
  </conditionalFormatting>
  <conditionalFormatting sqref="K12:K23">
    <cfRule type="colorScale" priority="5">
      <colorScale>
        <cfvo type="min"/>
        <cfvo type="max"/>
        <color rgb="FFFFF9E7"/>
        <color rgb="FFFFF4D5"/>
      </colorScale>
    </cfRule>
  </conditionalFormatting>
  <conditionalFormatting sqref="L12:L23">
    <cfRule type="colorScale" priority="3">
      <colorScale>
        <cfvo type="min"/>
        <cfvo type="max"/>
        <color rgb="FFF1F7ED"/>
        <color rgb="FFD8EACC"/>
      </colorScale>
    </cfRule>
  </conditionalFormatting>
  <conditionalFormatting sqref="M12:M23">
    <cfRule type="colorScale" priority="2">
      <colorScale>
        <cfvo type="min"/>
        <cfvo type="max"/>
        <color rgb="FFF9F9F9"/>
        <color rgb="FFE2E2E2"/>
      </colorScale>
    </cfRule>
  </conditionalFormatting>
  <conditionalFormatting sqref="N12:N23">
    <cfRule type="colorScale" priority="1">
      <colorScale>
        <cfvo type="min"/>
        <cfvo type="max"/>
        <color rgb="FFFCFCFF"/>
        <color rgb="FF63BE7B"/>
      </colorScale>
    </cfRule>
  </conditionalFormatting>
  <conditionalFormatting sqref="P12:R24 D24:O24">
    <cfRule type="dataBar" priority="19">
      <dataBar>
        <cfvo type="min"/>
        <cfvo type="max"/>
        <color rgb="FF638EC6"/>
      </dataBar>
      <extLst>
        <ext xmlns:x14="http://schemas.microsoft.com/office/spreadsheetml/2009/9/main" uri="{B025F937-C7B1-47D3-B67F-A62EFF666E3E}">
          <x14:id>{5B6898C8-7E66-4031-BD1B-B9FB1561E19B}</x14:id>
        </ext>
      </extLst>
    </cfRule>
  </conditionalFormatting>
  <conditionalFormatting sqref="P40:R40 P53:R58">
    <cfRule type="dataBar" priority="18">
      <dataBar>
        <cfvo type="min"/>
        <cfvo type="max"/>
        <color rgb="FF638EC6"/>
      </dataBar>
      <extLst>
        <ext xmlns:x14="http://schemas.microsoft.com/office/spreadsheetml/2009/9/main" uri="{B025F937-C7B1-47D3-B67F-A62EFF666E3E}">
          <x14:id>{FF5EB31C-0021-49A3-8B4C-731CFB68DCA4}</x14:id>
        </ext>
      </extLst>
    </cfRule>
  </conditionalFormatting>
  <conditionalFormatting sqref="S12:S24">
    <cfRule type="dataBar" priority="20">
      <dataBar>
        <cfvo type="min"/>
        <cfvo type="max"/>
        <color rgb="FF63C384"/>
      </dataBar>
      <extLst>
        <ext xmlns:x14="http://schemas.microsoft.com/office/spreadsheetml/2009/9/main" uri="{B025F937-C7B1-47D3-B67F-A62EFF666E3E}">
          <x14:id>{EC94DE38-FDD3-4D97-A05B-22809332F213}</x14:id>
        </ext>
      </extLst>
    </cfRule>
  </conditionalFormatting>
  <conditionalFormatting sqref="S53:S58 S40">
    <cfRule type="dataBar" priority="17">
      <dataBar>
        <cfvo type="min"/>
        <cfvo type="max"/>
        <color rgb="FF63C384"/>
      </dataBar>
      <extLst>
        <ext xmlns:x14="http://schemas.microsoft.com/office/spreadsheetml/2009/9/main" uri="{B025F937-C7B1-47D3-B67F-A62EFF666E3E}">
          <x14:id>{09753A91-9AAE-4993-A9B0-04ED07C6ED44}</x14:id>
        </ext>
      </extLst>
    </cfRule>
  </conditionalFormatting>
  <conditionalFormatting sqref="W34:AA40">
    <cfRule type="colorScale" priority="14">
      <colorScale>
        <cfvo type="min"/>
        <cfvo type="max"/>
        <color rgb="FFFCFCFF"/>
        <color rgb="FF63BE7B"/>
      </colorScale>
    </cfRule>
  </conditionalFormatting>
  <conditionalFormatting sqref="W44:AA49">
    <cfRule type="colorScale" priority="12">
      <colorScale>
        <cfvo type="min"/>
        <cfvo type="max"/>
        <color rgb="FFFCFCFF"/>
        <color rgb="FF63BE7B"/>
      </colorScale>
    </cfRule>
  </conditionalFormatting>
  <conditionalFormatting sqref="AF34:AJ40">
    <cfRule type="colorScale" priority="13">
      <colorScale>
        <cfvo type="min"/>
        <cfvo type="max"/>
        <color rgb="FFFCFCFF"/>
        <color rgb="FF63BE7B"/>
      </colorScale>
    </cfRule>
  </conditionalFormatting>
  <conditionalFormatting sqref="AF44:AJ49">
    <cfRule type="colorScale" priority="11">
      <colorScale>
        <cfvo type="min"/>
        <cfvo type="max"/>
        <color rgb="FFFCFCFF"/>
        <color rgb="FF63BE7B"/>
      </colorScale>
    </cfRule>
  </conditionalFormatting>
  <conditionalFormatting sqref="AG12:AI17">
    <cfRule type="dataBar" priority="9">
      <dataBar>
        <cfvo type="min"/>
        <cfvo type="max"/>
        <color rgb="FF638EC6"/>
      </dataBar>
      <extLst>
        <ext xmlns:x14="http://schemas.microsoft.com/office/spreadsheetml/2009/9/main" uri="{B025F937-C7B1-47D3-B67F-A62EFF666E3E}">
          <x14:id>{669C9A52-AAC7-4443-B150-469DE6CC63C6}</x14:id>
        </ext>
      </extLst>
    </cfRule>
  </conditionalFormatting>
  <conditionalFormatting sqref="AJ12:AJ17">
    <cfRule type="dataBar" priority="8">
      <dataBar>
        <cfvo type="min"/>
        <cfvo type="max"/>
        <color rgb="FF63C384"/>
      </dataBar>
      <extLst>
        <ext xmlns:x14="http://schemas.microsoft.com/office/spreadsheetml/2009/9/main" uri="{B025F937-C7B1-47D3-B67F-A62EFF666E3E}">
          <x14:id>{6E451603-A3D8-4179-92A3-E5F9FEBCE626}</x14:id>
        </ext>
      </extLst>
    </cfRule>
  </conditionalFormatting>
  <conditionalFormatting sqref="AK34:AK39 AB44:AB49 AK44:AK49">
    <cfRule type="dataBar" priority="10">
      <dataBar>
        <cfvo type="min"/>
        <cfvo type="max"/>
        <color rgb="FFA86ED4"/>
      </dataBar>
      <extLst>
        <ext xmlns:x14="http://schemas.microsoft.com/office/spreadsheetml/2009/9/main" uri="{B025F937-C7B1-47D3-B67F-A62EFF666E3E}">
          <x14:id>{0AFC740D-25AF-4FE7-91E5-F8ECCEEF618B}</x14:id>
        </ext>
      </extLst>
    </cfRule>
  </conditionalFormatting>
  <pageMargins left="0.25" right="0.25" top="0.75" bottom="0.75" header="0.3" footer="0.3"/>
  <pageSetup paperSize="9" scale="35" orientation="landscape" r:id="rId1"/>
  <drawing r:id="rId2"/>
  <extLst>
    <ext xmlns:x14="http://schemas.microsoft.com/office/spreadsheetml/2009/9/main" uri="{78C0D931-6437-407d-A8EE-F0AAD7539E65}">
      <x14:conditionalFormattings>
        <x14:conditionalFormatting xmlns:xm="http://schemas.microsoft.com/office/excel/2006/main">
          <x14:cfRule type="dataBar" id="{5B6898C8-7E66-4031-BD1B-B9FB1561E19B}">
            <x14:dataBar minLength="0" maxLength="100" gradient="0">
              <x14:cfvo type="autoMin"/>
              <x14:cfvo type="autoMax"/>
              <x14:negativeFillColor rgb="FFFF0000"/>
              <x14:axisColor rgb="FF000000"/>
            </x14:dataBar>
          </x14:cfRule>
          <xm:sqref>P12:R24 D24:O24</xm:sqref>
        </x14:conditionalFormatting>
        <x14:conditionalFormatting xmlns:xm="http://schemas.microsoft.com/office/excel/2006/main">
          <x14:cfRule type="dataBar" id="{FF5EB31C-0021-49A3-8B4C-731CFB68DCA4}">
            <x14:dataBar minLength="0" maxLength="100" gradient="0">
              <x14:cfvo type="autoMin"/>
              <x14:cfvo type="autoMax"/>
              <x14:negativeFillColor rgb="FFFF0000"/>
              <x14:axisColor rgb="FF000000"/>
            </x14:dataBar>
          </x14:cfRule>
          <xm:sqref>P40:R40 P53:R58</xm:sqref>
        </x14:conditionalFormatting>
        <x14:conditionalFormatting xmlns:xm="http://schemas.microsoft.com/office/excel/2006/main">
          <x14:cfRule type="dataBar" id="{EC94DE38-FDD3-4D97-A05B-22809332F213}">
            <x14:dataBar minLength="0" maxLength="100" gradient="0">
              <x14:cfvo type="autoMin"/>
              <x14:cfvo type="autoMax"/>
              <x14:negativeFillColor rgb="FFFF0000"/>
              <x14:axisColor rgb="FF000000"/>
            </x14:dataBar>
          </x14:cfRule>
          <xm:sqref>S12:S24</xm:sqref>
        </x14:conditionalFormatting>
        <x14:conditionalFormatting xmlns:xm="http://schemas.microsoft.com/office/excel/2006/main">
          <x14:cfRule type="dataBar" id="{09753A91-9AAE-4993-A9B0-04ED07C6ED44}">
            <x14:dataBar minLength="0" maxLength="100" gradient="0">
              <x14:cfvo type="autoMin"/>
              <x14:cfvo type="autoMax"/>
              <x14:negativeFillColor rgb="FFFF0000"/>
              <x14:axisColor rgb="FF000000"/>
            </x14:dataBar>
          </x14:cfRule>
          <xm:sqref>S53:S58 S40</xm:sqref>
        </x14:conditionalFormatting>
        <x14:conditionalFormatting xmlns:xm="http://schemas.microsoft.com/office/excel/2006/main">
          <x14:cfRule type="dataBar" id="{669C9A52-AAC7-4443-B150-469DE6CC63C6}">
            <x14:dataBar minLength="0" maxLength="100" gradient="0">
              <x14:cfvo type="autoMin"/>
              <x14:cfvo type="autoMax"/>
              <x14:negativeFillColor rgb="FFFF0000"/>
              <x14:axisColor rgb="FF000000"/>
            </x14:dataBar>
          </x14:cfRule>
          <xm:sqref>AG12:AI17</xm:sqref>
        </x14:conditionalFormatting>
        <x14:conditionalFormatting xmlns:xm="http://schemas.microsoft.com/office/excel/2006/main">
          <x14:cfRule type="dataBar" id="{6E451603-A3D8-4179-92A3-E5F9FEBCE626}">
            <x14:dataBar minLength="0" maxLength="100" gradient="0">
              <x14:cfvo type="autoMin"/>
              <x14:cfvo type="autoMax"/>
              <x14:negativeFillColor rgb="FFFF0000"/>
              <x14:axisColor rgb="FF000000"/>
            </x14:dataBar>
          </x14:cfRule>
          <xm:sqref>AJ12:AJ17</xm:sqref>
        </x14:conditionalFormatting>
        <x14:conditionalFormatting xmlns:xm="http://schemas.microsoft.com/office/excel/2006/main">
          <x14:cfRule type="dataBar" id="{0AFC740D-25AF-4FE7-91E5-F8ECCEEF618B}">
            <x14:dataBar minLength="0" maxLength="100" border="1" negativeBarBorderColorSameAsPositive="0">
              <x14:cfvo type="autoMin"/>
              <x14:cfvo type="autoMax"/>
              <x14:borderColor rgb="FF7030A0"/>
              <x14:negativeFillColor rgb="FFFF0000"/>
              <x14:negativeBorderColor rgb="FFFF0000"/>
              <x14:axisColor rgb="FF000000"/>
            </x14:dataBar>
          </x14:cfRule>
          <xm:sqref>AK34:AK39 AB44:AB49 AK44:AK49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1AB98-3734-44EF-9587-CDBE87FDFCBC}">
  <sheetPr>
    <pageSetUpPr fitToPage="1"/>
  </sheetPr>
  <dimension ref="B1:Y74"/>
  <sheetViews>
    <sheetView zoomScale="70" zoomScaleNormal="70" workbookViewId="0">
      <selection activeCell="W15" sqref="W15"/>
    </sheetView>
  </sheetViews>
  <sheetFormatPr baseColWidth="10" defaultRowHeight="15" x14ac:dyDescent="0.25"/>
  <cols>
    <col min="1" max="1" width="3.140625" customWidth="1"/>
    <col min="2" max="2" width="3.140625" style="15" customWidth="1"/>
    <col min="3" max="3" width="21.140625" bestFit="1" customWidth="1"/>
    <col min="4" max="4" width="24.140625" bestFit="1" customWidth="1"/>
    <col min="5" max="5" width="13" customWidth="1"/>
    <col min="6" max="6" width="15.28515625" bestFit="1" customWidth="1"/>
    <col min="7" max="7" width="5.7109375" customWidth="1"/>
    <col min="8" max="8" width="14" bestFit="1" customWidth="1"/>
    <col min="9" max="9" width="5.7109375" customWidth="1"/>
    <col min="10" max="10" width="14.42578125" bestFit="1" customWidth="1"/>
    <col min="11" max="11" width="5.7109375" customWidth="1"/>
    <col min="12" max="12" width="14.42578125" bestFit="1" customWidth="1"/>
    <col min="13" max="13" width="17.42578125" customWidth="1"/>
    <col min="14" max="14" width="5.28515625" customWidth="1"/>
    <col min="15" max="15" width="9.85546875" customWidth="1"/>
    <col min="16" max="16" width="9.28515625" customWidth="1"/>
    <col min="17" max="17" width="9.5703125" customWidth="1"/>
    <col min="20" max="22" width="0" hidden="1" customWidth="1"/>
  </cols>
  <sheetData>
    <row r="1" spans="3:18" ht="16.5" thickBot="1" x14ac:dyDescent="0.3">
      <c r="C1" s="522" t="s">
        <v>547</v>
      </c>
    </row>
    <row r="2" spans="3:18" x14ac:dyDescent="0.25">
      <c r="C2" s="1140" t="s">
        <v>845</v>
      </c>
      <c r="D2" s="1141"/>
      <c r="E2" s="1047" t="s">
        <v>521</v>
      </c>
      <c r="F2" s="1047"/>
      <c r="G2" s="1048"/>
      <c r="H2" s="1049" t="s">
        <v>847</v>
      </c>
      <c r="I2" s="1050"/>
      <c r="J2" s="1053" t="s">
        <v>848</v>
      </c>
      <c r="K2" s="1054"/>
      <c r="L2" s="1057" t="s">
        <v>546</v>
      </c>
      <c r="M2" s="1059" t="s">
        <v>545</v>
      </c>
    </row>
    <row r="3" spans="3:18" ht="15.75" thickBot="1" x14ac:dyDescent="0.3">
      <c r="C3" s="1142"/>
      <c r="D3" s="1143"/>
      <c r="E3" s="378" t="s">
        <v>413</v>
      </c>
      <c r="F3" s="1061" t="s">
        <v>414</v>
      </c>
      <c r="G3" s="1062"/>
      <c r="H3" s="1051"/>
      <c r="I3" s="1052"/>
      <c r="J3" s="1055"/>
      <c r="K3" s="1056"/>
      <c r="L3" s="1058"/>
      <c r="M3" s="1060"/>
    </row>
    <row r="4" spans="3:18" x14ac:dyDescent="0.25">
      <c r="C4" s="1065">
        <v>0</v>
      </c>
      <c r="D4" s="1066"/>
      <c r="E4" s="365" t="s">
        <v>933</v>
      </c>
      <c r="F4" s="1067" t="s">
        <v>517</v>
      </c>
      <c r="G4" s="1068"/>
      <c r="H4" s="1069" t="s">
        <v>424</v>
      </c>
      <c r="I4" s="1068"/>
      <c r="J4" s="1069" t="s">
        <v>428</v>
      </c>
      <c r="K4" s="1068"/>
      <c r="L4" s="366" t="s">
        <v>415</v>
      </c>
      <c r="M4" s="347" t="s">
        <v>417</v>
      </c>
    </row>
    <row r="5" spans="3:18" x14ac:dyDescent="0.25">
      <c r="C5" s="1063">
        <v>1</v>
      </c>
      <c r="D5" s="1064"/>
      <c r="E5" s="367" t="s">
        <v>934</v>
      </c>
      <c r="F5" s="1031" t="s">
        <v>65</v>
      </c>
      <c r="G5" s="958"/>
      <c r="H5" s="957" t="s">
        <v>425</v>
      </c>
      <c r="I5" s="958"/>
      <c r="J5" s="957" t="s">
        <v>432</v>
      </c>
      <c r="K5" s="958"/>
      <c r="L5" s="368" t="s">
        <v>416</v>
      </c>
      <c r="M5" s="330" t="s">
        <v>60</v>
      </c>
    </row>
    <row r="6" spans="3:18" x14ac:dyDescent="0.25">
      <c r="C6" s="1063">
        <v>2</v>
      </c>
      <c r="D6" s="1064"/>
      <c r="E6" s="367" t="s">
        <v>935</v>
      </c>
      <c r="F6" s="1031" t="s">
        <v>516</v>
      </c>
      <c r="G6" s="958"/>
      <c r="H6" s="957" t="s">
        <v>426</v>
      </c>
      <c r="I6" s="958"/>
      <c r="J6" s="957" t="s">
        <v>429</v>
      </c>
      <c r="K6" s="958"/>
      <c r="L6" s="368" t="s">
        <v>61</v>
      </c>
      <c r="M6" s="330" t="s">
        <v>61</v>
      </c>
    </row>
    <row r="7" spans="3:18" x14ac:dyDescent="0.25">
      <c r="C7" s="1063">
        <v>3</v>
      </c>
      <c r="D7" s="1064"/>
      <c r="E7" s="367" t="s">
        <v>936</v>
      </c>
      <c r="F7" s="1031" t="s">
        <v>65</v>
      </c>
      <c r="G7" s="958"/>
      <c r="H7" s="957" t="s">
        <v>427</v>
      </c>
      <c r="I7" s="958"/>
      <c r="J7" s="957" t="s">
        <v>431</v>
      </c>
      <c r="K7" s="958"/>
      <c r="L7" s="368" t="s">
        <v>60</v>
      </c>
      <c r="M7" s="330" t="s">
        <v>62</v>
      </c>
    </row>
    <row r="8" spans="3:18" ht="15.75" thickBot="1" x14ac:dyDescent="0.3">
      <c r="C8" s="1032">
        <v>4</v>
      </c>
      <c r="D8" s="1033"/>
      <c r="E8" s="369" t="s">
        <v>937</v>
      </c>
      <c r="F8" s="1034" t="s">
        <v>65</v>
      </c>
      <c r="G8" s="960"/>
      <c r="H8" s="959" t="s">
        <v>8</v>
      </c>
      <c r="I8" s="960"/>
      <c r="J8" s="959" t="s">
        <v>430</v>
      </c>
      <c r="K8" s="960"/>
      <c r="L8" s="370" t="s">
        <v>417</v>
      </c>
      <c r="M8" s="339" t="s">
        <v>418</v>
      </c>
    </row>
    <row r="9" spans="3:18" x14ac:dyDescent="0.25">
      <c r="C9" s="215"/>
      <c r="D9" s="215"/>
      <c r="E9" s="15"/>
      <c r="F9" s="15"/>
      <c r="G9" s="15"/>
      <c r="H9" s="15"/>
      <c r="I9" s="15"/>
      <c r="J9" s="15"/>
      <c r="K9" s="15"/>
      <c r="L9" s="15"/>
      <c r="M9" s="15"/>
    </row>
    <row r="10" spans="3:18" ht="16.5" thickBot="1" x14ac:dyDescent="0.3">
      <c r="C10" s="523" t="s">
        <v>548</v>
      </c>
      <c r="D10" s="329"/>
      <c r="E10" s="356"/>
      <c r="F10" s="356"/>
      <c r="G10" s="356"/>
      <c r="H10" s="356"/>
      <c r="I10" s="356"/>
      <c r="J10" s="356"/>
      <c r="K10" s="356"/>
      <c r="L10" s="356"/>
      <c r="M10" s="356"/>
      <c r="O10" s="216"/>
    </row>
    <row r="11" spans="3:18" ht="21" customHeight="1" thickBot="1" x14ac:dyDescent="0.3">
      <c r="C11" s="1138" t="s">
        <v>938</v>
      </c>
      <c r="D11" s="1139"/>
      <c r="E11" s="375" t="s">
        <v>413</v>
      </c>
      <c r="F11" s="524" t="s">
        <v>414</v>
      </c>
      <c r="G11" s="533" t="s">
        <v>535</v>
      </c>
      <c r="H11" s="525" t="s">
        <v>529</v>
      </c>
      <c r="I11" s="534" t="s">
        <v>536</v>
      </c>
      <c r="J11" s="526" t="s">
        <v>530</v>
      </c>
      <c r="K11" s="535" t="s">
        <v>537</v>
      </c>
      <c r="L11" s="376" t="s">
        <v>538</v>
      </c>
      <c r="M11" s="377" t="s">
        <v>539</v>
      </c>
      <c r="O11" s="326" t="s">
        <v>512</v>
      </c>
      <c r="P11" s="326" t="s">
        <v>513</v>
      </c>
      <c r="Q11" s="326" t="s">
        <v>514</v>
      </c>
      <c r="R11" s="326" t="s">
        <v>522</v>
      </c>
    </row>
    <row r="12" spans="3:18" ht="15" customHeight="1" x14ac:dyDescent="0.25">
      <c r="C12" s="379" t="s">
        <v>423</v>
      </c>
      <c r="D12" s="974"/>
      <c r="E12" s="1116">
        <v>0</v>
      </c>
      <c r="F12" s="1118">
        <v>0</v>
      </c>
      <c r="G12" s="1120">
        <f t="shared" ref="G12:G22" si="0">SUM(E12:F12)</f>
        <v>0</v>
      </c>
      <c r="H12" s="1122">
        <v>2236.5</v>
      </c>
      <c r="I12" s="1124">
        <v>4</v>
      </c>
      <c r="J12" s="1122">
        <v>244</v>
      </c>
      <c r="K12" s="1126">
        <v>0</v>
      </c>
      <c r="L12" s="1128">
        <v>4</v>
      </c>
      <c r="M12" s="1114">
        <v>4</v>
      </c>
      <c r="O12" s="357">
        <f>$M12*$M$27+$L12*$L$27+$K12*$J$27+$I12*$H$27+$G12*$E$27</f>
        <v>2</v>
      </c>
      <c r="P12" s="357">
        <f>$M12*$M$28+$L12*$L$28+$K12*$J$28+$I12*$H$28+$G12*$E$28</f>
        <v>2.6</v>
      </c>
      <c r="Q12" s="357">
        <f>$M12*$M$29+$L12*$L$29+$K12*$J$29+$I12*$H$29+$G12*$E$29</f>
        <v>1.6</v>
      </c>
      <c r="R12" s="357">
        <f t="shared" ref="R12:R22" si="1">SUM(O12:Q12)/3</f>
        <v>2.0666666666666664</v>
      </c>
    </row>
    <row r="13" spans="3:18" ht="15" customHeight="1" thickBot="1" x14ac:dyDescent="0.3">
      <c r="C13" s="374" t="s">
        <v>550</v>
      </c>
      <c r="D13" s="980"/>
      <c r="E13" s="1131"/>
      <c r="F13" s="1132"/>
      <c r="G13" s="1133"/>
      <c r="H13" s="1134"/>
      <c r="I13" s="1135"/>
      <c r="J13" s="1134"/>
      <c r="K13" s="1136"/>
      <c r="L13" s="1137"/>
      <c r="M13" s="1115"/>
      <c r="O13" s="371"/>
      <c r="P13" s="371"/>
      <c r="Q13" s="371"/>
      <c r="R13" s="371"/>
    </row>
    <row r="14" spans="3:18" ht="15" customHeight="1" x14ac:dyDescent="0.25">
      <c r="C14" s="379" t="s">
        <v>421</v>
      </c>
      <c r="D14" s="974"/>
      <c r="E14" s="1116">
        <v>1</v>
      </c>
      <c r="F14" s="1118">
        <v>2</v>
      </c>
      <c r="G14" s="1120">
        <f t="shared" si="0"/>
        <v>3</v>
      </c>
      <c r="H14" s="1122">
        <v>1257.0999999999999</v>
      </c>
      <c r="I14" s="1124">
        <v>1</v>
      </c>
      <c r="J14" s="1122">
        <v>1239</v>
      </c>
      <c r="K14" s="1126">
        <v>4</v>
      </c>
      <c r="L14" s="1128">
        <v>3</v>
      </c>
      <c r="M14" s="1114">
        <v>0</v>
      </c>
      <c r="O14" s="358">
        <f>$M14*$M$27+$L14*$L$27+$K14*$J$27+$I14*$H$27+$G14*$E$27</f>
        <v>2.4500000000000002</v>
      </c>
      <c r="P14" s="358">
        <f>$M14*$M$28+$L14*$L$28+$K14*$J$28+$I14*$H$28+$G14*$E$28</f>
        <v>2.4</v>
      </c>
      <c r="Q14" s="358">
        <f>$M14*$M$29+$L14*$L$29+$K14*$J$29+$I14*$H$29+$G14*$E$29</f>
        <v>2.8000000000000003</v>
      </c>
      <c r="R14" s="358">
        <f t="shared" si="1"/>
        <v>2.5500000000000003</v>
      </c>
    </row>
    <row r="15" spans="3:18" ht="15" customHeight="1" thickBot="1" x14ac:dyDescent="0.3">
      <c r="C15" s="374" t="s">
        <v>551</v>
      </c>
      <c r="D15" s="980"/>
      <c r="E15" s="1131"/>
      <c r="F15" s="1132"/>
      <c r="G15" s="1133"/>
      <c r="H15" s="1134"/>
      <c r="I15" s="1135"/>
      <c r="J15" s="1134"/>
      <c r="K15" s="1136"/>
      <c r="L15" s="1137"/>
      <c r="M15" s="1115"/>
      <c r="O15" s="358"/>
      <c r="P15" s="358"/>
      <c r="Q15" s="358"/>
      <c r="R15" s="358"/>
    </row>
    <row r="16" spans="3:18" ht="15" customHeight="1" x14ac:dyDescent="0.25">
      <c r="C16" s="379" t="s">
        <v>515</v>
      </c>
      <c r="D16" s="974"/>
      <c r="E16" s="1116">
        <v>4</v>
      </c>
      <c r="F16" s="1118">
        <v>2</v>
      </c>
      <c r="G16" s="1120">
        <f t="shared" si="0"/>
        <v>6</v>
      </c>
      <c r="H16" s="1122">
        <v>1069.4000000000001</v>
      </c>
      <c r="I16" s="1124">
        <v>0</v>
      </c>
      <c r="J16" s="1122">
        <v>861</v>
      </c>
      <c r="K16" s="1126">
        <v>3</v>
      </c>
      <c r="L16" s="1128">
        <v>2</v>
      </c>
      <c r="M16" s="1114">
        <v>1</v>
      </c>
      <c r="O16" s="358">
        <f>$M16*$M$27+$L16*$L$27+$K16*$J$27+$I16*$H$27+$G16*$E$27</f>
        <v>1.9500000000000002</v>
      </c>
      <c r="P16" s="358">
        <f>$M16*$M$28+$L16*$L$28+$K16*$J$28+$I16*$H$28+$G16*$E$28</f>
        <v>2.5</v>
      </c>
      <c r="Q16" s="358">
        <f>$M16*$M$29+$L16*$L$29+$K16*$J$29+$I16*$H$29+$G16*$E$29</f>
        <v>3.4000000000000004</v>
      </c>
      <c r="R16" s="358">
        <f t="shared" si="1"/>
        <v>2.6166666666666667</v>
      </c>
    </row>
    <row r="17" spans="2:18" ht="15" customHeight="1" thickBot="1" x14ac:dyDescent="0.3">
      <c r="C17" s="374" t="s">
        <v>552</v>
      </c>
      <c r="D17" s="980"/>
      <c r="E17" s="1131"/>
      <c r="F17" s="1132"/>
      <c r="G17" s="1133"/>
      <c r="H17" s="1134"/>
      <c r="I17" s="1135"/>
      <c r="J17" s="1134"/>
      <c r="K17" s="1136"/>
      <c r="L17" s="1137"/>
      <c r="M17" s="1115"/>
      <c r="O17" s="358"/>
      <c r="P17" s="358"/>
      <c r="Q17" s="358"/>
      <c r="R17" s="358"/>
    </row>
    <row r="18" spans="2:18" ht="15" customHeight="1" x14ac:dyDescent="0.25">
      <c r="C18" s="379" t="s">
        <v>511</v>
      </c>
      <c r="D18" s="974"/>
      <c r="E18" s="1116">
        <v>4</v>
      </c>
      <c r="F18" s="1118">
        <v>0</v>
      </c>
      <c r="G18" s="1120">
        <f t="shared" si="0"/>
        <v>4</v>
      </c>
      <c r="H18" s="1122">
        <v>1171.3</v>
      </c>
      <c r="I18" s="1124">
        <v>0</v>
      </c>
      <c r="J18" s="1122">
        <v>300</v>
      </c>
      <c r="K18" s="1126">
        <v>1</v>
      </c>
      <c r="L18" s="1128">
        <v>2</v>
      </c>
      <c r="M18" s="1114">
        <v>4</v>
      </c>
      <c r="O18" s="358">
        <f>$M18*$M$27+$L18*$L$27+$K18*$J$27+$I18*$H$27+$G18*$E$27</f>
        <v>1.1000000000000001</v>
      </c>
      <c r="P18" s="358">
        <f>$M18*$M$28+$L18*$L$28+$K18*$J$28+$I18*$H$28+$G18*$E$28</f>
        <v>2.25</v>
      </c>
      <c r="Q18" s="358">
        <f>$M18*$M$29+$L18*$L$29+$K18*$J$29+$I18*$H$29+$G18*$E$29</f>
        <v>2.2000000000000002</v>
      </c>
      <c r="R18" s="358">
        <f t="shared" si="1"/>
        <v>1.8500000000000003</v>
      </c>
    </row>
    <row r="19" spans="2:18" ht="15" customHeight="1" thickBot="1" x14ac:dyDescent="0.3">
      <c r="C19" s="374" t="s">
        <v>553</v>
      </c>
      <c r="D19" s="980"/>
      <c r="E19" s="1131"/>
      <c r="F19" s="1132"/>
      <c r="G19" s="1133"/>
      <c r="H19" s="1134"/>
      <c r="I19" s="1135"/>
      <c r="J19" s="1134"/>
      <c r="K19" s="1136"/>
      <c r="L19" s="1137"/>
      <c r="M19" s="1115"/>
      <c r="O19" s="358"/>
      <c r="P19" s="358"/>
      <c r="Q19" s="358"/>
      <c r="R19" s="358"/>
    </row>
    <row r="20" spans="2:18" ht="15" customHeight="1" x14ac:dyDescent="0.25">
      <c r="C20" s="379" t="s">
        <v>420</v>
      </c>
      <c r="D20" s="974"/>
      <c r="E20" s="1116">
        <v>2</v>
      </c>
      <c r="F20" s="1118">
        <v>0</v>
      </c>
      <c r="G20" s="1120">
        <f t="shared" si="0"/>
        <v>2</v>
      </c>
      <c r="H20" s="1122">
        <v>1853.1</v>
      </c>
      <c r="I20" s="1124">
        <v>3</v>
      </c>
      <c r="J20" s="1122">
        <v>114</v>
      </c>
      <c r="K20" s="1126">
        <v>0</v>
      </c>
      <c r="L20" s="1128">
        <v>1</v>
      </c>
      <c r="M20" s="1114">
        <v>3</v>
      </c>
      <c r="O20" s="358">
        <f>$M20*$M$27+$L20*$L$27+$K20*$J$27+$I20*$H$27+$G20*$E$27</f>
        <v>1.6</v>
      </c>
      <c r="P20" s="358">
        <f>$M20*$M$28+$L20*$L$28+$K20*$J$28+$I20*$H$28+$G20*$E$28</f>
        <v>1.65</v>
      </c>
      <c r="Q20" s="358">
        <f>$M20*$M$29+$L20*$L$29+$K20*$J$29+$I20*$H$29+$G20*$E$29</f>
        <v>1.6</v>
      </c>
      <c r="R20" s="358">
        <f t="shared" si="1"/>
        <v>1.6166666666666665</v>
      </c>
    </row>
    <row r="21" spans="2:18" ht="15" customHeight="1" thickBot="1" x14ac:dyDescent="0.3">
      <c r="C21" s="374" t="s">
        <v>553</v>
      </c>
      <c r="D21" s="980"/>
      <c r="E21" s="1131"/>
      <c r="F21" s="1132"/>
      <c r="G21" s="1133"/>
      <c r="H21" s="1134"/>
      <c r="I21" s="1135"/>
      <c r="J21" s="1134"/>
      <c r="K21" s="1136"/>
      <c r="L21" s="1137"/>
      <c r="M21" s="1115"/>
      <c r="O21" s="372"/>
      <c r="P21" s="372"/>
      <c r="Q21" s="372"/>
      <c r="R21" s="372"/>
    </row>
    <row r="22" spans="2:18" ht="15" customHeight="1" thickBot="1" x14ac:dyDescent="0.3">
      <c r="C22" s="379" t="s">
        <v>419</v>
      </c>
      <c r="D22" s="974"/>
      <c r="E22" s="1116">
        <v>0</v>
      </c>
      <c r="F22" s="1118">
        <v>2</v>
      </c>
      <c r="G22" s="1120">
        <f t="shared" si="0"/>
        <v>2</v>
      </c>
      <c r="H22" s="1122">
        <v>1992.3</v>
      </c>
      <c r="I22" s="1124">
        <v>3</v>
      </c>
      <c r="J22" s="1122">
        <v>1040</v>
      </c>
      <c r="K22" s="1126">
        <v>4</v>
      </c>
      <c r="L22" s="1128">
        <v>0</v>
      </c>
      <c r="M22" s="1114">
        <v>3</v>
      </c>
      <c r="O22" s="359">
        <f>$M22*$M$27+$L22*$L$27+$K22*$J$27+$I22*$H$27+$G22*$E$27</f>
        <v>3.1500000000000004</v>
      </c>
      <c r="P22" s="359">
        <f>$M22*$M$28+$L22*$L$28+$K22*$J$28+$I22*$H$28+$G22*$E$28</f>
        <v>1.9</v>
      </c>
      <c r="Q22" s="359">
        <f>$M22*$M$29+$L22*$L$29+$K22*$J$29+$I22*$H$29+$G22*$E$29</f>
        <v>2.2000000000000002</v>
      </c>
      <c r="R22" s="359">
        <f t="shared" si="1"/>
        <v>2.416666666666667</v>
      </c>
    </row>
    <row r="23" spans="2:18" ht="15" customHeight="1" thickBot="1" x14ac:dyDescent="0.3">
      <c r="C23" s="374" t="s">
        <v>551</v>
      </c>
      <c r="D23" s="980"/>
      <c r="E23" s="1117"/>
      <c r="F23" s="1119"/>
      <c r="G23" s="1121"/>
      <c r="H23" s="1123"/>
      <c r="I23" s="1125"/>
      <c r="J23" s="1123"/>
      <c r="K23" s="1127"/>
      <c r="L23" s="1129"/>
      <c r="M23" s="1130"/>
      <c r="O23" s="373"/>
      <c r="P23" s="373"/>
      <c r="Q23" s="373"/>
      <c r="R23" s="373"/>
    </row>
    <row r="24" spans="2:18" ht="15" customHeight="1" x14ac:dyDescent="0.25">
      <c r="B24" s="380"/>
      <c r="C24" s="521"/>
      <c r="D24" s="15"/>
      <c r="F24" s="520"/>
      <c r="G24" s="441"/>
      <c r="H24" s="520"/>
      <c r="I24" s="441"/>
      <c r="J24" s="520"/>
      <c r="K24" s="441"/>
      <c r="L24" s="441"/>
      <c r="M24" s="441"/>
      <c r="O24" s="373"/>
      <c r="P24" s="373"/>
      <c r="Q24" s="373"/>
      <c r="R24" s="373"/>
    </row>
    <row r="25" spans="2:18" ht="16.5" thickBot="1" x14ac:dyDescent="0.3">
      <c r="C25" s="522" t="s">
        <v>549</v>
      </c>
      <c r="D25" s="329"/>
      <c r="E25" s="356"/>
      <c r="F25" s="356"/>
      <c r="G25" s="356"/>
      <c r="H25" s="356"/>
      <c r="I25" s="356"/>
      <c r="J25" s="356"/>
      <c r="K25" s="356"/>
      <c r="L25" s="356"/>
      <c r="M25" s="356"/>
      <c r="O25" s="216"/>
    </row>
    <row r="26" spans="2:18" ht="18" thickBot="1" x14ac:dyDescent="0.35">
      <c r="C26" s="1087" t="s">
        <v>846</v>
      </c>
      <c r="D26" s="1088"/>
      <c r="E26" s="983" t="s">
        <v>540</v>
      </c>
      <c r="F26" s="984"/>
      <c r="G26" s="985"/>
      <c r="H26" s="986" t="s">
        <v>541</v>
      </c>
      <c r="I26" s="987"/>
      <c r="J26" s="988" t="s">
        <v>542</v>
      </c>
      <c r="K26" s="989"/>
      <c r="L26" s="363" t="s">
        <v>543</v>
      </c>
      <c r="M26" s="364" t="s">
        <v>544</v>
      </c>
      <c r="O26" s="216"/>
    </row>
    <row r="27" spans="2:18" ht="19.5" customHeight="1" x14ac:dyDescent="0.25">
      <c r="C27" s="1098" t="s">
        <v>532</v>
      </c>
      <c r="D27" s="1099"/>
      <c r="E27" s="1100">
        <v>0.1</v>
      </c>
      <c r="F27" s="1100"/>
      <c r="G27" s="1101"/>
      <c r="H27" s="1102">
        <v>0.4</v>
      </c>
      <c r="I27" s="1103"/>
      <c r="J27" s="1104">
        <v>0.4</v>
      </c>
      <c r="K27" s="1105"/>
      <c r="L27" s="527">
        <v>0.05</v>
      </c>
      <c r="M27" s="530">
        <v>0.05</v>
      </c>
      <c r="O27" s="216"/>
    </row>
    <row r="28" spans="2:18" ht="19.5" customHeight="1" x14ac:dyDescent="0.25">
      <c r="C28" s="1106" t="s">
        <v>533</v>
      </c>
      <c r="D28" s="1107"/>
      <c r="E28" s="1108">
        <v>0.2</v>
      </c>
      <c r="F28" s="1108"/>
      <c r="G28" s="1109"/>
      <c r="H28" s="1110">
        <v>0.15</v>
      </c>
      <c r="I28" s="1111"/>
      <c r="J28" s="1112">
        <v>0.15</v>
      </c>
      <c r="K28" s="1113"/>
      <c r="L28" s="528">
        <v>0.35</v>
      </c>
      <c r="M28" s="531">
        <v>0.15</v>
      </c>
      <c r="O28" s="216"/>
    </row>
    <row r="29" spans="2:18" ht="18.75" customHeight="1" thickBot="1" x14ac:dyDescent="0.3">
      <c r="C29" s="1089" t="s">
        <v>534</v>
      </c>
      <c r="D29" s="1090"/>
      <c r="E29" s="1091">
        <v>0.4</v>
      </c>
      <c r="F29" s="1091"/>
      <c r="G29" s="1092"/>
      <c r="H29" s="1093">
        <v>0.2</v>
      </c>
      <c r="I29" s="1094"/>
      <c r="J29" s="1095">
        <v>0.2</v>
      </c>
      <c r="K29" s="1096"/>
      <c r="L29" s="529">
        <v>0.2</v>
      </c>
      <c r="M29" s="532">
        <v>0</v>
      </c>
      <c r="O29" s="216"/>
    </row>
    <row r="30" spans="2:18" x14ac:dyDescent="0.25">
      <c r="D30" s="329"/>
      <c r="E30" s="356"/>
      <c r="F30" s="356"/>
      <c r="G30" s="356"/>
      <c r="H30" s="356"/>
      <c r="I30" s="356"/>
      <c r="J30" s="356"/>
      <c r="K30" s="356"/>
      <c r="L30" s="356"/>
      <c r="M30" s="356"/>
      <c r="O30" s="216"/>
    </row>
    <row r="31" spans="2:18" ht="15.75" thickBot="1" x14ac:dyDescent="0.3">
      <c r="C31" s="14" t="s">
        <v>531</v>
      </c>
    </row>
    <row r="32" spans="2:18" ht="18.75" thickBot="1" x14ac:dyDescent="0.4">
      <c r="C32" s="325" t="s">
        <v>520</v>
      </c>
      <c r="D32" s="328" t="s">
        <v>145</v>
      </c>
      <c r="E32" s="331" t="s">
        <v>413</v>
      </c>
      <c r="F32" s="332" t="s">
        <v>414</v>
      </c>
      <c r="G32" s="353" t="s">
        <v>524</v>
      </c>
      <c r="H32" s="337" t="s">
        <v>518</v>
      </c>
      <c r="I32" s="338" t="s">
        <v>525</v>
      </c>
      <c r="J32" s="354" t="s">
        <v>519</v>
      </c>
      <c r="K32" s="341" t="s">
        <v>526</v>
      </c>
      <c r="L32" s="340" t="s">
        <v>527</v>
      </c>
      <c r="M32" s="355" t="s">
        <v>528</v>
      </c>
      <c r="O32" s="326" t="s">
        <v>512</v>
      </c>
      <c r="P32" s="326" t="s">
        <v>513</v>
      </c>
      <c r="Q32" s="326" t="s">
        <v>514</v>
      </c>
      <c r="R32" s="326" t="s">
        <v>522</v>
      </c>
    </row>
    <row r="33" spans="3:25" ht="30" customHeight="1" thickBot="1" x14ac:dyDescent="0.3">
      <c r="C33" s="423" t="s">
        <v>420</v>
      </c>
      <c r="D33" s="346"/>
      <c r="E33" s="348">
        <v>2</v>
      </c>
      <c r="F33" s="327">
        <v>0</v>
      </c>
      <c r="G33" s="349">
        <f t="shared" ref="G33:G38" si="2">SUM(E33:F33)</f>
        <v>2</v>
      </c>
      <c r="H33" s="350">
        <v>1853.1</v>
      </c>
      <c r="I33" s="349">
        <v>3</v>
      </c>
      <c r="J33" s="351">
        <v>114</v>
      </c>
      <c r="K33" s="352">
        <v>0</v>
      </c>
      <c r="L33" s="360">
        <v>1</v>
      </c>
      <c r="M33" s="360">
        <v>3</v>
      </c>
      <c r="O33" s="357">
        <f t="shared" ref="O33:O38" si="3">$M33*$M$27+$L33*$L$27+$K33*$J$27+$I33*$H$27+$G33*$E$27</f>
        <v>1.6</v>
      </c>
      <c r="P33" s="357">
        <f t="shared" ref="P33:P38" si="4">$M33*$M$28+$L33*$L$28+$K33*$J$28+$I33*$H$28+$G33*$E$28</f>
        <v>1.65</v>
      </c>
      <c r="Q33" s="357">
        <f t="shared" ref="Q33:Q38" si="5">$M33*$M$29+$L33*$L$29+$K33*$J$29+$I33*$H$29+$G33*$E$29</f>
        <v>1.6</v>
      </c>
      <c r="R33" s="357">
        <f t="shared" ref="R33:R38" si="6">SUM(O33:Q33)/3</f>
        <v>1.6166666666666665</v>
      </c>
    </row>
    <row r="34" spans="3:25" ht="30" customHeight="1" thickBot="1" x14ac:dyDescent="0.3">
      <c r="C34" s="423" t="s">
        <v>511</v>
      </c>
      <c r="D34" s="346"/>
      <c r="E34" s="348">
        <v>4</v>
      </c>
      <c r="F34" s="327">
        <v>0</v>
      </c>
      <c r="G34" s="349">
        <f t="shared" si="2"/>
        <v>4</v>
      </c>
      <c r="H34" s="350">
        <v>1171.3</v>
      </c>
      <c r="I34" s="349">
        <v>0</v>
      </c>
      <c r="J34" s="351">
        <v>300</v>
      </c>
      <c r="K34" s="352">
        <v>1</v>
      </c>
      <c r="L34" s="360">
        <v>2</v>
      </c>
      <c r="M34" s="360">
        <v>4</v>
      </c>
      <c r="O34" s="357">
        <f t="shared" si="3"/>
        <v>1.1000000000000001</v>
      </c>
      <c r="P34" s="357">
        <f t="shared" si="4"/>
        <v>2.25</v>
      </c>
      <c r="Q34" s="357">
        <f t="shared" si="5"/>
        <v>2.2000000000000002</v>
      </c>
      <c r="R34" s="357">
        <f t="shared" si="6"/>
        <v>1.8500000000000003</v>
      </c>
    </row>
    <row r="35" spans="3:25" ht="30" customHeight="1" thickBot="1" x14ac:dyDescent="0.3">
      <c r="C35" s="424" t="s">
        <v>423</v>
      </c>
      <c r="D35" s="322"/>
      <c r="E35" s="323">
        <v>0</v>
      </c>
      <c r="F35" s="320">
        <v>0</v>
      </c>
      <c r="G35" s="333">
        <f t="shared" si="2"/>
        <v>0</v>
      </c>
      <c r="H35" s="335">
        <v>2236.5</v>
      </c>
      <c r="I35" s="333">
        <v>4</v>
      </c>
      <c r="J35" s="344">
        <v>244</v>
      </c>
      <c r="K35" s="342">
        <v>0</v>
      </c>
      <c r="L35" s="361">
        <v>4</v>
      </c>
      <c r="M35" s="361">
        <v>4</v>
      </c>
      <c r="O35" s="357">
        <f t="shared" si="3"/>
        <v>2</v>
      </c>
      <c r="P35" s="357">
        <f t="shared" si="4"/>
        <v>2.6</v>
      </c>
      <c r="Q35" s="357">
        <f t="shared" si="5"/>
        <v>1.6</v>
      </c>
      <c r="R35" s="357">
        <f t="shared" si="6"/>
        <v>2.0666666666666664</v>
      </c>
    </row>
    <row r="36" spans="3:25" ht="30" customHeight="1" thickBot="1" x14ac:dyDescent="0.3">
      <c r="C36" s="424" t="s">
        <v>419</v>
      </c>
      <c r="D36" s="322"/>
      <c r="E36" s="323">
        <v>0</v>
      </c>
      <c r="F36" s="320">
        <v>2</v>
      </c>
      <c r="G36" s="333">
        <f t="shared" si="2"/>
        <v>2</v>
      </c>
      <c r="H36" s="335">
        <v>1992.3</v>
      </c>
      <c r="I36" s="333">
        <v>3</v>
      </c>
      <c r="J36" s="344">
        <v>1040</v>
      </c>
      <c r="K36" s="342">
        <v>4</v>
      </c>
      <c r="L36" s="361">
        <v>0</v>
      </c>
      <c r="M36" s="361">
        <v>3</v>
      </c>
      <c r="O36" s="357">
        <f t="shared" si="3"/>
        <v>3.1500000000000004</v>
      </c>
      <c r="P36" s="357">
        <f t="shared" si="4"/>
        <v>1.9</v>
      </c>
      <c r="Q36" s="357">
        <f t="shared" si="5"/>
        <v>2.2000000000000002</v>
      </c>
      <c r="R36" s="357">
        <f t="shared" si="6"/>
        <v>2.416666666666667</v>
      </c>
    </row>
    <row r="37" spans="3:25" ht="30" customHeight="1" thickBot="1" x14ac:dyDescent="0.3">
      <c r="C37" s="424" t="s">
        <v>421</v>
      </c>
      <c r="D37" s="322"/>
      <c r="E37" s="323">
        <v>1</v>
      </c>
      <c r="F37" s="320">
        <v>2</v>
      </c>
      <c r="G37" s="333">
        <f t="shared" si="2"/>
        <v>3</v>
      </c>
      <c r="H37" s="335">
        <v>1257.0999999999999</v>
      </c>
      <c r="I37" s="333">
        <v>1</v>
      </c>
      <c r="J37" s="344">
        <v>1239</v>
      </c>
      <c r="K37" s="342">
        <v>4</v>
      </c>
      <c r="L37" s="361">
        <v>3</v>
      </c>
      <c r="M37" s="361">
        <v>0</v>
      </c>
      <c r="O37" s="357">
        <f t="shared" si="3"/>
        <v>2.4500000000000002</v>
      </c>
      <c r="P37" s="357">
        <f t="shared" si="4"/>
        <v>2.4</v>
      </c>
      <c r="Q37" s="357">
        <f t="shared" si="5"/>
        <v>2.8000000000000003</v>
      </c>
      <c r="R37" s="357">
        <f t="shared" si="6"/>
        <v>2.5500000000000003</v>
      </c>
    </row>
    <row r="38" spans="3:25" ht="30" customHeight="1" thickBot="1" x14ac:dyDescent="0.3">
      <c r="C38" s="425" t="s">
        <v>515</v>
      </c>
      <c r="D38" s="319"/>
      <c r="E38" s="324">
        <v>4</v>
      </c>
      <c r="F38" s="321">
        <v>2</v>
      </c>
      <c r="G38" s="334">
        <f t="shared" si="2"/>
        <v>6</v>
      </c>
      <c r="H38" s="336">
        <v>1069.4000000000001</v>
      </c>
      <c r="I38" s="334">
        <v>0</v>
      </c>
      <c r="J38" s="345">
        <v>861</v>
      </c>
      <c r="K38" s="343">
        <v>3</v>
      </c>
      <c r="L38" s="362">
        <v>2</v>
      </c>
      <c r="M38" s="362">
        <v>1</v>
      </c>
      <c r="O38" s="357">
        <f t="shared" si="3"/>
        <v>1.9500000000000002</v>
      </c>
      <c r="P38" s="357">
        <f t="shared" si="4"/>
        <v>2.5</v>
      </c>
      <c r="Q38" s="357">
        <f t="shared" si="5"/>
        <v>3.4000000000000004</v>
      </c>
      <c r="R38" s="357">
        <f t="shared" si="6"/>
        <v>2.6166666666666667</v>
      </c>
    </row>
    <row r="40" spans="3:25" x14ac:dyDescent="0.25">
      <c r="C40" s="14"/>
    </row>
    <row r="41" spans="3:25" ht="15.75" customHeight="1" x14ac:dyDescent="0.25"/>
    <row r="42" spans="3:25" ht="30" customHeight="1" thickBot="1" x14ac:dyDescent="0.3">
      <c r="C42" s="14" t="s">
        <v>1182</v>
      </c>
    </row>
    <row r="43" spans="3:25" ht="30" customHeight="1" thickBot="1" x14ac:dyDescent="0.3">
      <c r="C43" s="325" t="s">
        <v>520</v>
      </c>
      <c r="D43" s="328" t="s">
        <v>145</v>
      </c>
      <c r="E43" s="331" t="s">
        <v>512</v>
      </c>
      <c r="F43" s="332" t="s">
        <v>513</v>
      </c>
      <c r="G43" s="667" t="s">
        <v>514</v>
      </c>
      <c r="H43" s="337" t="s">
        <v>512</v>
      </c>
      <c r="I43" s="668" t="s">
        <v>513</v>
      </c>
      <c r="J43" s="669" t="s">
        <v>514</v>
      </c>
      <c r="K43" s="354" t="s">
        <v>512</v>
      </c>
      <c r="L43" s="670" t="s">
        <v>513</v>
      </c>
      <c r="M43" s="682" t="s">
        <v>514</v>
      </c>
      <c r="N43" s="680" t="s">
        <v>512</v>
      </c>
      <c r="O43" s="671" t="s">
        <v>513</v>
      </c>
      <c r="P43" s="681" t="s">
        <v>514</v>
      </c>
      <c r="Q43" s="677" t="s">
        <v>512</v>
      </c>
      <c r="R43" s="672" t="s">
        <v>513</v>
      </c>
      <c r="S43" s="673" t="s">
        <v>514</v>
      </c>
      <c r="W43" t="s">
        <v>1183</v>
      </c>
      <c r="X43" t="s">
        <v>1184</v>
      </c>
      <c r="Y43" t="s">
        <v>1185</v>
      </c>
    </row>
    <row r="44" spans="3:25" ht="30" customHeight="1" x14ac:dyDescent="0.25">
      <c r="C44" s="423" t="s">
        <v>420</v>
      </c>
      <c r="D44" s="346"/>
      <c r="E44" s="351">
        <f>G33*$E$27</f>
        <v>0.2</v>
      </c>
      <c r="F44" s="656">
        <f t="shared" ref="F44:F49" si="7">G33*$E$28</f>
        <v>0.4</v>
      </c>
      <c r="G44" s="349">
        <f t="shared" ref="G44:G49" si="8">G33*$E$29</f>
        <v>0.8</v>
      </c>
      <c r="H44" s="351">
        <f t="shared" ref="H44:H49" si="9">I33*$H$27</f>
        <v>1.2000000000000002</v>
      </c>
      <c r="I44" s="656">
        <f t="shared" ref="I44:I49" si="10">I33*$H$28</f>
        <v>0.44999999999999996</v>
      </c>
      <c r="J44" s="349">
        <f t="shared" ref="J44:J49" si="11">I33*$H$29</f>
        <v>0.60000000000000009</v>
      </c>
      <c r="K44" s="351">
        <f t="shared" ref="K44:K49" si="12">K33*$J$27</f>
        <v>0</v>
      </c>
      <c r="L44" s="656">
        <f t="shared" ref="L44:L49" si="13">K33*$J$28</f>
        <v>0</v>
      </c>
      <c r="M44" s="349">
        <f t="shared" ref="M44:M49" si="14">K33*$J$29</f>
        <v>0</v>
      </c>
      <c r="N44" s="678">
        <f t="shared" ref="N44:N49" si="15">L33*$L$27</f>
        <v>0.05</v>
      </c>
      <c r="O44" s="665">
        <f t="shared" ref="O44:O49" si="16">L33*$L$28</f>
        <v>0.35</v>
      </c>
      <c r="P44" s="666">
        <f t="shared" ref="P44:P49" si="17">L33*$L$29</f>
        <v>0.2</v>
      </c>
      <c r="Q44" s="678">
        <f t="shared" ref="Q44:Q49" si="18">M33*$M$27</f>
        <v>0.15000000000000002</v>
      </c>
      <c r="R44" s="665">
        <f t="shared" ref="R44:R49" si="19">M33*$M$28</f>
        <v>0.44999999999999996</v>
      </c>
      <c r="S44" s="666">
        <f t="shared" ref="S44:S49" si="20">M33*$M$29</f>
        <v>0</v>
      </c>
      <c r="T44" s="663"/>
      <c r="U44" s="662"/>
      <c r="V44" s="662"/>
      <c r="W44">
        <f>SUM(E44,H44,K44,N44,Q44)</f>
        <v>1.6</v>
      </c>
      <c r="X44">
        <f>SUM(F44,I44,L44,O44,R44)</f>
        <v>1.65</v>
      </c>
      <c r="Y44">
        <f>SUM(G44,J44,M44,P44,S44)</f>
        <v>1.6</v>
      </c>
    </row>
    <row r="45" spans="3:25" ht="30" customHeight="1" x14ac:dyDescent="0.25">
      <c r="C45" s="423" t="s">
        <v>511</v>
      </c>
      <c r="D45" s="346"/>
      <c r="E45" s="344">
        <f t="shared" ref="E45:E49" si="21">G34*$E$27</f>
        <v>0.4</v>
      </c>
      <c r="F45" s="661">
        <f t="shared" si="7"/>
        <v>0.8</v>
      </c>
      <c r="G45" s="333">
        <f t="shared" si="8"/>
        <v>1.6</v>
      </c>
      <c r="H45" s="344">
        <f t="shared" si="9"/>
        <v>0</v>
      </c>
      <c r="I45" s="661">
        <f t="shared" si="10"/>
        <v>0</v>
      </c>
      <c r="J45" s="333">
        <f t="shared" si="11"/>
        <v>0</v>
      </c>
      <c r="K45" s="351">
        <f t="shared" si="12"/>
        <v>0.4</v>
      </c>
      <c r="L45" s="656">
        <f t="shared" si="13"/>
        <v>0.15</v>
      </c>
      <c r="M45" s="349">
        <f t="shared" si="14"/>
        <v>0.2</v>
      </c>
      <c r="N45" s="678">
        <f t="shared" si="15"/>
        <v>0.1</v>
      </c>
      <c r="O45" s="665">
        <f t="shared" si="16"/>
        <v>0.7</v>
      </c>
      <c r="P45" s="666">
        <f t="shared" si="17"/>
        <v>0.4</v>
      </c>
      <c r="Q45" s="678">
        <f t="shared" si="18"/>
        <v>0.2</v>
      </c>
      <c r="R45" s="665">
        <f t="shared" si="19"/>
        <v>0.6</v>
      </c>
      <c r="S45" s="666">
        <f t="shared" si="20"/>
        <v>0</v>
      </c>
      <c r="T45" s="663"/>
      <c r="U45" s="662"/>
      <c r="V45" s="662"/>
      <c r="W45">
        <f>SUM(E45,H45,K45,N45,Q45)</f>
        <v>1.1000000000000001</v>
      </c>
      <c r="X45">
        <f t="shared" ref="X45:X49" si="22">SUM(F45,I45,L45,O45,R45)</f>
        <v>2.25</v>
      </c>
      <c r="Y45">
        <f t="shared" ref="Y45:Y49" si="23">SUM(G45,J45,M45,P45,S45)</f>
        <v>2.2000000000000002</v>
      </c>
    </row>
    <row r="46" spans="3:25" ht="30" customHeight="1" x14ac:dyDescent="0.25">
      <c r="C46" s="424" t="s">
        <v>423</v>
      </c>
      <c r="D46" s="322"/>
      <c r="E46" s="344">
        <f t="shared" si="21"/>
        <v>0</v>
      </c>
      <c r="F46" s="661">
        <f t="shared" si="7"/>
        <v>0</v>
      </c>
      <c r="G46" s="333">
        <f t="shared" si="8"/>
        <v>0</v>
      </c>
      <c r="H46" s="344">
        <f t="shared" si="9"/>
        <v>1.6</v>
      </c>
      <c r="I46" s="661">
        <f t="shared" si="10"/>
        <v>0.6</v>
      </c>
      <c r="J46" s="333">
        <f t="shared" si="11"/>
        <v>0.8</v>
      </c>
      <c r="K46" s="351">
        <f t="shared" si="12"/>
        <v>0</v>
      </c>
      <c r="L46" s="656">
        <f t="shared" si="13"/>
        <v>0</v>
      </c>
      <c r="M46" s="349">
        <f t="shared" si="14"/>
        <v>0</v>
      </c>
      <c r="N46" s="678">
        <f t="shared" si="15"/>
        <v>0.2</v>
      </c>
      <c r="O46" s="665">
        <f t="shared" si="16"/>
        <v>1.4</v>
      </c>
      <c r="P46" s="666">
        <f t="shared" si="17"/>
        <v>0.8</v>
      </c>
      <c r="Q46" s="678">
        <f t="shared" si="18"/>
        <v>0.2</v>
      </c>
      <c r="R46" s="665">
        <f t="shared" si="19"/>
        <v>0.6</v>
      </c>
      <c r="S46" s="666">
        <f t="shared" si="20"/>
        <v>0</v>
      </c>
      <c r="T46" s="663"/>
      <c r="U46" s="662"/>
      <c r="V46" s="662"/>
      <c r="W46">
        <f>SUM(E46,H46,K46,N46,Q46)</f>
        <v>2</v>
      </c>
      <c r="X46">
        <f t="shared" si="22"/>
        <v>2.6</v>
      </c>
      <c r="Y46">
        <f t="shared" si="23"/>
        <v>1.6</v>
      </c>
    </row>
    <row r="47" spans="3:25" ht="30" customHeight="1" x14ac:dyDescent="0.25">
      <c r="C47" s="424" t="s">
        <v>419</v>
      </c>
      <c r="D47" s="322"/>
      <c r="E47" s="344">
        <f t="shared" si="21"/>
        <v>0.2</v>
      </c>
      <c r="F47" s="661">
        <f t="shared" si="7"/>
        <v>0.4</v>
      </c>
      <c r="G47" s="333">
        <f t="shared" si="8"/>
        <v>0.8</v>
      </c>
      <c r="H47" s="344">
        <f t="shared" si="9"/>
        <v>1.2000000000000002</v>
      </c>
      <c r="I47" s="661">
        <f t="shared" si="10"/>
        <v>0.44999999999999996</v>
      </c>
      <c r="J47" s="333">
        <f t="shared" si="11"/>
        <v>0.60000000000000009</v>
      </c>
      <c r="K47" s="351">
        <f t="shared" si="12"/>
        <v>1.6</v>
      </c>
      <c r="L47" s="656">
        <f t="shared" si="13"/>
        <v>0.6</v>
      </c>
      <c r="M47" s="349">
        <f t="shared" si="14"/>
        <v>0.8</v>
      </c>
      <c r="N47" s="678">
        <f t="shared" si="15"/>
        <v>0</v>
      </c>
      <c r="O47" s="665">
        <f t="shared" si="16"/>
        <v>0</v>
      </c>
      <c r="P47" s="666">
        <f t="shared" si="17"/>
        <v>0</v>
      </c>
      <c r="Q47" s="678">
        <f t="shared" si="18"/>
        <v>0.15000000000000002</v>
      </c>
      <c r="R47" s="665">
        <f t="shared" si="19"/>
        <v>0.44999999999999996</v>
      </c>
      <c r="S47" s="666">
        <f t="shared" si="20"/>
        <v>0</v>
      </c>
      <c r="T47" s="663"/>
      <c r="U47" s="662"/>
      <c r="V47" s="662"/>
      <c r="W47">
        <f>SUM(E47,H47,K47,N47,Q47)</f>
        <v>3.15</v>
      </c>
      <c r="X47">
        <f t="shared" si="22"/>
        <v>1.9</v>
      </c>
      <c r="Y47">
        <f t="shared" si="23"/>
        <v>2.2000000000000002</v>
      </c>
    </row>
    <row r="48" spans="3:25" ht="30" customHeight="1" x14ac:dyDescent="0.25">
      <c r="C48" s="424" t="s">
        <v>421</v>
      </c>
      <c r="D48" s="322"/>
      <c r="E48" s="344">
        <f t="shared" si="21"/>
        <v>0.30000000000000004</v>
      </c>
      <c r="F48" s="661">
        <f t="shared" si="7"/>
        <v>0.60000000000000009</v>
      </c>
      <c r="G48" s="333">
        <f t="shared" si="8"/>
        <v>1.2000000000000002</v>
      </c>
      <c r="H48" s="344">
        <f t="shared" si="9"/>
        <v>0.4</v>
      </c>
      <c r="I48" s="661">
        <f t="shared" si="10"/>
        <v>0.15</v>
      </c>
      <c r="J48" s="333">
        <f t="shared" si="11"/>
        <v>0.2</v>
      </c>
      <c r="K48" s="351">
        <f t="shared" si="12"/>
        <v>1.6</v>
      </c>
      <c r="L48" s="656">
        <f t="shared" si="13"/>
        <v>0.6</v>
      </c>
      <c r="M48" s="349">
        <f t="shared" si="14"/>
        <v>0.8</v>
      </c>
      <c r="N48" s="678">
        <f t="shared" si="15"/>
        <v>0.15000000000000002</v>
      </c>
      <c r="O48" s="665">
        <f t="shared" si="16"/>
        <v>1.0499999999999998</v>
      </c>
      <c r="P48" s="666">
        <f t="shared" si="17"/>
        <v>0.60000000000000009</v>
      </c>
      <c r="Q48" s="678">
        <f t="shared" si="18"/>
        <v>0</v>
      </c>
      <c r="R48" s="665">
        <f t="shared" si="19"/>
        <v>0</v>
      </c>
      <c r="S48" s="666">
        <f t="shared" si="20"/>
        <v>0</v>
      </c>
      <c r="T48" s="663"/>
      <c r="U48" s="662"/>
      <c r="V48" s="662"/>
      <c r="W48">
        <f>SUM(E48,H48,K48,N48,Q48)</f>
        <v>2.4500000000000002</v>
      </c>
      <c r="X48">
        <f t="shared" si="22"/>
        <v>2.4</v>
      </c>
      <c r="Y48">
        <f t="shared" si="23"/>
        <v>2.8000000000000003</v>
      </c>
    </row>
    <row r="49" spans="3:25" ht="30" customHeight="1" thickBot="1" x14ac:dyDescent="0.3">
      <c r="C49" s="425" t="s">
        <v>515</v>
      </c>
      <c r="D49" s="319"/>
      <c r="E49" s="345">
        <f t="shared" si="21"/>
        <v>0.60000000000000009</v>
      </c>
      <c r="F49" s="664">
        <f t="shared" si="7"/>
        <v>1.2000000000000002</v>
      </c>
      <c r="G49" s="334">
        <f t="shared" si="8"/>
        <v>2.4000000000000004</v>
      </c>
      <c r="H49" s="345">
        <f t="shared" si="9"/>
        <v>0</v>
      </c>
      <c r="I49" s="664">
        <f t="shared" si="10"/>
        <v>0</v>
      </c>
      <c r="J49" s="334">
        <f t="shared" si="11"/>
        <v>0</v>
      </c>
      <c r="K49" s="657">
        <f t="shared" si="12"/>
        <v>1.2000000000000002</v>
      </c>
      <c r="L49" s="674">
        <f t="shared" si="13"/>
        <v>0.44999999999999996</v>
      </c>
      <c r="M49" s="683">
        <f t="shared" si="14"/>
        <v>0.60000000000000009</v>
      </c>
      <c r="N49" s="679">
        <f t="shared" si="15"/>
        <v>0.1</v>
      </c>
      <c r="O49" s="675">
        <f t="shared" si="16"/>
        <v>0.7</v>
      </c>
      <c r="P49" s="676">
        <f t="shared" si="17"/>
        <v>0.4</v>
      </c>
      <c r="Q49" s="679">
        <f t="shared" si="18"/>
        <v>0.05</v>
      </c>
      <c r="R49" s="675">
        <f t="shared" si="19"/>
        <v>0.15</v>
      </c>
      <c r="S49" s="676">
        <f t="shared" si="20"/>
        <v>0</v>
      </c>
      <c r="T49" s="663"/>
      <c r="U49" s="662"/>
      <c r="V49" s="662"/>
      <c r="W49">
        <f>SUM(E49,H49,K49,N49,Q49)</f>
        <v>1.9500000000000004</v>
      </c>
      <c r="X49">
        <f t="shared" si="22"/>
        <v>2.5</v>
      </c>
      <c r="Y49">
        <f t="shared" si="23"/>
        <v>3.4000000000000004</v>
      </c>
    </row>
    <row r="51" spans="3:25" ht="15.75" thickBot="1" x14ac:dyDescent="0.3"/>
    <row r="52" spans="3:25" x14ac:dyDescent="0.25">
      <c r="D52" s="690" t="s">
        <v>1191</v>
      </c>
      <c r="E52" s="1097" t="s">
        <v>420</v>
      </c>
      <c r="F52" s="1082"/>
      <c r="G52" s="1082"/>
      <c r="H52" s="1082" t="s">
        <v>511</v>
      </c>
      <c r="I52" s="1082"/>
      <c r="J52" s="1082"/>
      <c r="K52" s="1082" t="s">
        <v>423</v>
      </c>
      <c r="L52" s="1082"/>
      <c r="M52" s="1082"/>
      <c r="N52" s="1082" t="s">
        <v>419</v>
      </c>
      <c r="O52" s="1082"/>
      <c r="P52" s="1082"/>
      <c r="Q52" s="1082" t="s">
        <v>421</v>
      </c>
      <c r="R52" s="1082"/>
      <c r="S52" s="1082"/>
      <c r="T52" s="684"/>
      <c r="U52" s="684"/>
      <c r="V52" s="684"/>
      <c r="W52" s="1082" t="s">
        <v>515</v>
      </c>
      <c r="X52" s="1082"/>
      <c r="Y52" s="1083"/>
    </row>
    <row r="53" spans="3:25" ht="15.75" thickBot="1" x14ac:dyDescent="0.3">
      <c r="D53" s="691" t="s">
        <v>1190</v>
      </c>
      <c r="E53" s="686" t="s">
        <v>512</v>
      </c>
      <c r="F53" s="685" t="s">
        <v>513</v>
      </c>
      <c r="G53" s="685" t="s">
        <v>514</v>
      </c>
      <c r="H53" s="685" t="s">
        <v>512</v>
      </c>
      <c r="I53" s="685" t="s">
        <v>513</v>
      </c>
      <c r="J53" s="685" t="s">
        <v>514</v>
      </c>
      <c r="K53" s="685" t="s">
        <v>512</v>
      </c>
      <c r="L53" s="685" t="s">
        <v>513</v>
      </c>
      <c r="M53" s="685" t="s">
        <v>514</v>
      </c>
      <c r="N53" s="685" t="s">
        <v>512</v>
      </c>
      <c r="O53" s="685" t="s">
        <v>513</v>
      </c>
      <c r="P53" s="685" t="s">
        <v>514</v>
      </c>
      <c r="Q53" s="685" t="s">
        <v>512</v>
      </c>
      <c r="R53" s="685" t="s">
        <v>513</v>
      </c>
      <c r="S53" s="685" t="s">
        <v>514</v>
      </c>
      <c r="T53" s="685" t="s">
        <v>512</v>
      </c>
      <c r="U53" s="685" t="s">
        <v>513</v>
      </c>
      <c r="V53" s="685" t="s">
        <v>514</v>
      </c>
      <c r="W53" s="685" t="s">
        <v>512</v>
      </c>
      <c r="X53" s="685" t="s">
        <v>513</v>
      </c>
      <c r="Y53" s="286" t="s">
        <v>514</v>
      </c>
    </row>
    <row r="54" spans="3:25" x14ac:dyDescent="0.25">
      <c r="D54" s="692" t="s">
        <v>1187</v>
      </c>
      <c r="E54" s="687">
        <f>E44</f>
        <v>0.2</v>
      </c>
      <c r="F54" s="687">
        <f>F44</f>
        <v>0.4</v>
      </c>
      <c r="G54" s="687">
        <f>G44</f>
        <v>0.8</v>
      </c>
      <c r="H54" s="483">
        <f>E45</f>
        <v>0.4</v>
      </c>
      <c r="I54" s="483">
        <f t="shared" ref="I54:J54" si="24">F45</f>
        <v>0.8</v>
      </c>
      <c r="J54" s="483">
        <f t="shared" si="24"/>
        <v>1.6</v>
      </c>
      <c r="K54" s="483">
        <f>E46</f>
        <v>0</v>
      </c>
      <c r="L54" s="483">
        <f t="shared" ref="L54:M54" si="25">F46</f>
        <v>0</v>
      </c>
      <c r="M54" s="483">
        <f t="shared" si="25"/>
        <v>0</v>
      </c>
      <c r="N54" s="483">
        <f>E47</f>
        <v>0.2</v>
      </c>
      <c r="O54" s="483">
        <f t="shared" ref="O54:P54" si="26">F47</f>
        <v>0.4</v>
      </c>
      <c r="P54" s="483">
        <f t="shared" si="26"/>
        <v>0.8</v>
      </c>
      <c r="Q54" s="483">
        <f>E48</f>
        <v>0.30000000000000004</v>
      </c>
      <c r="R54" s="483">
        <f t="shared" ref="R54:S54" si="27">F48</f>
        <v>0.60000000000000009</v>
      </c>
      <c r="S54" s="483">
        <f t="shared" si="27"/>
        <v>1.2000000000000002</v>
      </c>
      <c r="T54" s="483"/>
      <c r="U54" s="483"/>
      <c r="V54" s="483"/>
      <c r="W54" s="483">
        <f>E49</f>
        <v>0.60000000000000009</v>
      </c>
      <c r="X54" s="483">
        <f t="shared" ref="X54:Y54" si="28">F49</f>
        <v>1.2000000000000002</v>
      </c>
      <c r="Y54" s="483">
        <f t="shared" si="28"/>
        <v>2.4000000000000004</v>
      </c>
    </row>
    <row r="55" spans="3:25" x14ac:dyDescent="0.25">
      <c r="D55" s="693" t="s">
        <v>1188</v>
      </c>
      <c r="E55" s="688">
        <f>H44</f>
        <v>1.2000000000000002</v>
      </c>
      <c r="F55" s="688">
        <f>I44</f>
        <v>0.44999999999999996</v>
      </c>
      <c r="G55" s="688">
        <f>J44</f>
        <v>0.60000000000000009</v>
      </c>
      <c r="H55" s="410">
        <f>H45</f>
        <v>0</v>
      </c>
      <c r="I55" s="410">
        <f t="shared" ref="I55:J55" si="29">I45</f>
        <v>0</v>
      </c>
      <c r="J55" s="410">
        <f t="shared" si="29"/>
        <v>0</v>
      </c>
      <c r="K55" s="410">
        <f>H46</f>
        <v>1.6</v>
      </c>
      <c r="L55" s="410">
        <f t="shared" ref="L55:M55" si="30">I46</f>
        <v>0.6</v>
      </c>
      <c r="M55" s="410">
        <f t="shared" si="30"/>
        <v>0.8</v>
      </c>
      <c r="N55" s="410">
        <f>H47</f>
        <v>1.2000000000000002</v>
      </c>
      <c r="O55" s="410">
        <f t="shared" ref="O55:P55" si="31">I47</f>
        <v>0.44999999999999996</v>
      </c>
      <c r="P55" s="410">
        <f t="shared" si="31"/>
        <v>0.60000000000000009</v>
      </c>
      <c r="Q55" s="410">
        <f>H48</f>
        <v>0.4</v>
      </c>
      <c r="R55" s="410">
        <f t="shared" ref="R55:S55" si="32">I48</f>
        <v>0.15</v>
      </c>
      <c r="S55" s="410">
        <f t="shared" si="32"/>
        <v>0.2</v>
      </c>
      <c r="T55" s="410"/>
      <c r="U55" s="410"/>
      <c r="V55" s="410"/>
      <c r="W55" s="410">
        <f>H49</f>
        <v>0</v>
      </c>
      <c r="X55" s="410">
        <f t="shared" ref="X55:Y55" si="33">I49</f>
        <v>0</v>
      </c>
      <c r="Y55" s="410">
        <f t="shared" si="33"/>
        <v>0</v>
      </c>
    </row>
    <row r="56" spans="3:25" x14ac:dyDescent="0.25">
      <c r="D56" s="693" t="s">
        <v>1189</v>
      </c>
      <c r="E56" s="687">
        <f>K44</f>
        <v>0</v>
      </c>
      <c r="F56" s="687">
        <f>L44</f>
        <v>0</v>
      </c>
      <c r="G56" s="687">
        <f>M44</f>
        <v>0</v>
      </c>
      <c r="H56" s="410">
        <f>K45</f>
        <v>0.4</v>
      </c>
      <c r="I56" s="410">
        <f t="shared" ref="I56:J56" si="34">L45</f>
        <v>0.15</v>
      </c>
      <c r="J56" s="410">
        <f t="shared" si="34"/>
        <v>0.2</v>
      </c>
      <c r="K56" s="410">
        <f>K46</f>
        <v>0</v>
      </c>
      <c r="L56" s="410">
        <f t="shared" ref="L56:M56" si="35">L46</f>
        <v>0</v>
      </c>
      <c r="M56" s="410">
        <f t="shared" si="35"/>
        <v>0</v>
      </c>
      <c r="N56" s="410">
        <f>K47</f>
        <v>1.6</v>
      </c>
      <c r="O56" s="410">
        <f t="shared" ref="O56:P56" si="36">L47</f>
        <v>0.6</v>
      </c>
      <c r="P56" s="410">
        <f t="shared" si="36"/>
        <v>0.8</v>
      </c>
      <c r="Q56" s="410">
        <f>K48</f>
        <v>1.6</v>
      </c>
      <c r="R56" s="410">
        <f t="shared" ref="R56:S56" si="37">L48</f>
        <v>0.6</v>
      </c>
      <c r="S56" s="410">
        <f t="shared" si="37"/>
        <v>0.8</v>
      </c>
      <c r="T56" s="410"/>
      <c r="U56" s="410"/>
      <c r="V56" s="410"/>
      <c r="W56" s="410">
        <f>K49</f>
        <v>1.2000000000000002</v>
      </c>
      <c r="X56" s="410">
        <f t="shared" ref="X56:Y56" si="38">L49</f>
        <v>0.44999999999999996</v>
      </c>
      <c r="Y56" s="410">
        <f t="shared" si="38"/>
        <v>0.60000000000000009</v>
      </c>
    </row>
    <row r="57" spans="3:25" x14ac:dyDescent="0.25">
      <c r="D57" s="693" t="s">
        <v>546</v>
      </c>
      <c r="E57" s="688">
        <f>N44</f>
        <v>0.05</v>
      </c>
      <c r="F57" s="688">
        <f>O44</f>
        <v>0.35</v>
      </c>
      <c r="G57" s="688">
        <f>P44</f>
        <v>0.2</v>
      </c>
      <c r="H57" s="410">
        <f>N45</f>
        <v>0.1</v>
      </c>
      <c r="I57" s="410">
        <f t="shared" ref="I57:J57" si="39">O45</f>
        <v>0.7</v>
      </c>
      <c r="J57" s="410">
        <f t="shared" si="39"/>
        <v>0.4</v>
      </c>
      <c r="K57" s="410">
        <f>N46</f>
        <v>0.2</v>
      </c>
      <c r="L57" s="410">
        <f t="shared" ref="L57:M57" si="40">O46</f>
        <v>1.4</v>
      </c>
      <c r="M57" s="410">
        <f t="shared" si="40"/>
        <v>0.8</v>
      </c>
      <c r="N57" s="410">
        <f>N47</f>
        <v>0</v>
      </c>
      <c r="O57" s="410">
        <f t="shared" ref="O57:P57" si="41">O47</f>
        <v>0</v>
      </c>
      <c r="P57" s="410">
        <f t="shared" si="41"/>
        <v>0</v>
      </c>
      <c r="Q57" s="410">
        <f>N48</f>
        <v>0.15000000000000002</v>
      </c>
      <c r="R57" s="410">
        <f t="shared" ref="R57:S57" si="42">O48</f>
        <v>1.0499999999999998</v>
      </c>
      <c r="S57" s="410">
        <f t="shared" si="42"/>
        <v>0.60000000000000009</v>
      </c>
      <c r="T57" s="410"/>
      <c r="U57" s="410"/>
      <c r="V57" s="410"/>
      <c r="W57" s="410">
        <f>N49</f>
        <v>0.1</v>
      </c>
      <c r="X57" s="410">
        <f t="shared" ref="X57:Y57" si="43">O49</f>
        <v>0.7</v>
      </c>
      <c r="Y57" s="410">
        <f t="shared" si="43"/>
        <v>0.4</v>
      </c>
    </row>
    <row r="58" spans="3:25" ht="15.75" thickBot="1" x14ac:dyDescent="0.3">
      <c r="D58" s="694" t="s">
        <v>545</v>
      </c>
      <c r="E58" s="687">
        <f>Q44</f>
        <v>0.15000000000000002</v>
      </c>
      <c r="F58" s="687">
        <f>R44</f>
        <v>0.44999999999999996</v>
      </c>
      <c r="G58" s="687">
        <f>S44</f>
        <v>0</v>
      </c>
      <c r="H58" s="143">
        <f>Q45</f>
        <v>0.2</v>
      </c>
      <c r="I58" s="143">
        <f t="shared" ref="I58:J58" si="44">R45</f>
        <v>0.6</v>
      </c>
      <c r="J58" s="143">
        <f t="shared" si="44"/>
        <v>0</v>
      </c>
      <c r="K58" s="143">
        <f>Q46</f>
        <v>0.2</v>
      </c>
      <c r="L58" s="143">
        <f t="shared" ref="L58:M58" si="45">R46</f>
        <v>0.6</v>
      </c>
      <c r="M58" s="143">
        <f t="shared" si="45"/>
        <v>0</v>
      </c>
      <c r="N58" s="143">
        <f>Q47</f>
        <v>0.15000000000000002</v>
      </c>
      <c r="O58" s="143">
        <f t="shared" ref="O58:P58" si="46">R47</f>
        <v>0.44999999999999996</v>
      </c>
      <c r="P58" s="143">
        <f t="shared" si="46"/>
        <v>0</v>
      </c>
      <c r="Q58" s="143">
        <f>Q48</f>
        <v>0</v>
      </c>
      <c r="R58" s="143">
        <f t="shared" ref="R58:S58" si="47">R48</f>
        <v>0</v>
      </c>
      <c r="S58" s="143">
        <f t="shared" si="47"/>
        <v>0</v>
      </c>
      <c r="T58" s="143"/>
      <c r="U58" s="143"/>
      <c r="V58" s="143"/>
      <c r="W58" s="143">
        <f>Q49</f>
        <v>0.05</v>
      </c>
      <c r="X58" s="143">
        <f t="shared" ref="X58:Y58" si="48">R49</f>
        <v>0.15</v>
      </c>
      <c r="Y58" s="143">
        <f t="shared" si="48"/>
        <v>0</v>
      </c>
    </row>
    <row r="59" spans="3:25" x14ac:dyDescent="0.25">
      <c r="D59" s="690" t="s">
        <v>7</v>
      </c>
      <c r="E59" s="689">
        <f>SUM(E54:E58)</f>
        <v>1.6</v>
      </c>
      <c r="F59" s="684">
        <f t="shared" ref="F59:Y59" si="49">SUM(F54:F58)</f>
        <v>1.65</v>
      </c>
      <c r="G59" s="684">
        <f t="shared" si="49"/>
        <v>1.6</v>
      </c>
      <c r="H59" s="684">
        <f t="shared" si="49"/>
        <v>1.1000000000000001</v>
      </c>
      <c r="I59" s="684">
        <f t="shared" si="49"/>
        <v>2.25</v>
      </c>
      <c r="J59" s="684">
        <f t="shared" si="49"/>
        <v>2.2000000000000002</v>
      </c>
      <c r="K59" s="684">
        <f t="shared" si="49"/>
        <v>2</v>
      </c>
      <c r="L59" s="684">
        <f t="shared" si="49"/>
        <v>2.6</v>
      </c>
      <c r="M59" s="684">
        <f t="shared" si="49"/>
        <v>1.6</v>
      </c>
      <c r="N59" s="684">
        <f t="shared" si="49"/>
        <v>3.15</v>
      </c>
      <c r="O59" s="684">
        <f t="shared" si="49"/>
        <v>1.9</v>
      </c>
      <c r="P59" s="684">
        <f t="shared" si="49"/>
        <v>2.2000000000000002</v>
      </c>
      <c r="Q59" s="684">
        <f t="shared" si="49"/>
        <v>2.4500000000000002</v>
      </c>
      <c r="R59" s="684">
        <f t="shared" si="49"/>
        <v>2.4</v>
      </c>
      <c r="S59" s="684">
        <f t="shared" si="49"/>
        <v>2.8000000000000003</v>
      </c>
      <c r="T59" s="684">
        <f t="shared" si="49"/>
        <v>0</v>
      </c>
      <c r="U59" s="684">
        <f t="shared" si="49"/>
        <v>0</v>
      </c>
      <c r="V59" s="684">
        <f t="shared" si="49"/>
        <v>0</v>
      </c>
      <c r="W59" s="684">
        <f t="shared" si="49"/>
        <v>1.9500000000000004</v>
      </c>
      <c r="X59" s="684">
        <f t="shared" si="49"/>
        <v>2.5</v>
      </c>
      <c r="Y59" s="285">
        <f t="shared" si="49"/>
        <v>3.4000000000000004</v>
      </c>
    </row>
    <row r="60" spans="3:25" ht="15.75" thickBot="1" x14ac:dyDescent="0.3">
      <c r="D60" s="691" t="s">
        <v>522</v>
      </c>
      <c r="E60" s="1084">
        <f>AVERAGE(E59:G59)</f>
        <v>1.6166666666666665</v>
      </c>
      <c r="F60" s="1085"/>
      <c r="G60" s="1085"/>
      <c r="H60" s="1085">
        <f>AVERAGE(H59:J59)</f>
        <v>1.8500000000000003</v>
      </c>
      <c r="I60" s="1085"/>
      <c r="J60" s="1085"/>
      <c r="K60" s="1085">
        <f>AVERAGE(K59:M59)</f>
        <v>2.0666666666666664</v>
      </c>
      <c r="L60" s="1085"/>
      <c r="M60" s="1085"/>
      <c r="N60" s="1085">
        <f>AVERAGE(N59:P59)</f>
        <v>2.4166666666666665</v>
      </c>
      <c r="O60" s="1085"/>
      <c r="P60" s="1085"/>
      <c r="Q60" s="1085">
        <f>AVERAGE(Q59:S59)</f>
        <v>2.5500000000000003</v>
      </c>
      <c r="R60" s="1085"/>
      <c r="S60" s="1085"/>
      <c r="T60" s="695"/>
      <c r="U60" s="695"/>
      <c r="V60" s="695"/>
      <c r="W60" s="1085">
        <f>AVERAGE(W59:Y59)</f>
        <v>2.6166666666666667</v>
      </c>
      <c r="X60" s="1085"/>
      <c r="Y60" s="1086"/>
    </row>
    <row r="62" spans="3:25" x14ac:dyDescent="0.25">
      <c r="T62" t="s">
        <v>514</v>
      </c>
    </row>
    <row r="69" spans="14:14" ht="30" customHeight="1" x14ac:dyDescent="0.25"/>
    <row r="70" spans="14:14" ht="30" customHeight="1" x14ac:dyDescent="0.25">
      <c r="N70" s="215"/>
    </row>
    <row r="71" spans="14:14" ht="30" customHeight="1" x14ac:dyDescent="0.25">
      <c r="N71" s="215"/>
    </row>
    <row r="72" spans="14:14" ht="30" customHeight="1" x14ac:dyDescent="0.25">
      <c r="N72" s="215"/>
    </row>
    <row r="73" spans="14:14" ht="30" customHeight="1" x14ac:dyDescent="0.25">
      <c r="N73" s="215"/>
    </row>
    <row r="74" spans="14:14" ht="30" customHeight="1" x14ac:dyDescent="0.25">
      <c r="N74" s="215"/>
    </row>
  </sheetData>
  <autoFilter ref="C32:R32" xr:uid="{FF504F08-146E-454C-86DD-181D656FA61F}">
    <filterColumn colId="1" showButton="0"/>
    <sortState xmlns:xlrd2="http://schemas.microsoft.com/office/spreadsheetml/2017/richdata2" ref="C33:R38">
      <sortCondition ref="R32"/>
    </sortState>
  </autoFilter>
  <mergeCells count="116">
    <mergeCell ref="C2:D3"/>
    <mergeCell ref="E2:G2"/>
    <mergeCell ref="H2:I3"/>
    <mergeCell ref="J2:K3"/>
    <mergeCell ref="L2:L3"/>
    <mergeCell ref="M2:M3"/>
    <mergeCell ref="F3:G3"/>
    <mergeCell ref="C6:D6"/>
    <mergeCell ref="F6:G6"/>
    <mergeCell ref="H6:I6"/>
    <mergeCell ref="J6:K6"/>
    <mergeCell ref="C7:D7"/>
    <mergeCell ref="F7:G7"/>
    <mergeCell ref="H7:I7"/>
    <mergeCell ref="J7:K7"/>
    <mergeCell ref="C4:D4"/>
    <mergeCell ref="F4:G4"/>
    <mergeCell ref="H4:I4"/>
    <mergeCell ref="J4:K4"/>
    <mergeCell ref="C5:D5"/>
    <mergeCell ref="F5:G5"/>
    <mergeCell ref="H5:I5"/>
    <mergeCell ref="J5:K5"/>
    <mergeCell ref="C8:D8"/>
    <mergeCell ref="F8:G8"/>
    <mergeCell ref="H8:I8"/>
    <mergeCell ref="J8:K8"/>
    <mergeCell ref="C11:D11"/>
    <mergeCell ref="D12:D13"/>
    <mergeCell ref="E12:E13"/>
    <mergeCell ref="F12:F13"/>
    <mergeCell ref="G12:G13"/>
    <mergeCell ref="H12:H13"/>
    <mergeCell ref="I12:I13"/>
    <mergeCell ref="J12:J13"/>
    <mergeCell ref="K12:K13"/>
    <mergeCell ref="L12:L13"/>
    <mergeCell ref="M12:M13"/>
    <mergeCell ref="D14:D15"/>
    <mergeCell ref="E14:E15"/>
    <mergeCell ref="F14:F15"/>
    <mergeCell ref="G14:G15"/>
    <mergeCell ref="H14:H15"/>
    <mergeCell ref="I14:I15"/>
    <mergeCell ref="J14:J15"/>
    <mergeCell ref="K14:K15"/>
    <mergeCell ref="L14:L15"/>
    <mergeCell ref="M14:M15"/>
    <mergeCell ref="M16:M17"/>
    <mergeCell ref="D18:D19"/>
    <mergeCell ref="E18:E19"/>
    <mergeCell ref="F18:F19"/>
    <mergeCell ref="G18:G19"/>
    <mergeCell ref="H18:H19"/>
    <mergeCell ref="I18:I19"/>
    <mergeCell ref="J18:J19"/>
    <mergeCell ref="K18:K19"/>
    <mergeCell ref="L18:L19"/>
    <mergeCell ref="M18:M19"/>
    <mergeCell ref="D16:D17"/>
    <mergeCell ref="E16:E17"/>
    <mergeCell ref="F16:F17"/>
    <mergeCell ref="G16:G17"/>
    <mergeCell ref="H16:H17"/>
    <mergeCell ref="I16:I17"/>
    <mergeCell ref="J16:J17"/>
    <mergeCell ref="K16:K17"/>
    <mergeCell ref="L16:L17"/>
    <mergeCell ref="M20:M21"/>
    <mergeCell ref="D22:D23"/>
    <mergeCell ref="E22:E23"/>
    <mergeCell ref="F22:F23"/>
    <mergeCell ref="G22:G23"/>
    <mergeCell ref="H22:H23"/>
    <mergeCell ref="I22:I23"/>
    <mergeCell ref="J22:J23"/>
    <mergeCell ref="K22:K23"/>
    <mergeCell ref="L22:L23"/>
    <mergeCell ref="M22:M23"/>
    <mergeCell ref="D20:D21"/>
    <mergeCell ref="E20:E21"/>
    <mergeCell ref="F20:F21"/>
    <mergeCell ref="G20:G21"/>
    <mergeCell ref="H20:H21"/>
    <mergeCell ref="I20:I21"/>
    <mergeCell ref="J20:J21"/>
    <mergeCell ref="K20:K21"/>
    <mergeCell ref="L20:L21"/>
    <mergeCell ref="C26:D26"/>
    <mergeCell ref="E26:G26"/>
    <mergeCell ref="H26:I26"/>
    <mergeCell ref="J26:K26"/>
    <mergeCell ref="C29:D29"/>
    <mergeCell ref="E29:G29"/>
    <mergeCell ref="H29:I29"/>
    <mergeCell ref="J29:K29"/>
    <mergeCell ref="E52:G52"/>
    <mergeCell ref="H52:J52"/>
    <mergeCell ref="K52:M52"/>
    <mergeCell ref="C27:D27"/>
    <mergeCell ref="E27:G27"/>
    <mergeCell ref="H27:I27"/>
    <mergeCell ref="J27:K27"/>
    <mergeCell ref="C28:D28"/>
    <mergeCell ref="E28:G28"/>
    <mergeCell ref="H28:I28"/>
    <mergeCell ref="J28:K28"/>
    <mergeCell ref="N52:P52"/>
    <mergeCell ref="Q52:S52"/>
    <mergeCell ref="W52:Y52"/>
    <mergeCell ref="E60:G60"/>
    <mergeCell ref="H60:J60"/>
    <mergeCell ref="K60:M60"/>
    <mergeCell ref="N60:P60"/>
    <mergeCell ref="Q60:S60"/>
    <mergeCell ref="W60:Y60"/>
  </mergeCells>
  <conditionalFormatting sqref="C4:C9">
    <cfRule type="colorScale" priority="11">
      <colorScale>
        <cfvo type="min"/>
        <cfvo type="percentile" val="50"/>
        <cfvo type="max"/>
        <color rgb="FFF8696B"/>
        <color rgb="FFFFEB84"/>
        <color rgb="FF63BE7B"/>
      </colorScale>
    </cfRule>
  </conditionalFormatting>
  <conditionalFormatting sqref="E44:S49">
    <cfRule type="colorScale" priority="6">
      <colorScale>
        <cfvo type="min"/>
        <cfvo type="max"/>
        <color rgb="FFFCFCFF"/>
        <color rgb="FF63BE7B"/>
      </colorScale>
    </cfRule>
  </conditionalFormatting>
  <conditionalFormatting sqref="E54:Y54">
    <cfRule type="dataBar" priority="5">
      <dataBar>
        <cfvo type="min"/>
        <cfvo type="max"/>
        <color rgb="FF638EC6"/>
      </dataBar>
      <extLst>
        <ext xmlns:x14="http://schemas.microsoft.com/office/spreadsheetml/2009/9/main" uri="{B025F937-C7B1-47D3-B67F-A62EFF666E3E}">
          <x14:id>{7A9FCCFE-0444-4D8A-8F06-555C500E922E}</x14:id>
        </ext>
      </extLst>
    </cfRule>
  </conditionalFormatting>
  <conditionalFormatting sqref="E55:Y55">
    <cfRule type="dataBar" priority="4">
      <dataBar>
        <cfvo type="min"/>
        <cfvo type="max"/>
        <color rgb="FFFF555A"/>
      </dataBar>
      <extLst>
        <ext xmlns:x14="http://schemas.microsoft.com/office/spreadsheetml/2009/9/main" uri="{B025F937-C7B1-47D3-B67F-A62EFF666E3E}">
          <x14:id>{6F65BF26-8A5A-4329-812F-5391127919DF}</x14:id>
        </ext>
      </extLst>
    </cfRule>
  </conditionalFormatting>
  <conditionalFormatting sqref="E56:Y56">
    <cfRule type="dataBar" priority="3">
      <dataBar>
        <cfvo type="min"/>
        <cfvo type="max"/>
        <color rgb="FFFFB628"/>
      </dataBar>
      <extLst>
        <ext xmlns:x14="http://schemas.microsoft.com/office/spreadsheetml/2009/9/main" uri="{B025F937-C7B1-47D3-B67F-A62EFF666E3E}">
          <x14:id>{FFEDB5B4-1833-42DF-8AEC-2FEAAAFBA44E}</x14:id>
        </ext>
      </extLst>
    </cfRule>
  </conditionalFormatting>
  <conditionalFormatting sqref="E57:Y57">
    <cfRule type="dataBar" priority="2">
      <dataBar>
        <cfvo type="min"/>
        <cfvo type="max"/>
        <color rgb="FF63C384"/>
      </dataBar>
      <extLst>
        <ext xmlns:x14="http://schemas.microsoft.com/office/spreadsheetml/2009/9/main" uri="{B025F937-C7B1-47D3-B67F-A62EFF666E3E}">
          <x14:id>{7974F1BD-A05C-41D1-BC6D-5DC767DB1067}</x14:id>
        </ext>
      </extLst>
    </cfRule>
  </conditionalFormatting>
  <conditionalFormatting sqref="E58:Y58">
    <cfRule type="dataBar" priority="1">
      <dataBar>
        <cfvo type="min"/>
        <cfvo type="max"/>
        <color theme="2" tint="-0.249977111117893"/>
      </dataBar>
      <extLst>
        <ext xmlns:x14="http://schemas.microsoft.com/office/spreadsheetml/2009/9/main" uri="{B025F937-C7B1-47D3-B67F-A62EFF666E3E}">
          <x14:id>{AFE3E8A3-49DB-4EB1-87E2-0C5D90407001}</x14:id>
        </ext>
      </extLst>
    </cfRule>
  </conditionalFormatting>
  <conditionalFormatting sqref="O12:Q24">
    <cfRule type="dataBar" priority="9">
      <dataBar>
        <cfvo type="min"/>
        <cfvo type="max"/>
        <color rgb="FF638EC6"/>
      </dataBar>
      <extLst>
        <ext xmlns:x14="http://schemas.microsoft.com/office/spreadsheetml/2009/9/main" uri="{B025F937-C7B1-47D3-B67F-A62EFF666E3E}">
          <x14:id>{AA24796A-6962-4B47-A20A-9251EE82B1E5}</x14:id>
        </ext>
      </extLst>
    </cfRule>
  </conditionalFormatting>
  <conditionalFormatting sqref="O33:Q38">
    <cfRule type="dataBar" priority="8">
      <dataBar>
        <cfvo type="min"/>
        <cfvo type="max"/>
        <color rgb="FF638EC6"/>
      </dataBar>
      <extLst>
        <ext xmlns:x14="http://schemas.microsoft.com/office/spreadsheetml/2009/9/main" uri="{B025F937-C7B1-47D3-B67F-A62EFF666E3E}">
          <x14:id>{9747711C-184F-421A-BC0A-22D1635BB8F1}</x14:id>
        </ext>
      </extLst>
    </cfRule>
  </conditionalFormatting>
  <conditionalFormatting sqref="R12:R24">
    <cfRule type="dataBar" priority="10">
      <dataBar>
        <cfvo type="min"/>
        <cfvo type="max"/>
        <color rgb="FF63C384"/>
      </dataBar>
      <extLst>
        <ext xmlns:x14="http://schemas.microsoft.com/office/spreadsheetml/2009/9/main" uri="{B025F937-C7B1-47D3-B67F-A62EFF666E3E}">
          <x14:id>{1150E70A-A91C-477A-8EEC-66A65F255197}</x14:id>
        </ext>
      </extLst>
    </cfRule>
  </conditionalFormatting>
  <conditionalFormatting sqref="R33:R38">
    <cfRule type="dataBar" priority="7">
      <dataBar>
        <cfvo type="min"/>
        <cfvo type="max"/>
        <color rgb="FF63C384"/>
      </dataBar>
      <extLst>
        <ext xmlns:x14="http://schemas.microsoft.com/office/spreadsheetml/2009/9/main" uri="{B025F937-C7B1-47D3-B67F-A62EFF666E3E}">
          <x14:id>{28912390-0564-4FD8-BE60-050980E94675}</x14:id>
        </ext>
      </extLst>
    </cfRule>
  </conditionalFormatting>
  <pageMargins left="0.25" right="0.25" top="0.75" bottom="0.75" header="0.3" footer="0.3"/>
  <pageSetup paperSize="9" scale="32" orientation="landscape" r:id="rId1"/>
  <drawing r:id="rId2"/>
  <extLst>
    <ext xmlns:x14="http://schemas.microsoft.com/office/spreadsheetml/2009/9/main" uri="{78C0D931-6437-407d-A8EE-F0AAD7539E65}">
      <x14:conditionalFormattings>
        <x14:conditionalFormatting xmlns:xm="http://schemas.microsoft.com/office/excel/2006/main">
          <x14:cfRule type="dataBar" id="{7A9FCCFE-0444-4D8A-8F06-555C500E922E}">
            <x14:dataBar minLength="0" maxLength="100" border="1" negativeBarBorderColorSameAsPositive="0">
              <x14:cfvo type="autoMin"/>
              <x14:cfvo type="autoMax"/>
              <x14:borderColor rgb="FF638EC6"/>
              <x14:negativeFillColor rgb="FFFF0000"/>
              <x14:negativeBorderColor rgb="FFFF0000"/>
              <x14:axisColor rgb="FF000000"/>
            </x14:dataBar>
          </x14:cfRule>
          <xm:sqref>E54:Y54</xm:sqref>
        </x14:conditionalFormatting>
        <x14:conditionalFormatting xmlns:xm="http://schemas.microsoft.com/office/excel/2006/main">
          <x14:cfRule type="dataBar" id="{6F65BF26-8A5A-4329-812F-5391127919DF}">
            <x14:dataBar minLength="0" maxLength="100" border="1" negativeBarBorderColorSameAsPositive="0">
              <x14:cfvo type="autoMin"/>
              <x14:cfvo type="autoMax"/>
              <x14:borderColor rgb="FFFF555A"/>
              <x14:negativeFillColor rgb="FFFF0000"/>
              <x14:negativeBorderColor rgb="FFFF0000"/>
              <x14:axisColor rgb="FF000000"/>
            </x14:dataBar>
          </x14:cfRule>
          <xm:sqref>E55:Y55</xm:sqref>
        </x14:conditionalFormatting>
        <x14:conditionalFormatting xmlns:xm="http://schemas.microsoft.com/office/excel/2006/main">
          <x14:cfRule type="dataBar" id="{FFEDB5B4-1833-42DF-8AEC-2FEAAAFBA44E}">
            <x14:dataBar minLength="0" maxLength="100" border="1" negativeBarBorderColorSameAsPositive="0">
              <x14:cfvo type="autoMin"/>
              <x14:cfvo type="autoMax"/>
              <x14:borderColor rgb="FFFFB628"/>
              <x14:negativeFillColor rgb="FFFF0000"/>
              <x14:negativeBorderColor rgb="FFFF0000"/>
              <x14:axisColor rgb="FF000000"/>
            </x14:dataBar>
          </x14:cfRule>
          <xm:sqref>E56:Y56</xm:sqref>
        </x14:conditionalFormatting>
        <x14:conditionalFormatting xmlns:xm="http://schemas.microsoft.com/office/excel/2006/main">
          <x14:cfRule type="dataBar" id="{7974F1BD-A05C-41D1-BC6D-5DC767DB1067}">
            <x14:dataBar minLength="0" maxLength="100" border="1" negativeBarBorderColorSameAsPositive="0">
              <x14:cfvo type="autoMin"/>
              <x14:cfvo type="autoMax"/>
              <x14:borderColor rgb="FF63C384"/>
              <x14:negativeFillColor rgb="FFFF0000"/>
              <x14:negativeBorderColor rgb="FFFF0000"/>
              <x14:axisColor rgb="FF000000"/>
            </x14:dataBar>
          </x14:cfRule>
          <xm:sqref>E57:Y57</xm:sqref>
        </x14:conditionalFormatting>
        <x14:conditionalFormatting xmlns:xm="http://schemas.microsoft.com/office/excel/2006/main">
          <x14:cfRule type="dataBar" id="{AFE3E8A3-49DB-4EB1-87E2-0C5D90407001}">
            <x14:dataBar minLength="0" maxLength="100" border="1" negativeBarBorderColorSameAsPositive="0">
              <x14:cfvo type="autoMin"/>
              <x14:cfvo type="autoMax"/>
              <x14:borderColor theme="2" tint="-0.499984740745262"/>
              <x14:negativeFillColor rgb="FFFF0000"/>
              <x14:negativeBorderColor rgb="FFFF0000"/>
              <x14:axisColor rgb="FF000000"/>
            </x14:dataBar>
          </x14:cfRule>
          <xm:sqref>E58:Y58</xm:sqref>
        </x14:conditionalFormatting>
        <x14:conditionalFormatting xmlns:xm="http://schemas.microsoft.com/office/excel/2006/main">
          <x14:cfRule type="dataBar" id="{AA24796A-6962-4B47-A20A-9251EE82B1E5}">
            <x14:dataBar minLength="0" maxLength="100" gradient="0">
              <x14:cfvo type="autoMin"/>
              <x14:cfvo type="autoMax"/>
              <x14:negativeFillColor rgb="FFFF0000"/>
              <x14:axisColor rgb="FF000000"/>
            </x14:dataBar>
          </x14:cfRule>
          <xm:sqref>O12:Q24</xm:sqref>
        </x14:conditionalFormatting>
        <x14:conditionalFormatting xmlns:xm="http://schemas.microsoft.com/office/excel/2006/main">
          <x14:cfRule type="dataBar" id="{9747711C-184F-421A-BC0A-22D1635BB8F1}">
            <x14:dataBar minLength="0" maxLength="100" gradient="0">
              <x14:cfvo type="autoMin"/>
              <x14:cfvo type="autoMax"/>
              <x14:negativeFillColor rgb="FFFF0000"/>
              <x14:axisColor rgb="FF000000"/>
            </x14:dataBar>
          </x14:cfRule>
          <xm:sqref>O33:Q38</xm:sqref>
        </x14:conditionalFormatting>
        <x14:conditionalFormatting xmlns:xm="http://schemas.microsoft.com/office/excel/2006/main">
          <x14:cfRule type="dataBar" id="{1150E70A-A91C-477A-8EEC-66A65F255197}">
            <x14:dataBar minLength="0" maxLength="100" gradient="0">
              <x14:cfvo type="autoMin"/>
              <x14:cfvo type="autoMax"/>
              <x14:negativeFillColor rgb="FFFF0000"/>
              <x14:axisColor rgb="FF000000"/>
            </x14:dataBar>
          </x14:cfRule>
          <xm:sqref>R12:R24</xm:sqref>
        </x14:conditionalFormatting>
        <x14:conditionalFormatting xmlns:xm="http://schemas.microsoft.com/office/excel/2006/main">
          <x14:cfRule type="dataBar" id="{28912390-0564-4FD8-BE60-050980E94675}">
            <x14:dataBar minLength="0" maxLength="100" gradient="0">
              <x14:cfvo type="autoMin"/>
              <x14:cfvo type="autoMax"/>
              <x14:negativeFillColor rgb="FFFF0000"/>
              <x14:axisColor rgb="FF000000"/>
            </x14:dataBar>
          </x14:cfRule>
          <xm:sqref>R33:R38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4F08-146E-454C-86DD-181D656FA61F}">
  <sheetPr>
    <pageSetUpPr fitToPage="1"/>
  </sheetPr>
  <dimension ref="B1:V75"/>
  <sheetViews>
    <sheetView zoomScale="115" zoomScaleNormal="115" workbookViewId="0">
      <selection activeCell="P7" sqref="P7"/>
    </sheetView>
  </sheetViews>
  <sheetFormatPr baseColWidth="10" defaultRowHeight="15" x14ac:dyDescent="0.25"/>
  <cols>
    <col min="1" max="1" width="3.140625" customWidth="1"/>
    <col min="2" max="2" width="3.140625" style="15" customWidth="1"/>
    <col min="3" max="3" width="14.5703125" customWidth="1"/>
    <col min="4" max="4" width="7.85546875" customWidth="1"/>
    <col min="5" max="5" width="13" customWidth="1"/>
    <col min="6" max="6" width="15.28515625" bestFit="1" customWidth="1"/>
    <col min="7" max="7" width="5.7109375" customWidth="1"/>
    <col min="8" max="8" width="14" bestFit="1" customWidth="1"/>
    <col min="9" max="9" width="5.7109375" customWidth="1"/>
    <col min="10" max="10" width="14.42578125" bestFit="1" customWidth="1"/>
    <col min="11" max="11" width="5.7109375" customWidth="1"/>
    <col min="12" max="12" width="14.42578125" bestFit="1" customWidth="1"/>
    <col min="13" max="13" width="17.42578125" customWidth="1"/>
    <col min="14" max="14" width="5.28515625" customWidth="1"/>
    <col min="15" max="15" width="9.85546875" customWidth="1"/>
    <col min="16" max="16" width="9.28515625" customWidth="1"/>
    <col min="17" max="17" width="9.5703125" customWidth="1"/>
    <col min="20" max="22" width="0" hidden="1" customWidth="1"/>
  </cols>
  <sheetData>
    <row r="1" spans="3:18" ht="16.5" thickBot="1" x14ac:dyDescent="0.3">
      <c r="C1" s="522" t="s">
        <v>547</v>
      </c>
    </row>
    <row r="2" spans="3:18" x14ac:dyDescent="0.25">
      <c r="C2" s="1140" t="s">
        <v>845</v>
      </c>
      <c r="D2" s="1141"/>
      <c r="E2" s="1047" t="s">
        <v>521</v>
      </c>
      <c r="F2" s="1047"/>
      <c r="G2" s="1048"/>
      <c r="H2" s="1049" t="s">
        <v>847</v>
      </c>
      <c r="I2" s="1050"/>
      <c r="J2" s="1053" t="s">
        <v>848</v>
      </c>
      <c r="K2" s="1054"/>
      <c r="L2" s="1057" t="s">
        <v>546</v>
      </c>
      <c r="M2" s="1059" t="s">
        <v>545</v>
      </c>
    </row>
    <row r="3" spans="3:18" ht="15.75" thickBot="1" x14ac:dyDescent="0.3">
      <c r="C3" s="1142"/>
      <c r="D3" s="1143"/>
      <c r="E3" s="378" t="s">
        <v>413</v>
      </c>
      <c r="F3" s="1061" t="s">
        <v>414</v>
      </c>
      <c r="G3" s="1062"/>
      <c r="H3" s="1051"/>
      <c r="I3" s="1052"/>
      <c r="J3" s="1055"/>
      <c r="K3" s="1056"/>
      <c r="L3" s="1058"/>
      <c r="M3" s="1060"/>
    </row>
    <row r="4" spans="3:18" x14ac:dyDescent="0.25">
      <c r="C4" s="1065">
        <v>0</v>
      </c>
      <c r="D4" s="1066"/>
      <c r="E4" s="365" t="s">
        <v>933</v>
      </c>
      <c r="F4" s="1067" t="s">
        <v>517</v>
      </c>
      <c r="G4" s="1068"/>
      <c r="H4" s="1069" t="s">
        <v>424</v>
      </c>
      <c r="I4" s="1068"/>
      <c r="J4" s="1069" t="s">
        <v>428</v>
      </c>
      <c r="K4" s="1068"/>
      <c r="L4" s="366" t="s">
        <v>415</v>
      </c>
      <c r="M4" s="347" t="s">
        <v>417</v>
      </c>
    </row>
    <row r="5" spans="3:18" x14ac:dyDescent="0.25">
      <c r="C5" s="1063">
        <v>1</v>
      </c>
      <c r="D5" s="1064"/>
      <c r="E5" s="367" t="s">
        <v>934</v>
      </c>
      <c r="F5" s="1031" t="s">
        <v>65</v>
      </c>
      <c r="G5" s="958"/>
      <c r="H5" s="957" t="s">
        <v>425</v>
      </c>
      <c r="I5" s="958"/>
      <c r="J5" s="957" t="s">
        <v>432</v>
      </c>
      <c r="K5" s="958"/>
      <c r="L5" s="368" t="s">
        <v>416</v>
      </c>
      <c r="M5" s="330" t="s">
        <v>60</v>
      </c>
    </row>
    <row r="6" spans="3:18" x14ac:dyDescent="0.25">
      <c r="C6" s="1063">
        <v>2</v>
      </c>
      <c r="D6" s="1064"/>
      <c r="E6" s="367" t="s">
        <v>935</v>
      </c>
      <c r="F6" s="1031" t="s">
        <v>516</v>
      </c>
      <c r="G6" s="958"/>
      <c r="H6" s="957" t="s">
        <v>426</v>
      </c>
      <c r="I6" s="958"/>
      <c r="J6" s="957" t="s">
        <v>429</v>
      </c>
      <c r="K6" s="958"/>
      <c r="L6" s="368" t="s">
        <v>61</v>
      </c>
      <c r="M6" s="330" t="s">
        <v>61</v>
      </c>
    </row>
    <row r="7" spans="3:18" x14ac:dyDescent="0.25">
      <c r="C7" s="1063">
        <v>3</v>
      </c>
      <c r="D7" s="1064"/>
      <c r="E7" s="367" t="s">
        <v>936</v>
      </c>
      <c r="F7" s="1031" t="s">
        <v>65</v>
      </c>
      <c r="G7" s="958"/>
      <c r="H7" s="957" t="s">
        <v>427</v>
      </c>
      <c r="I7" s="958"/>
      <c r="J7" s="957" t="s">
        <v>431</v>
      </c>
      <c r="K7" s="958"/>
      <c r="L7" s="368" t="s">
        <v>60</v>
      </c>
      <c r="M7" s="330" t="s">
        <v>62</v>
      </c>
    </row>
    <row r="8" spans="3:18" ht="15.75" thickBot="1" x14ac:dyDescent="0.3">
      <c r="C8" s="1032">
        <v>4</v>
      </c>
      <c r="D8" s="1033"/>
      <c r="E8" s="369" t="s">
        <v>937</v>
      </c>
      <c r="F8" s="1034" t="s">
        <v>65</v>
      </c>
      <c r="G8" s="960"/>
      <c r="H8" s="959" t="s">
        <v>8</v>
      </c>
      <c r="I8" s="960"/>
      <c r="J8" s="959" t="s">
        <v>430</v>
      </c>
      <c r="K8" s="960"/>
      <c r="L8" s="370" t="s">
        <v>417</v>
      </c>
      <c r="M8" s="339" t="s">
        <v>418</v>
      </c>
    </row>
    <row r="9" spans="3:18" x14ac:dyDescent="0.25">
      <c r="C9" s="215"/>
      <c r="D9" s="215"/>
      <c r="E9" s="15"/>
      <c r="F9" s="15"/>
      <c r="G9" s="15"/>
      <c r="H9" s="15"/>
      <c r="I9" s="15"/>
      <c r="J9" s="15"/>
      <c r="K9" s="15"/>
      <c r="L9" s="15"/>
      <c r="M9" s="15"/>
    </row>
    <row r="10" spans="3:18" ht="16.5" thickBot="1" x14ac:dyDescent="0.3">
      <c r="C10" s="523" t="s">
        <v>548</v>
      </c>
      <c r="D10" s="329"/>
      <c r="E10" s="356"/>
      <c r="F10" s="356"/>
      <c r="G10" s="356"/>
      <c r="H10" s="356"/>
      <c r="I10" s="356"/>
      <c r="J10" s="356"/>
      <c r="K10" s="356"/>
      <c r="L10" s="356"/>
      <c r="M10" s="356"/>
      <c r="O10" s="216"/>
    </row>
    <row r="11" spans="3:18" ht="21" customHeight="1" thickBot="1" x14ac:dyDescent="0.3">
      <c r="C11" s="1138" t="s">
        <v>938</v>
      </c>
      <c r="D11" s="1139"/>
      <c r="E11" s="375" t="s">
        <v>413</v>
      </c>
      <c r="F11" s="524" t="s">
        <v>414</v>
      </c>
      <c r="G11" s="533" t="s">
        <v>535</v>
      </c>
      <c r="H11" s="525" t="s">
        <v>529</v>
      </c>
      <c r="I11" s="534" t="s">
        <v>536</v>
      </c>
      <c r="J11" s="526" t="s">
        <v>530</v>
      </c>
      <c r="K11" s="535" t="s">
        <v>537</v>
      </c>
      <c r="L11" s="376" t="s">
        <v>538</v>
      </c>
      <c r="M11" s="377" t="s">
        <v>539</v>
      </c>
      <c r="O11" s="326" t="s">
        <v>512</v>
      </c>
      <c r="P11" s="326" t="s">
        <v>513</v>
      </c>
      <c r="Q11" s="326" t="s">
        <v>514</v>
      </c>
      <c r="R11" s="326" t="s">
        <v>522</v>
      </c>
    </row>
    <row r="12" spans="3:18" ht="15" customHeight="1" x14ac:dyDescent="0.25">
      <c r="C12" s="379" t="s">
        <v>423</v>
      </c>
      <c r="D12" s="974"/>
      <c r="E12" s="1116">
        <v>0</v>
      </c>
      <c r="F12" s="1118">
        <v>0</v>
      </c>
      <c r="G12" s="1120">
        <f t="shared" ref="G12:G22" si="0">SUM(E12:F12)</f>
        <v>0</v>
      </c>
      <c r="H12" s="1122">
        <v>2236.5</v>
      </c>
      <c r="I12" s="1124">
        <v>4</v>
      </c>
      <c r="J12" s="1122">
        <v>244</v>
      </c>
      <c r="K12" s="1126">
        <v>0</v>
      </c>
      <c r="L12" s="1128">
        <v>4</v>
      </c>
      <c r="M12" s="1114">
        <v>4</v>
      </c>
      <c r="O12" s="357">
        <f>$M12*$M$27+$L12*$L$27+$K12*$J$27+$I12*$H$27+$G12*$E$27</f>
        <v>2</v>
      </c>
      <c r="P12" s="357">
        <f>$M12*$M$28+$L12*$L$28+$K12*$J$28+$I12*$H$28+$G12*$E$28</f>
        <v>2.6</v>
      </c>
      <c r="Q12" s="357">
        <f>$M12*$M$29+$L12*$L$29+$K12*$J$29+$I12*$H$29+$G12*$E$29</f>
        <v>1.6</v>
      </c>
      <c r="R12" s="357">
        <f t="shared" ref="R12:R22" si="1">SUM(O12:Q12)/3</f>
        <v>2.0666666666666664</v>
      </c>
    </row>
    <row r="13" spans="3:18" ht="15" customHeight="1" thickBot="1" x14ac:dyDescent="0.3">
      <c r="C13" s="374" t="s">
        <v>550</v>
      </c>
      <c r="D13" s="980"/>
      <c r="E13" s="1131"/>
      <c r="F13" s="1132"/>
      <c r="G13" s="1133"/>
      <c r="H13" s="1134"/>
      <c r="I13" s="1135"/>
      <c r="J13" s="1134"/>
      <c r="K13" s="1136"/>
      <c r="L13" s="1137"/>
      <c r="M13" s="1115"/>
      <c r="O13" s="371"/>
      <c r="P13" s="371"/>
      <c r="Q13" s="371"/>
      <c r="R13" s="371"/>
    </row>
    <row r="14" spans="3:18" ht="15" customHeight="1" x14ac:dyDescent="0.25">
      <c r="C14" s="379" t="s">
        <v>421</v>
      </c>
      <c r="D14" s="974"/>
      <c r="E14" s="1116">
        <v>1</v>
      </c>
      <c r="F14" s="1118">
        <v>2</v>
      </c>
      <c r="G14" s="1120">
        <f t="shared" si="0"/>
        <v>3</v>
      </c>
      <c r="H14" s="1122">
        <v>1257.0999999999999</v>
      </c>
      <c r="I14" s="1124">
        <v>1</v>
      </c>
      <c r="J14" s="1122">
        <v>1239</v>
      </c>
      <c r="K14" s="1126">
        <v>4</v>
      </c>
      <c r="L14" s="1128">
        <v>3</v>
      </c>
      <c r="M14" s="1114">
        <v>0</v>
      </c>
      <c r="O14" s="358">
        <f>$M14*$M$27+$L14*$L$27+$K14*$J$27+$I14*$H$27+$G14*$E$27</f>
        <v>2.4500000000000002</v>
      </c>
      <c r="P14" s="358">
        <f>$M14*$M$28+$L14*$L$28+$K14*$J$28+$I14*$H$28+$G14*$E$28</f>
        <v>2.4</v>
      </c>
      <c r="Q14" s="358">
        <f>$M14*$M$29+$L14*$L$29+$K14*$J$29+$I14*$H$29+$G14*$E$29</f>
        <v>2.8000000000000003</v>
      </c>
      <c r="R14" s="358">
        <f t="shared" si="1"/>
        <v>2.5500000000000003</v>
      </c>
    </row>
    <row r="15" spans="3:18" ht="15" customHeight="1" thickBot="1" x14ac:dyDescent="0.3">
      <c r="C15" s="374" t="s">
        <v>551</v>
      </c>
      <c r="D15" s="980"/>
      <c r="E15" s="1131"/>
      <c r="F15" s="1132"/>
      <c r="G15" s="1133"/>
      <c r="H15" s="1134"/>
      <c r="I15" s="1135"/>
      <c r="J15" s="1134"/>
      <c r="K15" s="1136"/>
      <c r="L15" s="1137"/>
      <c r="M15" s="1115"/>
      <c r="O15" s="358"/>
      <c r="P15" s="358"/>
      <c r="Q15" s="358"/>
      <c r="R15" s="358"/>
    </row>
    <row r="16" spans="3:18" ht="15" customHeight="1" x14ac:dyDescent="0.25">
      <c r="C16" s="379" t="s">
        <v>515</v>
      </c>
      <c r="D16" s="974"/>
      <c r="E16" s="1116">
        <v>4</v>
      </c>
      <c r="F16" s="1118">
        <v>2</v>
      </c>
      <c r="G16" s="1120">
        <f t="shared" si="0"/>
        <v>6</v>
      </c>
      <c r="H16" s="1122">
        <v>1069.4000000000001</v>
      </c>
      <c r="I16" s="1124">
        <v>0</v>
      </c>
      <c r="J16" s="1122">
        <v>861</v>
      </c>
      <c r="K16" s="1126">
        <v>3</v>
      </c>
      <c r="L16" s="1128">
        <v>2</v>
      </c>
      <c r="M16" s="1114">
        <v>1</v>
      </c>
      <c r="O16" s="358">
        <f>$M16*$M$27+$L16*$L$27+$K16*$J$27+$I16*$H$27+$G16*$E$27</f>
        <v>1.9500000000000002</v>
      </c>
      <c r="P16" s="358">
        <f>$M16*$M$28+$L16*$L$28+$K16*$J$28+$I16*$H$28+$G16*$E$28</f>
        <v>2.5</v>
      </c>
      <c r="Q16" s="358">
        <f>$M16*$M$29+$L16*$L$29+$K16*$J$29+$I16*$H$29+$G16*$E$29</f>
        <v>3.4000000000000004</v>
      </c>
      <c r="R16" s="358">
        <f t="shared" si="1"/>
        <v>2.6166666666666667</v>
      </c>
    </row>
    <row r="17" spans="2:18" ht="15" customHeight="1" thickBot="1" x14ac:dyDescent="0.3">
      <c r="C17" s="374" t="s">
        <v>552</v>
      </c>
      <c r="D17" s="980"/>
      <c r="E17" s="1131"/>
      <c r="F17" s="1132"/>
      <c r="G17" s="1133"/>
      <c r="H17" s="1134"/>
      <c r="I17" s="1135"/>
      <c r="J17" s="1134"/>
      <c r="K17" s="1136"/>
      <c r="L17" s="1137"/>
      <c r="M17" s="1115"/>
      <c r="O17" s="358"/>
      <c r="P17" s="358"/>
      <c r="Q17" s="358"/>
      <c r="R17" s="358"/>
    </row>
    <row r="18" spans="2:18" ht="15" customHeight="1" x14ac:dyDescent="0.25">
      <c r="C18" s="379" t="s">
        <v>511</v>
      </c>
      <c r="D18" s="974"/>
      <c r="E18" s="1116">
        <v>4</v>
      </c>
      <c r="F18" s="1118">
        <v>0</v>
      </c>
      <c r="G18" s="1120">
        <f t="shared" si="0"/>
        <v>4</v>
      </c>
      <c r="H18" s="1122">
        <v>1171.3</v>
      </c>
      <c r="I18" s="1124">
        <v>0</v>
      </c>
      <c r="J18" s="1122">
        <v>300</v>
      </c>
      <c r="K18" s="1126">
        <v>1</v>
      </c>
      <c r="L18" s="1128">
        <v>2</v>
      </c>
      <c r="M18" s="1114">
        <v>4</v>
      </c>
      <c r="O18" s="358">
        <f>$M18*$M$27+$L18*$L$27+$K18*$J$27+$I18*$H$27+$G18*$E$27</f>
        <v>1.1000000000000001</v>
      </c>
      <c r="P18" s="358">
        <f>$M18*$M$28+$L18*$L$28+$K18*$J$28+$I18*$H$28+$G18*$E$28</f>
        <v>2.25</v>
      </c>
      <c r="Q18" s="358">
        <f>$M18*$M$29+$L18*$L$29+$K18*$J$29+$I18*$H$29+$G18*$E$29</f>
        <v>2.2000000000000002</v>
      </c>
      <c r="R18" s="358">
        <f t="shared" si="1"/>
        <v>1.8500000000000003</v>
      </c>
    </row>
    <row r="19" spans="2:18" ht="15" customHeight="1" thickBot="1" x14ac:dyDescent="0.3">
      <c r="C19" s="374" t="s">
        <v>553</v>
      </c>
      <c r="D19" s="980"/>
      <c r="E19" s="1131"/>
      <c r="F19" s="1132"/>
      <c r="G19" s="1133"/>
      <c r="H19" s="1134"/>
      <c r="I19" s="1135"/>
      <c r="J19" s="1134"/>
      <c r="K19" s="1136"/>
      <c r="L19" s="1137"/>
      <c r="M19" s="1115"/>
      <c r="O19" s="358"/>
      <c r="P19" s="358"/>
      <c r="Q19" s="358"/>
      <c r="R19" s="358"/>
    </row>
    <row r="20" spans="2:18" ht="15" customHeight="1" x14ac:dyDescent="0.25">
      <c r="C20" s="379" t="s">
        <v>420</v>
      </c>
      <c r="D20" s="974"/>
      <c r="E20" s="1116">
        <v>2</v>
      </c>
      <c r="F20" s="1118">
        <v>0</v>
      </c>
      <c r="G20" s="1120">
        <f t="shared" si="0"/>
        <v>2</v>
      </c>
      <c r="H20" s="1122">
        <v>1853.1</v>
      </c>
      <c r="I20" s="1124">
        <v>3</v>
      </c>
      <c r="J20" s="1122">
        <v>114</v>
      </c>
      <c r="K20" s="1126">
        <v>0</v>
      </c>
      <c r="L20" s="1128">
        <v>1</v>
      </c>
      <c r="M20" s="1114">
        <v>3</v>
      </c>
      <c r="O20" s="358">
        <f>$M20*$M$27+$L20*$L$27+$K20*$J$27+$I20*$H$27+$G20*$E$27</f>
        <v>1.6</v>
      </c>
      <c r="P20" s="358">
        <f>$M20*$M$28+$L20*$L$28+$K20*$J$28+$I20*$H$28+$G20*$E$28</f>
        <v>1.65</v>
      </c>
      <c r="Q20" s="358">
        <f>$M20*$M$29+$L20*$L$29+$K20*$J$29+$I20*$H$29+$G20*$E$29</f>
        <v>1.6</v>
      </c>
      <c r="R20" s="358">
        <f t="shared" si="1"/>
        <v>1.6166666666666665</v>
      </c>
    </row>
    <row r="21" spans="2:18" ht="15" customHeight="1" thickBot="1" x14ac:dyDescent="0.3">
      <c r="C21" s="374" t="s">
        <v>553</v>
      </c>
      <c r="D21" s="980"/>
      <c r="E21" s="1131"/>
      <c r="F21" s="1132"/>
      <c r="G21" s="1133"/>
      <c r="H21" s="1134"/>
      <c r="I21" s="1135"/>
      <c r="J21" s="1134"/>
      <c r="K21" s="1136"/>
      <c r="L21" s="1137"/>
      <c r="M21" s="1115"/>
      <c r="O21" s="372"/>
      <c r="P21" s="372"/>
      <c r="Q21" s="372"/>
      <c r="R21" s="372"/>
    </row>
    <row r="22" spans="2:18" ht="15" customHeight="1" thickBot="1" x14ac:dyDescent="0.3">
      <c r="C22" s="379" t="s">
        <v>419</v>
      </c>
      <c r="D22" s="974"/>
      <c r="E22" s="1116">
        <v>0</v>
      </c>
      <c r="F22" s="1118">
        <v>2</v>
      </c>
      <c r="G22" s="1120">
        <f t="shared" si="0"/>
        <v>2</v>
      </c>
      <c r="H22" s="1122">
        <v>1992.3</v>
      </c>
      <c r="I22" s="1124">
        <v>3</v>
      </c>
      <c r="J22" s="1122">
        <v>1040</v>
      </c>
      <c r="K22" s="1126">
        <v>4</v>
      </c>
      <c r="L22" s="1128">
        <v>0</v>
      </c>
      <c r="M22" s="1114">
        <v>3</v>
      </c>
      <c r="O22" s="359">
        <f>$M22*$M$27+$L22*$L$27+$K22*$J$27+$I22*$H$27+$G22*$E$27</f>
        <v>3.1500000000000004</v>
      </c>
      <c r="P22" s="359">
        <f>$M22*$M$28+$L22*$L$28+$K22*$J$28+$I22*$H$28+$G22*$E$28</f>
        <v>1.9</v>
      </c>
      <c r="Q22" s="359">
        <f>$M22*$M$29+$L22*$L$29+$K22*$J$29+$I22*$H$29+$G22*$E$29</f>
        <v>2.2000000000000002</v>
      </c>
      <c r="R22" s="359">
        <f t="shared" si="1"/>
        <v>2.416666666666667</v>
      </c>
    </row>
    <row r="23" spans="2:18" ht="15" customHeight="1" thickBot="1" x14ac:dyDescent="0.3">
      <c r="C23" s="374" t="s">
        <v>551</v>
      </c>
      <c r="D23" s="980"/>
      <c r="E23" s="1117"/>
      <c r="F23" s="1119"/>
      <c r="G23" s="1121"/>
      <c r="H23" s="1123"/>
      <c r="I23" s="1125"/>
      <c r="J23" s="1123"/>
      <c r="K23" s="1127"/>
      <c r="L23" s="1129"/>
      <c r="M23" s="1130"/>
      <c r="O23" s="373"/>
      <c r="P23" s="373"/>
      <c r="Q23" s="373"/>
      <c r="R23" s="373"/>
    </row>
    <row r="24" spans="2:18" ht="15" customHeight="1" x14ac:dyDescent="0.25">
      <c r="B24" s="380"/>
      <c r="C24" s="521"/>
      <c r="D24" s="15"/>
      <c r="F24" s="520"/>
      <c r="G24" s="441"/>
      <c r="H24" s="520"/>
      <c r="I24" s="441"/>
      <c r="J24" s="520"/>
      <c r="K24" s="441"/>
      <c r="L24" s="441"/>
      <c r="M24" s="441"/>
      <c r="O24" s="373"/>
      <c r="P24" s="373"/>
      <c r="Q24" s="373"/>
      <c r="R24" s="373"/>
    </row>
    <row r="25" spans="2:18" ht="16.5" thickBot="1" x14ac:dyDescent="0.3">
      <c r="C25" s="522" t="s">
        <v>549</v>
      </c>
      <c r="D25" s="329"/>
      <c r="E25" s="356"/>
      <c r="F25" s="356"/>
      <c r="G25" s="356"/>
      <c r="H25" s="356"/>
      <c r="I25" s="356"/>
      <c r="J25" s="356"/>
      <c r="K25" s="356"/>
      <c r="L25" s="356"/>
      <c r="M25" s="356"/>
      <c r="O25" s="216"/>
    </row>
    <row r="26" spans="2:18" ht="18" thickBot="1" x14ac:dyDescent="0.35">
      <c r="C26" s="1087" t="s">
        <v>846</v>
      </c>
      <c r="D26" s="1088"/>
      <c r="E26" s="983" t="s">
        <v>540</v>
      </c>
      <c r="F26" s="984"/>
      <c r="G26" s="985"/>
      <c r="H26" s="986" t="s">
        <v>541</v>
      </c>
      <c r="I26" s="987"/>
      <c r="J26" s="988" t="s">
        <v>542</v>
      </c>
      <c r="K26" s="989"/>
      <c r="L26" s="363" t="s">
        <v>543</v>
      </c>
      <c r="M26" s="364" t="s">
        <v>544</v>
      </c>
      <c r="O26" s="216"/>
    </row>
    <row r="27" spans="2:18" ht="19.5" customHeight="1" x14ac:dyDescent="0.25">
      <c r="C27" s="1098" t="s">
        <v>532</v>
      </c>
      <c r="D27" s="1099"/>
      <c r="E27" s="1100">
        <v>0.1</v>
      </c>
      <c r="F27" s="1100"/>
      <c r="G27" s="1101"/>
      <c r="H27" s="1102">
        <v>0.4</v>
      </c>
      <c r="I27" s="1103"/>
      <c r="J27" s="1104">
        <v>0.4</v>
      </c>
      <c r="K27" s="1105"/>
      <c r="L27" s="527">
        <v>0.05</v>
      </c>
      <c r="M27" s="530">
        <v>0.05</v>
      </c>
      <c r="O27" s="216"/>
    </row>
    <row r="28" spans="2:18" ht="19.5" customHeight="1" x14ac:dyDescent="0.25">
      <c r="C28" s="1106" t="s">
        <v>533</v>
      </c>
      <c r="D28" s="1107"/>
      <c r="E28" s="1108">
        <v>0.2</v>
      </c>
      <c r="F28" s="1108"/>
      <c r="G28" s="1109"/>
      <c r="H28" s="1110">
        <v>0.15</v>
      </c>
      <c r="I28" s="1111"/>
      <c r="J28" s="1112">
        <v>0.15</v>
      </c>
      <c r="K28" s="1113"/>
      <c r="L28" s="528">
        <v>0.35</v>
      </c>
      <c r="M28" s="531">
        <v>0.15</v>
      </c>
      <c r="O28" s="216"/>
    </row>
    <row r="29" spans="2:18" ht="18.75" customHeight="1" thickBot="1" x14ac:dyDescent="0.3">
      <c r="C29" s="1089" t="s">
        <v>534</v>
      </c>
      <c r="D29" s="1090"/>
      <c r="E29" s="1091">
        <v>0.4</v>
      </c>
      <c r="F29" s="1091"/>
      <c r="G29" s="1092"/>
      <c r="H29" s="1093">
        <v>0.2</v>
      </c>
      <c r="I29" s="1094"/>
      <c r="J29" s="1095">
        <v>0.2</v>
      </c>
      <c r="K29" s="1096"/>
      <c r="L29" s="529">
        <v>0.2</v>
      </c>
      <c r="M29" s="532">
        <v>0</v>
      </c>
      <c r="O29" s="216"/>
    </row>
    <row r="30" spans="2:18" x14ac:dyDescent="0.25">
      <c r="D30" s="329"/>
      <c r="E30" s="356"/>
      <c r="F30" s="356"/>
      <c r="G30" s="356"/>
      <c r="H30" s="356"/>
      <c r="I30" s="356"/>
      <c r="J30" s="356"/>
      <c r="K30" s="356"/>
      <c r="L30" s="356"/>
      <c r="M30" s="356"/>
      <c r="O30" s="216"/>
    </row>
    <row r="31" spans="2:18" ht="15.75" thickBot="1" x14ac:dyDescent="0.3">
      <c r="C31" s="14" t="s">
        <v>531</v>
      </c>
    </row>
    <row r="32" spans="2:18" ht="18.75" thickBot="1" x14ac:dyDescent="0.4">
      <c r="C32" s="325" t="s">
        <v>520</v>
      </c>
      <c r="D32" s="328" t="s">
        <v>145</v>
      </c>
      <c r="E32" s="331" t="s">
        <v>413</v>
      </c>
      <c r="F32" s="332" t="s">
        <v>414</v>
      </c>
      <c r="G32" s="353" t="s">
        <v>524</v>
      </c>
      <c r="H32" s="337" t="s">
        <v>518</v>
      </c>
      <c r="I32" s="338" t="s">
        <v>525</v>
      </c>
      <c r="J32" s="354" t="s">
        <v>519</v>
      </c>
      <c r="K32" s="341" t="s">
        <v>526</v>
      </c>
      <c r="L32" s="340" t="s">
        <v>527</v>
      </c>
      <c r="M32" s="355" t="s">
        <v>528</v>
      </c>
      <c r="O32" s="326" t="s">
        <v>512</v>
      </c>
      <c r="P32" s="326" t="s">
        <v>513</v>
      </c>
      <c r="Q32" s="326" t="s">
        <v>514</v>
      </c>
      <c r="R32" s="326" t="s">
        <v>522</v>
      </c>
    </row>
    <row r="33" spans="3:22" ht="30" customHeight="1" thickBot="1" x14ac:dyDescent="0.3">
      <c r="C33" s="423" t="s">
        <v>420</v>
      </c>
      <c r="D33" s="346"/>
      <c r="E33" s="348">
        <v>2</v>
      </c>
      <c r="F33" s="327">
        <v>0</v>
      </c>
      <c r="G33" s="349">
        <f t="shared" ref="G33:G38" si="2">SUM(E33:F33)</f>
        <v>2</v>
      </c>
      <c r="H33" s="350">
        <v>1853.1</v>
      </c>
      <c r="I33" s="349">
        <v>3</v>
      </c>
      <c r="J33" s="351">
        <v>114</v>
      </c>
      <c r="K33" s="352">
        <v>0</v>
      </c>
      <c r="L33" s="360">
        <v>1</v>
      </c>
      <c r="M33" s="360">
        <v>3</v>
      </c>
      <c r="O33" s="357">
        <f t="shared" ref="O33:O38" si="3">$M33*$M$27+$L33*$L$27+$K33*$J$27+$I33*$H$27+$G33*$E$27</f>
        <v>1.6</v>
      </c>
      <c r="P33" s="357">
        <f t="shared" ref="P33:P38" si="4">$M33*$M$28+$L33*$L$28+$K33*$J$28+$I33*$H$28+$G33*$E$28</f>
        <v>1.65</v>
      </c>
      <c r="Q33" s="357">
        <f t="shared" ref="Q33:Q38" si="5">$M33*$M$29+$L33*$L$29+$K33*$J$29+$I33*$H$29+$G33*$E$29</f>
        <v>1.6</v>
      </c>
      <c r="R33" s="357">
        <f t="shared" ref="R33:R38" si="6">SUM(O33:Q33)/3</f>
        <v>1.6166666666666665</v>
      </c>
    </row>
    <row r="34" spans="3:22" ht="30" customHeight="1" thickBot="1" x14ac:dyDescent="0.3">
      <c r="C34" s="423" t="s">
        <v>511</v>
      </c>
      <c r="D34" s="346"/>
      <c r="E34" s="348">
        <v>4</v>
      </c>
      <c r="F34" s="327">
        <v>0</v>
      </c>
      <c r="G34" s="349">
        <f t="shared" si="2"/>
        <v>4</v>
      </c>
      <c r="H34" s="350">
        <v>1171.3</v>
      </c>
      <c r="I34" s="349">
        <v>0</v>
      </c>
      <c r="J34" s="351">
        <v>300</v>
      </c>
      <c r="K34" s="352">
        <v>1</v>
      </c>
      <c r="L34" s="360">
        <v>2</v>
      </c>
      <c r="M34" s="360">
        <v>4</v>
      </c>
      <c r="O34" s="357">
        <f t="shared" si="3"/>
        <v>1.1000000000000001</v>
      </c>
      <c r="P34" s="357">
        <f t="shared" si="4"/>
        <v>2.25</v>
      </c>
      <c r="Q34" s="357">
        <f t="shared" si="5"/>
        <v>2.2000000000000002</v>
      </c>
      <c r="R34" s="357">
        <f t="shared" si="6"/>
        <v>1.8500000000000003</v>
      </c>
    </row>
    <row r="35" spans="3:22" ht="30" customHeight="1" thickBot="1" x14ac:dyDescent="0.3">
      <c r="C35" s="424" t="s">
        <v>423</v>
      </c>
      <c r="D35" s="322"/>
      <c r="E35" s="323">
        <v>0</v>
      </c>
      <c r="F35" s="320">
        <v>0</v>
      </c>
      <c r="G35" s="333">
        <f t="shared" si="2"/>
        <v>0</v>
      </c>
      <c r="H35" s="335">
        <v>2236.5</v>
      </c>
      <c r="I35" s="333">
        <v>4</v>
      </c>
      <c r="J35" s="344">
        <v>244</v>
      </c>
      <c r="K35" s="342">
        <v>0</v>
      </c>
      <c r="L35" s="361">
        <v>4</v>
      </c>
      <c r="M35" s="361">
        <v>4</v>
      </c>
      <c r="O35" s="357">
        <f t="shared" si="3"/>
        <v>2</v>
      </c>
      <c r="P35" s="357">
        <f t="shared" si="4"/>
        <v>2.6</v>
      </c>
      <c r="Q35" s="357">
        <f t="shared" si="5"/>
        <v>1.6</v>
      </c>
      <c r="R35" s="357">
        <f t="shared" si="6"/>
        <v>2.0666666666666664</v>
      </c>
    </row>
    <row r="36" spans="3:22" ht="30" customHeight="1" thickBot="1" x14ac:dyDescent="0.3">
      <c r="C36" s="424" t="s">
        <v>419</v>
      </c>
      <c r="D36" s="322"/>
      <c r="E36" s="323">
        <v>0</v>
      </c>
      <c r="F36" s="320">
        <v>2</v>
      </c>
      <c r="G36" s="333">
        <f t="shared" si="2"/>
        <v>2</v>
      </c>
      <c r="H36" s="335">
        <v>1992.3</v>
      </c>
      <c r="I36" s="333">
        <v>3</v>
      </c>
      <c r="J36" s="344">
        <v>1040</v>
      </c>
      <c r="K36" s="342">
        <v>4</v>
      </c>
      <c r="L36" s="361">
        <v>0</v>
      </c>
      <c r="M36" s="361">
        <v>3</v>
      </c>
      <c r="O36" s="357">
        <f t="shared" si="3"/>
        <v>3.1500000000000004</v>
      </c>
      <c r="P36" s="357">
        <f t="shared" si="4"/>
        <v>1.9</v>
      </c>
      <c r="Q36" s="357">
        <f t="shared" si="5"/>
        <v>2.2000000000000002</v>
      </c>
      <c r="R36" s="357">
        <f t="shared" si="6"/>
        <v>2.416666666666667</v>
      </c>
    </row>
    <row r="37" spans="3:22" ht="30" customHeight="1" thickBot="1" x14ac:dyDescent="0.3">
      <c r="C37" s="424" t="s">
        <v>421</v>
      </c>
      <c r="D37" s="322"/>
      <c r="E37" s="323">
        <v>1</v>
      </c>
      <c r="F37" s="320">
        <v>2</v>
      </c>
      <c r="G37" s="333">
        <f t="shared" si="2"/>
        <v>3</v>
      </c>
      <c r="H37" s="335">
        <v>1257.0999999999999</v>
      </c>
      <c r="I37" s="333">
        <v>1</v>
      </c>
      <c r="J37" s="344">
        <v>1239</v>
      </c>
      <c r="K37" s="342">
        <v>4</v>
      </c>
      <c r="L37" s="361">
        <v>3</v>
      </c>
      <c r="M37" s="361">
        <v>0</v>
      </c>
      <c r="O37" s="357">
        <f t="shared" si="3"/>
        <v>2.4500000000000002</v>
      </c>
      <c r="P37" s="357">
        <f t="shared" si="4"/>
        <v>2.4</v>
      </c>
      <c r="Q37" s="357">
        <f t="shared" si="5"/>
        <v>2.8000000000000003</v>
      </c>
      <c r="R37" s="357">
        <f t="shared" si="6"/>
        <v>2.5500000000000003</v>
      </c>
    </row>
    <row r="38" spans="3:22" ht="30" customHeight="1" thickBot="1" x14ac:dyDescent="0.3">
      <c r="C38" s="425" t="s">
        <v>515</v>
      </c>
      <c r="D38" s="319"/>
      <c r="E38" s="324">
        <v>4</v>
      </c>
      <c r="F38" s="321">
        <v>2</v>
      </c>
      <c r="G38" s="334">
        <f t="shared" si="2"/>
        <v>6</v>
      </c>
      <c r="H38" s="336">
        <v>1069.4000000000001</v>
      </c>
      <c r="I38" s="334">
        <v>0</v>
      </c>
      <c r="J38" s="345">
        <v>861</v>
      </c>
      <c r="K38" s="343">
        <v>3</v>
      </c>
      <c r="L38" s="362">
        <v>2</v>
      </c>
      <c r="M38" s="362">
        <v>1</v>
      </c>
      <c r="O38" s="357">
        <f t="shared" si="3"/>
        <v>1.9500000000000002</v>
      </c>
      <c r="P38" s="357">
        <f t="shared" si="4"/>
        <v>2.5</v>
      </c>
      <c r="Q38" s="357">
        <f t="shared" si="5"/>
        <v>3.4000000000000004</v>
      </c>
      <c r="R38" s="357">
        <f t="shared" si="6"/>
        <v>2.6166666666666667</v>
      </c>
    </row>
    <row r="40" spans="3:22" x14ac:dyDescent="0.25">
      <c r="C40" s="14"/>
    </row>
    <row r="41" spans="3:22" ht="15.75" customHeight="1" x14ac:dyDescent="0.25"/>
    <row r="42" spans="3:22" ht="30" customHeight="1" thickBot="1" x14ac:dyDescent="0.3">
      <c r="C42" s="14" t="s">
        <v>1182</v>
      </c>
    </row>
    <row r="43" spans="3:22" ht="30" customHeight="1" thickBot="1" x14ac:dyDescent="0.3">
      <c r="C43" s="325" t="s">
        <v>520</v>
      </c>
      <c r="D43" s="328" t="s">
        <v>145</v>
      </c>
      <c r="E43" s="331" t="s">
        <v>512</v>
      </c>
      <c r="F43" s="332" t="s">
        <v>513</v>
      </c>
      <c r="G43" s="667" t="s">
        <v>514</v>
      </c>
      <c r="H43" s="337" t="s">
        <v>512</v>
      </c>
      <c r="I43" s="668" t="s">
        <v>513</v>
      </c>
      <c r="J43" s="669" t="s">
        <v>514</v>
      </c>
      <c r="K43" s="354" t="s">
        <v>512</v>
      </c>
      <c r="L43" s="670" t="s">
        <v>513</v>
      </c>
      <c r="M43" s="682" t="s">
        <v>514</v>
      </c>
      <c r="N43" s="680" t="s">
        <v>512</v>
      </c>
      <c r="O43" s="671" t="s">
        <v>513</v>
      </c>
      <c r="P43" s="681" t="s">
        <v>514</v>
      </c>
      <c r="Q43" s="677" t="s">
        <v>512</v>
      </c>
      <c r="R43" s="672" t="s">
        <v>513</v>
      </c>
      <c r="S43" s="673" t="s">
        <v>514</v>
      </c>
    </row>
    <row r="44" spans="3:22" ht="30" customHeight="1" x14ac:dyDescent="0.25">
      <c r="C44" s="423" t="s">
        <v>420</v>
      </c>
      <c r="D44" s="346"/>
      <c r="E44" s="351">
        <f>G33*$E$27</f>
        <v>0.2</v>
      </c>
      <c r="F44" s="656">
        <f>G33*$E$28</f>
        <v>0.4</v>
      </c>
      <c r="G44" s="349">
        <f>G33*$E$29</f>
        <v>0.8</v>
      </c>
      <c r="H44" s="351">
        <f>I33*$H$27</f>
        <v>1.2000000000000002</v>
      </c>
      <c r="I44" s="656">
        <f>I33*$H$28</f>
        <v>0.44999999999999996</v>
      </c>
      <c r="J44" s="349">
        <f>I33*$H$29</f>
        <v>0.60000000000000009</v>
      </c>
      <c r="K44" s="351">
        <f>K33*$J$27</f>
        <v>0</v>
      </c>
      <c r="L44" s="656">
        <f>K33*$J$28</f>
        <v>0</v>
      </c>
      <c r="M44" s="349">
        <f>K33*$J$29</f>
        <v>0</v>
      </c>
      <c r="N44" s="678">
        <f>L33*$L$27</f>
        <v>0.05</v>
      </c>
      <c r="O44" s="665">
        <f>L33*$L$28</f>
        <v>0.35</v>
      </c>
      <c r="P44" s="666">
        <f>L33*$L$29</f>
        <v>0.2</v>
      </c>
      <c r="Q44" s="678">
        <f>M33*$M$27</f>
        <v>0.15000000000000002</v>
      </c>
      <c r="R44" s="665">
        <f>M33*$M$28</f>
        <v>0.44999999999999996</v>
      </c>
      <c r="S44" s="666">
        <f>M33*$M$29</f>
        <v>0</v>
      </c>
      <c r="T44" s="663"/>
      <c r="U44" s="662"/>
      <c r="V44" s="662"/>
    </row>
    <row r="45" spans="3:22" ht="30" customHeight="1" x14ac:dyDescent="0.25">
      <c r="C45" s="423" t="s">
        <v>511</v>
      </c>
      <c r="D45" s="346"/>
      <c r="E45" s="344">
        <f t="shared" ref="E45:E49" si="7">G34*$E$27</f>
        <v>0.4</v>
      </c>
      <c r="F45" s="661">
        <f t="shared" ref="F45:F49" si="8">G34*$E$28</f>
        <v>0.8</v>
      </c>
      <c r="G45" s="333">
        <f t="shared" ref="G45:G48" si="9">G34*$E$29</f>
        <v>1.6</v>
      </c>
      <c r="H45" s="344">
        <f t="shared" ref="H45:H47" si="10">I34*$H$27</f>
        <v>0</v>
      </c>
      <c r="I45" s="661">
        <f t="shared" ref="I45:I48" si="11">I34*$H$28</f>
        <v>0</v>
      </c>
      <c r="J45" s="333">
        <f t="shared" ref="J45:J48" si="12">I34*$H$29</f>
        <v>0</v>
      </c>
      <c r="K45" s="351">
        <f t="shared" ref="K45:K49" si="13">K34*$J$27</f>
        <v>0.4</v>
      </c>
      <c r="L45" s="656">
        <f t="shared" ref="L45:L49" si="14">K34*$J$28</f>
        <v>0.15</v>
      </c>
      <c r="M45" s="349">
        <f t="shared" ref="M45:M49" si="15">K34*$J$29</f>
        <v>0.2</v>
      </c>
      <c r="N45" s="678">
        <f t="shared" ref="N45:N49" si="16">L34*$L$27</f>
        <v>0.1</v>
      </c>
      <c r="O45" s="665">
        <f t="shared" ref="O45:O49" si="17">L34*$L$28</f>
        <v>0.7</v>
      </c>
      <c r="P45" s="666">
        <f t="shared" ref="P45:P49" si="18">L34*$L$29</f>
        <v>0.4</v>
      </c>
      <c r="Q45" s="678">
        <f t="shared" ref="Q45:Q49" si="19">M34*$M$27</f>
        <v>0.2</v>
      </c>
      <c r="R45" s="665">
        <f t="shared" ref="R45:R49" si="20">M34*$M$28</f>
        <v>0.6</v>
      </c>
      <c r="S45" s="666">
        <f t="shared" ref="S45:S49" si="21">M34*$M$29</f>
        <v>0</v>
      </c>
      <c r="T45" s="663"/>
      <c r="U45" s="662"/>
      <c r="V45" s="662"/>
    </row>
    <row r="46" spans="3:22" ht="30" customHeight="1" x14ac:dyDescent="0.25">
      <c r="C46" s="424" t="s">
        <v>423</v>
      </c>
      <c r="D46" s="322"/>
      <c r="E46" s="344">
        <f t="shared" si="7"/>
        <v>0</v>
      </c>
      <c r="F46" s="661">
        <f t="shared" si="8"/>
        <v>0</v>
      </c>
      <c r="G46" s="333">
        <f t="shared" si="9"/>
        <v>0</v>
      </c>
      <c r="H46" s="344">
        <f t="shared" si="10"/>
        <v>1.6</v>
      </c>
      <c r="I46" s="661">
        <f t="shared" si="11"/>
        <v>0.6</v>
      </c>
      <c r="J46" s="333">
        <f t="shared" si="12"/>
        <v>0.8</v>
      </c>
      <c r="K46" s="351">
        <f t="shared" si="13"/>
        <v>0</v>
      </c>
      <c r="L46" s="656">
        <f t="shared" si="14"/>
        <v>0</v>
      </c>
      <c r="M46" s="349">
        <f t="shared" si="15"/>
        <v>0</v>
      </c>
      <c r="N46" s="678">
        <f t="shared" si="16"/>
        <v>0.2</v>
      </c>
      <c r="O46" s="665">
        <f t="shared" si="17"/>
        <v>1.4</v>
      </c>
      <c r="P46" s="666">
        <f t="shared" si="18"/>
        <v>0.8</v>
      </c>
      <c r="Q46" s="678">
        <f t="shared" si="19"/>
        <v>0.2</v>
      </c>
      <c r="R46" s="665">
        <f t="shared" si="20"/>
        <v>0.6</v>
      </c>
      <c r="S46" s="666">
        <f t="shared" si="21"/>
        <v>0</v>
      </c>
      <c r="T46" s="663"/>
      <c r="U46" s="662"/>
      <c r="V46" s="662"/>
    </row>
    <row r="47" spans="3:22" ht="30" customHeight="1" x14ac:dyDescent="0.25">
      <c r="C47" s="424" t="s">
        <v>419</v>
      </c>
      <c r="D47" s="322"/>
      <c r="E47" s="344">
        <f t="shared" si="7"/>
        <v>0.2</v>
      </c>
      <c r="F47" s="661">
        <f t="shared" si="8"/>
        <v>0.4</v>
      </c>
      <c r="G47" s="333">
        <f t="shared" si="9"/>
        <v>0.8</v>
      </c>
      <c r="H47" s="344">
        <f t="shared" si="10"/>
        <v>1.2000000000000002</v>
      </c>
      <c r="I47" s="661">
        <f t="shared" si="11"/>
        <v>0.44999999999999996</v>
      </c>
      <c r="J47" s="333">
        <f t="shared" si="12"/>
        <v>0.60000000000000009</v>
      </c>
      <c r="K47" s="351">
        <f t="shared" si="13"/>
        <v>1.6</v>
      </c>
      <c r="L47" s="656">
        <f t="shared" si="14"/>
        <v>0.6</v>
      </c>
      <c r="M47" s="349">
        <f t="shared" si="15"/>
        <v>0.8</v>
      </c>
      <c r="N47" s="678">
        <f t="shared" si="16"/>
        <v>0</v>
      </c>
      <c r="O47" s="665">
        <f t="shared" si="17"/>
        <v>0</v>
      </c>
      <c r="P47" s="666">
        <f t="shared" si="18"/>
        <v>0</v>
      </c>
      <c r="Q47" s="678">
        <f t="shared" si="19"/>
        <v>0.15000000000000002</v>
      </c>
      <c r="R47" s="665">
        <f t="shared" si="20"/>
        <v>0.44999999999999996</v>
      </c>
      <c r="S47" s="666">
        <f t="shared" si="21"/>
        <v>0</v>
      </c>
      <c r="T47" s="663"/>
      <c r="U47" s="662"/>
      <c r="V47" s="662"/>
    </row>
    <row r="48" spans="3:22" ht="30" customHeight="1" x14ac:dyDescent="0.25">
      <c r="C48" s="424" t="s">
        <v>421</v>
      </c>
      <c r="D48" s="322"/>
      <c r="E48" s="344">
        <f t="shared" si="7"/>
        <v>0.30000000000000004</v>
      </c>
      <c r="F48" s="661">
        <f t="shared" si="8"/>
        <v>0.60000000000000009</v>
      </c>
      <c r="G48" s="333">
        <f t="shared" si="9"/>
        <v>1.2000000000000002</v>
      </c>
      <c r="H48" s="344">
        <f>I37*$H$27</f>
        <v>0.4</v>
      </c>
      <c r="I48" s="661">
        <f t="shared" si="11"/>
        <v>0.15</v>
      </c>
      <c r="J48" s="333">
        <f t="shared" si="12"/>
        <v>0.2</v>
      </c>
      <c r="K48" s="351">
        <f t="shared" si="13"/>
        <v>1.6</v>
      </c>
      <c r="L48" s="656">
        <f t="shared" si="14"/>
        <v>0.6</v>
      </c>
      <c r="M48" s="349">
        <f t="shared" si="15"/>
        <v>0.8</v>
      </c>
      <c r="N48" s="678">
        <f t="shared" si="16"/>
        <v>0.15000000000000002</v>
      </c>
      <c r="O48" s="665">
        <f t="shared" si="17"/>
        <v>1.0499999999999998</v>
      </c>
      <c r="P48" s="666">
        <f t="shared" si="18"/>
        <v>0.60000000000000009</v>
      </c>
      <c r="Q48" s="678">
        <f t="shared" si="19"/>
        <v>0</v>
      </c>
      <c r="R48" s="665">
        <f t="shared" si="20"/>
        <v>0</v>
      </c>
      <c r="S48" s="666">
        <f t="shared" si="21"/>
        <v>0</v>
      </c>
      <c r="T48" s="663"/>
      <c r="U48" s="662"/>
      <c r="V48" s="662"/>
    </row>
    <row r="49" spans="3:22" ht="30" customHeight="1" thickBot="1" x14ac:dyDescent="0.3">
      <c r="C49" s="425" t="s">
        <v>515</v>
      </c>
      <c r="D49" s="319"/>
      <c r="E49" s="345">
        <f t="shared" si="7"/>
        <v>0.60000000000000009</v>
      </c>
      <c r="F49" s="664">
        <f t="shared" si="8"/>
        <v>1.2000000000000002</v>
      </c>
      <c r="G49" s="334">
        <f>G38*$E$29</f>
        <v>2.4000000000000004</v>
      </c>
      <c r="H49" s="345">
        <f>I38*$H$27</f>
        <v>0</v>
      </c>
      <c r="I49" s="664">
        <f>I38*$H$28</f>
        <v>0</v>
      </c>
      <c r="J49" s="334">
        <f>I38*$H$29</f>
        <v>0</v>
      </c>
      <c r="K49" s="657">
        <f t="shared" si="13"/>
        <v>1.2000000000000002</v>
      </c>
      <c r="L49" s="674">
        <f t="shared" si="14"/>
        <v>0.44999999999999996</v>
      </c>
      <c r="M49" s="683">
        <f t="shared" si="15"/>
        <v>0.60000000000000009</v>
      </c>
      <c r="N49" s="679">
        <f t="shared" si="16"/>
        <v>0.1</v>
      </c>
      <c r="O49" s="675">
        <f t="shared" si="17"/>
        <v>0.7</v>
      </c>
      <c r="P49" s="676">
        <f t="shared" si="18"/>
        <v>0.4</v>
      </c>
      <c r="Q49" s="679">
        <f t="shared" si="19"/>
        <v>0.05</v>
      </c>
      <c r="R49" s="675">
        <f t="shared" si="20"/>
        <v>0.15</v>
      </c>
      <c r="S49" s="676">
        <f t="shared" si="21"/>
        <v>0</v>
      </c>
      <c r="T49" s="663"/>
      <c r="U49" s="662"/>
      <c r="V49" s="662"/>
    </row>
    <row r="52" spans="3:22" ht="15.75" thickBot="1" x14ac:dyDescent="0.3">
      <c r="C52" s="521" t="s">
        <v>1186</v>
      </c>
    </row>
    <row r="53" spans="3:22" ht="15.75" thickBot="1" x14ac:dyDescent="0.3">
      <c r="C53" s="325" t="s">
        <v>520</v>
      </c>
      <c r="D53" s="328" t="s">
        <v>145</v>
      </c>
      <c r="E53" s="331" t="s">
        <v>512</v>
      </c>
      <c r="F53" s="337" t="s">
        <v>512</v>
      </c>
      <c r="G53" s="354" t="s">
        <v>512</v>
      </c>
      <c r="H53" s="680" t="s">
        <v>512</v>
      </c>
      <c r="I53" s="677" t="s">
        <v>512</v>
      </c>
      <c r="J53" t="s">
        <v>7</v>
      </c>
    </row>
    <row r="54" spans="3:22" x14ac:dyDescent="0.25">
      <c r="C54" s="423" t="s">
        <v>420</v>
      </c>
      <c r="D54" s="346"/>
      <c r="E54" s="351">
        <v>0.2</v>
      </c>
      <c r="F54" s="351">
        <v>1.2000000000000002</v>
      </c>
      <c r="G54" s="351">
        <v>0</v>
      </c>
      <c r="H54" s="678">
        <v>0.05</v>
      </c>
      <c r="I54" s="678">
        <v>0.15000000000000002</v>
      </c>
      <c r="J54">
        <f>SUM(E54:I54)</f>
        <v>1.6</v>
      </c>
    </row>
    <row r="55" spans="3:22" x14ac:dyDescent="0.25">
      <c r="C55" s="423" t="s">
        <v>511</v>
      </c>
      <c r="D55" s="346"/>
      <c r="E55" s="344">
        <v>0.4</v>
      </c>
      <c r="F55" s="344">
        <v>0</v>
      </c>
      <c r="G55" s="351">
        <v>0.4</v>
      </c>
      <c r="H55" s="678">
        <v>0.1</v>
      </c>
      <c r="I55" s="678">
        <v>0.2</v>
      </c>
      <c r="J55">
        <f t="shared" ref="J55:J75" si="22">SUM(E55:I55)</f>
        <v>1.1000000000000001</v>
      </c>
    </row>
    <row r="56" spans="3:22" x14ac:dyDescent="0.25">
      <c r="C56" s="424" t="s">
        <v>423</v>
      </c>
      <c r="D56" s="322"/>
      <c r="E56" s="344">
        <v>0</v>
      </c>
      <c r="F56" s="344">
        <v>1.6</v>
      </c>
      <c r="G56" s="351">
        <v>0</v>
      </c>
      <c r="H56" s="678">
        <v>0.2</v>
      </c>
      <c r="I56" s="678">
        <v>0.2</v>
      </c>
      <c r="J56">
        <f t="shared" si="22"/>
        <v>2</v>
      </c>
    </row>
    <row r="57" spans="3:22" x14ac:dyDescent="0.25">
      <c r="C57" s="424" t="s">
        <v>419</v>
      </c>
      <c r="D57" s="322"/>
      <c r="E57" s="344">
        <v>0.2</v>
      </c>
      <c r="F57" s="344">
        <v>1.2000000000000002</v>
      </c>
      <c r="G57" s="351">
        <v>1.6</v>
      </c>
      <c r="H57" s="678">
        <v>0</v>
      </c>
      <c r="I57" s="678">
        <v>0.15000000000000002</v>
      </c>
      <c r="J57">
        <f t="shared" si="22"/>
        <v>3.15</v>
      </c>
    </row>
    <row r="58" spans="3:22" x14ac:dyDescent="0.25">
      <c r="C58" s="424" t="s">
        <v>421</v>
      </c>
      <c r="D58" s="322"/>
      <c r="E58" s="344">
        <v>0.30000000000000004</v>
      </c>
      <c r="F58" s="344">
        <v>0.4</v>
      </c>
      <c r="G58" s="351">
        <v>1.6</v>
      </c>
      <c r="H58" s="678">
        <v>0.15000000000000002</v>
      </c>
      <c r="I58" s="678">
        <v>0</v>
      </c>
      <c r="J58">
        <f t="shared" si="22"/>
        <v>2.4500000000000002</v>
      </c>
    </row>
    <row r="59" spans="3:22" ht="15.75" thickBot="1" x14ac:dyDescent="0.3">
      <c r="C59" s="425" t="s">
        <v>515</v>
      </c>
      <c r="D59" s="319"/>
      <c r="E59" s="345">
        <v>0.60000000000000009</v>
      </c>
      <c r="F59" s="345">
        <v>0</v>
      </c>
      <c r="G59" s="657">
        <v>1.2000000000000002</v>
      </c>
      <c r="H59" s="679">
        <v>0.1</v>
      </c>
      <c r="I59" s="679">
        <v>0.05</v>
      </c>
      <c r="J59">
        <f t="shared" si="22"/>
        <v>1.9500000000000004</v>
      </c>
    </row>
    <row r="60" spans="3:22" ht="15.75" thickBot="1" x14ac:dyDescent="0.3"/>
    <row r="61" spans="3:22" ht="15.75" thickBot="1" x14ac:dyDescent="0.3">
      <c r="C61" s="325" t="s">
        <v>520</v>
      </c>
      <c r="D61" s="328" t="s">
        <v>145</v>
      </c>
      <c r="E61" s="332" t="s">
        <v>513</v>
      </c>
      <c r="F61" s="668" t="s">
        <v>513</v>
      </c>
      <c r="G61" s="670" t="s">
        <v>513</v>
      </c>
      <c r="H61" s="671" t="s">
        <v>513</v>
      </c>
      <c r="I61" s="672" t="s">
        <v>513</v>
      </c>
      <c r="J61">
        <f t="shared" si="22"/>
        <v>0</v>
      </c>
    </row>
    <row r="62" spans="3:22" x14ac:dyDescent="0.25">
      <c r="C62" s="423" t="s">
        <v>420</v>
      </c>
      <c r="D62" s="346"/>
      <c r="E62" s="656">
        <v>0.4</v>
      </c>
      <c r="F62" s="656">
        <v>0.44999999999999996</v>
      </c>
      <c r="G62" s="656">
        <v>0</v>
      </c>
      <c r="H62" s="665">
        <v>0.35</v>
      </c>
      <c r="I62" s="665">
        <v>0.44999999999999996</v>
      </c>
      <c r="J62">
        <f t="shared" si="22"/>
        <v>1.65</v>
      </c>
      <c r="T62" t="s">
        <v>514</v>
      </c>
    </row>
    <row r="63" spans="3:22" x14ac:dyDescent="0.25">
      <c r="C63" s="423" t="s">
        <v>511</v>
      </c>
      <c r="D63" s="346"/>
      <c r="E63" s="661">
        <v>0.8</v>
      </c>
      <c r="F63" s="661">
        <v>0</v>
      </c>
      <c r="G63" s="656">
        <v>0.15</v>
      </c>
      <c r="H63" s="665">
        <v>0.7</v>
      </c>
      <c r="I63" s="665">
        <v>0.6</v>
      </c>
      <c r="J63">
        <f t="shared" si="22"/>
        <v>2.25</v>
      </c>
    </row>
    <row r="64" spans="3:22" x14ac:dyDescent="0.25">
      <c r="C64" s="424" t="s">
        <v>423</v>
      </c>
      <c r="D64" s="322"/>
      <c r="E64" s="661">
        <v>0</v>
      </c>
      <c r="F64" s="661">
        <v>0.6</v>
      </c>
      <c r="G64" s="656">
        <v>0</v>
      </c>
      <c r="H64" s="665">
        <v>1.4</v>
      </c>
      <c r="I64" s="665">
        <v>0.6</v>
      </c>
      <c r="J64">
        <f t="shared" si="22"/>
        <v>2.6</v>
      </c>
    </row>
    <row r="65" spans="3:14" x14ac:dyDescent="0.25">
      <c r="C65" s="424" t="s">
        <v>419</v>
      </c>
      <c r="D65" s="322"/>
      <c r="E65" s="661">
        <v>0.4</v>
      </c>
      <c r="F65" s="661">
        <v>0.44999999999999996</v>
      </c>
      <c r="G65" s="656">
        <v>0.6</v>
      </c>
      <c r="H65" s="665">
        <v>0</v>
      </c>
      <c r="I65" s="665">
        <v>0.44999999999999996</v>
      </c>
      <c r="J65">
        <f t="shared" si="22"/>
        <v>1.9</v>
      </c>
    </row>
    <row r="66" spans="3:14" x14ac:dyDescent="0.25">
      <c r="C66" s="424" t="s">
        <v>421</v>
      </c>
      <c r="D66" s="322"/>
      <c r="E66" s="661">
        <v>0.60000000000000009</v>
      </c>
      <c r="F66" s="661">
        <v>0.15</v>
      </c>
      <c r="G66" s="656">
        <v>0.6</v>
      </c>
      <c r="H66" s="665">
        <v>1.0499999999999998</v>
      </c>
      <c r="I66" s="665">
        <v>0</v>
      </c>
      <c r="J66">
        <f t="shared" si="22"/>
        <v>2.4</v>
      </c>
    </row>
    <row r="67" spans="3:14" ht="15.75" thickBot="1" x14ac:dyDescent="0.3">
      <c r="C67" s="425" t="s">
        <v>515</v>
      </c>
      <c r="D67" s="319"/>
      <c r="E67" s="664">
        <v>1.2000000000000002</v>
      </c>
      <c r="F67" s="664">
        <v>0</v>
      </c>
      <c r="G67" s="674">
        <v>0.44999999999999996</v>
      </c>
      <c r="H67" s="675">
        <v>0.7</v>
      </c>
      <c r="I67" s="675">
        <v>0.15</v>
      </c>
      <c r="J67">
        <f t="shared" si="22"/>
        <v>2.5</v>
      </c>
    </row>
    <row r="68" spans="3:14" ht="15.75" thickBot="1" x14ac:dyDescent="0.3"/>
    <row r="69" spans="3:14" ht="30" customHeight="1" thickBot="1" x14ac:dyDescent="0.3">
      <c r="C69" s="325" t="s">
        <v>520</v>
      </c>
      <c r="D69" s="328" t="s">
        <v>145</v>
      </c>
      <c r="E69" s="667" t="s">
        <v>514</v>
      </c>
      <c r="F69" s="669" t="s">
        <v>514</v>
      </c>
      <c r="G69" s="682" t="s">
        <v>514</v>
      </c>
      <c r="H69" s="681" t="s">
        <v>514</v>
      </c>
      <c r="I69" s="673" t="s">
        <v>514</v>
      </c>
      <c r="J69">
        <f t="shared" si="22"/>
        <v>0</v>
      </c>
    </row>
    <row r="70" spans="3:14" ht="30" customHeight="1" x14ac:dyDescent="0.25">
      <c r="C70" s="423" t="s">
        <v>420</v>
      </c>
      <c r="D70" s="346"/>
      <c r="E70" s="349">
        <v>0.8</v>
      </c>
      <c r="F70" s="349">
        <v>0.60000000000000009</v>
      </c>
      <c r="G70" s="349">
        <v>0</v>
      </c>
      <c r="H70" s="666">
        <v>0.2</v>
      </c>
      <c r="I70" s="666">
        <v>0</v>
      </c>
      <c r="J70">
        <f t="shared" si="22"/>
        <v>1.6</v>
      </c>
      <c r="N70" s="215"/>
    </row>
    <row r="71" spans="3:14" ht="30" customHeight="1" x14ac:dyDescent="0.25">
      <c r="C71" s="423" t="s">
        <v>511</v>
      </c>
      <c r="D71" s="346"/>
      <c r="E71" s="333">
        <v>1.6</v>
      </c>
      <c r="F71" s="333">
        <v>0</v>
      </c>
      <c r="G71" s="349">
        <v>0.2</v>
      </c>
      <c r="H71" s="666">
        <v>0.4</v>
      </c>
      <c r="I71" s="666">
        <v>0</v>
      </c>
      <c r="J71">
        <f t="shared" si="22"/>
        <v>2.2000000000000002</v>
      </c>
      <c r="N71" s="215"/>
    </row>
    <row r="72" spans="3:14" ht="30" customHeight="1" x14ac:dyDescent="0.25">
      <c r="C72" s="424" t="s">
        <v>423</v>
      </c>
      <c r="D72" s="322"/>
      <c r="E72" s="333">
        <v>0</v>
      </c>
      <c r="F72" s="333">
        <v>0.8</v>
      </c>
      <c r="G72" s="349">
        <v>0</v>
      </c>
      <c r="H72" s="666">
        <v>0.8</v>
      </c>
      <c r="I72" s="666">
        <v>0</v>
      </c>
      <c r="J72">
        <f t="shared" si="22"/>
        <v>1.6</v>
      </c>
      <c r="N72" s="215"/>
    </row>
    <row r="73" spans="3:14" ht="30" customHeight="1" x14ac:dyDescent="0.25">
      <c r="C73" s="424" t="s">
        <v>419</v>
      </c>
      <c r="D73" s="322"/>
      <c r="E73" s="333">
        <v>0.8</v>
      </c>
      <c r="F73" s="333">
        <v>0.60000000000000009</v>
      </c>
      <c r="G73" s="349">
        <v>0.8</v>
      </c>
      <c r="H73" s="666">
        <v>0</v>
      </c>
      <c r="I73" s="666">
        <v>0</v>
      </c>
      <c r="J73">
        <f t="shared" si="22"/>
        <v>2.2000000000000002</v>
      </c>
      <c r="N73" s="215"/>
    </row>
    <row r="74" spans="3:14" ht="30" customHeight="1" x14ac:dyDescent="0.25">
      <c r="C74" s="424" t="s">
        <v>421</v>
      </c>
      <c r="D74" s="322"/>
      <c r="E74" s="333">
        <v>1.2000000000000002</v>
      </c>
      <c r="F74" s="333">
        <v>0.2</v>
      </c>
      <c r="G74" s="349">
        <v>0.8</v>
      </c>
      <c r="H74" s="666">
        <v>0.60000000000000009</v>
      </c>
      <c r="I74" s="666">
        <v>0</v>
      </c>
      <c r="J74">
        <f t="shared" si="22"/>
        <v>2.8000000000000003</v>
      </c>
      <c r="N74" s="215"/>
    </row>
    <row r="75" spans="3:14" ht="15.75" thickBot="1" x14ac:dyDescent="0.3">
      <c r="C75" s="425" t="s">
        <v>515</v>
      </c>
      <c r="D75" s="319"/>
      <c r="E75" s="334">
        <v>2.4000000000000004</v>
      </c>
      <c r="F75" s="334">
        <v>0</v>
      </c>
      <c r="G75" s="683">
        <v>0.60000000000000009</v>
      </c>
      <c r="H75" s="676">
        <v>0.4</v>
      </c>
      <c r="I75" s="676">
        <v>0</v>
      </c>
      <c r="J75">
        <f t="shared" si="22"/>
        <v>3.4000000000000004</v>
      </c>
    </row>
  </sheetData>
  <autoFilter ref="C32:R32" xr:uid="{FF504F08-146E-454C-86DD-181D656FA61F}">
    <filterColumn colId="1" showButton="0"/>
    <sortState xmlns:xlrd2="http://schemas.microsoft.com/office/spreadsheetml/2017/richdata2" ref="C33:R38">
      <sortCondition ref="R32"/>
    </sortState>
  </autoFilter>
  <mergeCells count="104">
    <mergeCell ref="L2:L3"/>
    <mergeCell ref="M2:M3"/>
    <mergeCell ref="H26:I26"/>
    <mergeCell ref="J26:K26"/>
    <mergeCell ref="J27:K27"/>
    <mergeCell ref="J28:K28"/>
    <mergeCell ref="J29:K29"/>
    <mergeCell ref="H27:I27"/>
    <mergeCell ref="H28:I28"/>
    <mergeCell ref="H29:I29"/>
    <mergeCell ref="J14:J15"/>
    <mergeCell ref="K14:K15"/>
    <mergeCell ref="L14:L15"/>
    <mergeCell ref="M22:M23"/>
    <mergeCell ref="M16:M17"/>
    <mergeCell ref="J18:J19"/>
    <mergeCell ref="K18:K19"/>
    <mergeCell ref="L18:L19"/>
    <mergeCell ref="M18:M19"/>
    <mergeCell ref="J16:J17"/>
    <mergeCell ref="K16:K17"/>
    <mergeCell ref="L16:L17"/>
    <mergeCell ref="I22:I23"/>
    <mergeCell ref="J22:J23"/>
    <mergeCell ref="E2:G2"/>
    <mergeCell ref="H2:I3"/>
    <mergeCell ref="J2:K3"/>
    <mergeCell ref="F3:G3"/>
    <mergeCell ref="C4:D4"/>
    <mergeCell ref="C5:D5"/>
    <mergeCell ref="C6:D6"/>
    <mergeCell ref="J4:K4"/>
    <mergeCell ref="J5:K5"/>
    <mergeCell ref="J6:K6"/>
    <mergeCell ref="C2:D3"/>
    <mergeCell ref="C7:D7"/>
    <mergeCell ref="C8:D8"/>
    <mergeCell ref="H8:I8"/>
    <mergeCell ref="H4:I4"/>
    <mergeCell ref="H5:I5"/>
    <mergeCell ref="H6:I6"/>
    <mergeCell ref="H7:I7"/>
    <mergeCell ref="E27:G27"/>
    <mergeCell ref="E28:G28"/>
    <mergeCell ref="H14:H15"/>
    <mergeCell ref="I14:I15"/>
    <mergeCell ref="H20:H21"/>
    <mergeCell ref="I20:I21"/>
    <mergeCell ref="F18:F19"/>
    <mergeCell ref="G18:G19"/>
    <mergeCell ref="H18:H19"/>
    <mergeCell ref="I18:I19"/>
    <mergeCell ref="H16:H17"/>
    <mergeCell ref="I16:I17"/>
    <mergeCell ref="D22:D23"/>
    <mergeCell ref="E22:E23"/>
    <mergeCell ref="F22:F23"/>
    <mergeCell ref="G22:G23"/>
    <mergeCell ref="H22:H23"/>
    <mergeCell ref="E29:G29"/>
    <mergeCell ref="E26:G26"/>
    <mergeCell ref="D12:D13"/>
    <mergeCell ref="E12:E13"/>
    <mergeCell ref="F12:F13"/>
    <mergeCell ref="G12:G13"/>
    <mergeCell ref="D16:D17"/>
    <mergeCell ref="E16:E17"/>
    <mergeCell ref="F16:F17"/>
    <mergeCell ref="G16:G17"/>
    <mergeCell ref="D20:D21"/>
    <mergeCell ref="C26:D26"/>
    <mergeCell ref="C27:D27"/>
    <mergeCell ref="C28:D28"/>
    <mergeCell ref="C29:D29"/>
    <mergeCell ref="D14:D15"/>
    <mergeCell ref="E14:E15"/>
    <mergeCell ref="F14:F15"/>
    <mergeCell ref="G14:G15"/>
    <mergeCell ref="E20:E21"/>
    <mergeCell ref="F20:F21"/>
    <mergeCell ref="G20:G21"/>
    <mergeCell ref="D18:D19"/>
    <mergeCell ref="E18:E19"/>
    <mergeCell ref="J7:K7"/>
    <mergeCell ref="J8:K8"/>
    <mergeCell ref="K22:K23"/>
    <mergeCell ref="L22:L23"/>
    <mergeCell ref="F4:G4"/>
    <mergeCell ref="F5:G5"/>
    <mergeCell ref="F6:G6"/>
    <mergeCell ref="F7:G7"/>
    <mergeCell ref="F8:G8"/>
    <mergeCell ref="J20:J21"/>
    <mergeCell ref="K20:K21"/>
    <mergeCell ref="L20:L21"/>
    <mergeCell ref="C11:D11"/>
    <mergeCell ref="M20:M21"/>
    <mergeCell ref="M12:M13"/>
    <mergeCell ref="M14:M15"/>
    <mergeCell ref="H12:H13"/>
    <mergeCell ref="I12:I13"/>
    <mergeCell ref="J12:J13"/>
    <mergeCell ref="K12:K13"/>
    <mergeCell ref="L12:L13"/>
  </mergeCells>
  <phoneticPr fontId="10" type="noConversion"/>
  <conditionalFormatting sqref="C4:C9">
    <cfRule type="colorScale" priority="54">
      <colorScale>
        <cfvo type="min"/>
        <cfvo type="percentile" val="50"/>
        <cfvo type="max"/>
        <color rgb="FFF8696B"/>
        <color rgb="FFFFEB84"/>
        <color rgb="FF63BE7B"/>
      </colorScale>
    </cfRule>
  </conditionalFormatting>
  <conditionalFormatting sqref="E54:I59 E70:I75 E62:I67">
    <cfRule type="colorScale" priority="1">
      <colorScale>
        <cfvo type="min"/>
        <cfvo type="max"/>
        <color rgb="FFFCFCFF"/>
        <color rgb="FF63BE7B"/>
      </colorScale>
    </cfRule>
  </conditionalFormatting>
  <conditionalFormatting sqref="E44:S49">
    <cfRule type="colorScale" priority="2">
      <colorScale>
        <cfvo type="min"/>
        <cfvo type="max"/>
        <color rgb="FFFCFCFF"/>
        <color rgb="FF63BE7B"/>
      </colorScale>
    </cfRule>
  </conditionalFormatting>
  <conditionalFormatting sqref="O12:Q24">
    <cfRule type="dataBar" priority="51">
      <dataBar>
        <cfvo type="min"/>
        <cfvo type="max"/>
        <color rgb="FF638EC6"/>
      </dataBar>
      <extLst>
        <ext xmlns:x14="http://schemas.microsoft.com/office/spreadsheetml/2009/9/main" uri="{B025F937-C7B1-47D3-B67F-A62EFF666E3E}">
          <x14:id>{DA006558-4F25-44E3-8C44-B1655AF0B451}</x14:id>
        </ext>
      </extLst>
    </cfRule>
  </conditionalFormatting>
  <conditionalFormatting sqref="O33:Q38">
    <cfRule type="dataBar" priority="8">
      <dataBar>
        <cfvo type="min"/>
        <cfvo type="max"/>
        <color rgb="FF638EC6"/>
      </dataBar>
      <extLst>
        <ext xmlns:x14="http://schemas.microsoft.com/office/spreadsheetml/2009/9/main" uri="{B025F937-C7B1-47D3-B67F-A62EFF666E3E}">
          <x14:id>{B0DE5490-F9C6-4E2A-91E6-A209B6530451}</x14:id>
        </ext>
      </extLst>
    </cfRule>
  </conditionalFormatting>
  <conditionalFormatting sqref="R12:R24">
    <cfRule type="dataBar" priority="53">
      <dataBar>
        <cfvo type="min"/>
        <cfvo type="max"/>
        <color rgb="FF63C384"/>
      </dataBar>
      <extLst>
        <ext xmlns:x14="http://schemas.microsoft.com/office/spreadsheetml/2009/9/main" uri="{B025F937-C7B1-47D3-B67F-A62EFF666E3E}">
          <x14:id>{E6B4D4C4-C3B8-4551-AF40-194AACA3948C}</x14:id>
        </ext>
      </extLst>
    </cfRule>
  </conditionalFormatting>
  <conditionalFormatting sqref="R33:R38">
    <cfRule type="dataBar" priority="6">
      <dataBar>
        <cfvo type="min"/>
        <cfvo type="max"/>
        <color rgb="FF63C384"/>
      </dataBar>
      <extLst>
        <ext xmlns:x14="http://schemas.microsoft.com/office/spreadsheetml/2009/9/main" uri="{B025F937-C7B1-47D3-B67F-A62EFF666E3E}">
          <x14:id>{DD3EEB8A-337B-47A8-B567-5F1A6565EAE4}</x14:id>
        </ext>
      </extLst>
    </cfRule>
  </conditionalFormatting>
  <pageMargins left="0.25" right="0.25" top="0.75" bottom="0.75" header="0.3" footer="0.3"/>
  <pageSetup paperSize="9" scale="32" orientation="landscape" r:id="rId1"/>
  <drawing r:id="rId2"/>
  <extLst>
    <ext xmlns:x14="http://schemas.microsoft.com/office/spreadsheetml/2009/9/main" uri="{78C0D931-6437-407d-A8EE-F0AAD7539E65}">
      <x14:conditionalFormattings>
        <x14:conditionalFormatting xmlns:xm="http://schemas.microsoft.com/office/excel/2006/main">
          <x14:cfRule type="dataBar" id="{DA006558-4F25-44E3-8C44-B1655AF0B451}">
            <x14:dataBar minLength="0" maxLength="100" gradient="0">
              <x14:cfvo type="autoMin"/>
              <x14:cfvo type="autoMax"/>
              <x14:negativeFillColor rgb="FFFF0000"/>
              <x14:axisColor rgb="FF000000"/>
            </x14:dataBar>
          </x14:cfRule>
          <xm:sqref>O12:Q24</xm:sqref>
        </x14:conditionalFormatting>
        <x14:conditionalFormatting xmlns:xm="http://schemas.microsoft.com/office/excel/2006/main">
          <x14:cfRule type="dataBar" id="{B0DE5490-F9C6-4E2A-91E6-A209B6530451}">
            <x14:dataBar minLength="0" maxLength="100" gradient="0">
              <x14:cfvo type="autoMin"/>
              <x14:cfvo type="autoMax"/>
              <x14:negativeFillColor rgb="FFFF0000"/>
              <x14:axisColor rgb="FF000000"/>
            </x14:dataBar>
          </x14:cfRule>
          <xm:sqref>O33:Q38</xm:sqref>
        </x14:conditionalFormatting>
        <x14:conditionalFormatting xmlns:xm="http://schemas.microsoft.com/office/excel/2006/main">
          <x14:cfRule type="dataBar" id="{E6B4D4C4-C3B8-4551-AF40-194AACA3948C}">
            <x14:dataBar minLength="0" maxLength="100" gradient="0">
              <x14:cfvo type="autoMin"/>
              <x14:cfvo type="autoMax"/>
              <x14:negativeFillColor rgb="FFFF0000"/>
              <x14:axisColor rgb="FF000000"/>
            </x14:dataBar>
          </x14:cfRule>
          <xm:sqref>R12:R24</xm:sqref>
        </x14:conditionalFormatting>
        <x14:conditionalFormatting xmlns:xm="http://schemas.microsoft.com/office/excel/2006/main">
          <x14:cfRule type="dataBar" id="{DD3EEB8A-337B-47A8-B567-5F1A6565EAE4}">
            <x14:dataBar minLength="0" maxLength="100" gradient="0">
              <x14:cfvo type="autoMin"/>
              <x14:cfvo type="autoMax"/>
              <x14:negativeFillColor rgb="FFFF0000"/>
              <x14:axisColor rgb="FF000000"/>
            </x14:dataBar>
          </x14:cfRule>
          <xm:sqref>R33:R38</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1B68-A953-4015-A084-2A58955B7415}">
  <dimension ref="B1:M133"/>
  <sheetViews>
    <sheetView zoomScale="85" zoomScaleNormal="85" workbookViewId="0">
      <pane ySplit="29" topLeftCell="A30" activePane="bottomLeft" state="frozen"/>
      <selection pane="bottomLeft" activeCell="H27" sqref="H27"/>
    </sheetView>
  </sheetViews>
  <sheetFormatPr baseColWidth="10" defaultRowHeight="15" x14ac:dyDescent="0.25"/>
  <cols>
    <col min="1" max="1" width="11.42578125" style="12"/>
    <col min="2" max="2" width="4.42578125" style="12" bestFit="1" customWidth="1"/>
    <col min="3" max="3" width="7.5703125" style="12" bestFit="1" customWidth="1"/>
    <col min="4" max="4" width="28.85546875" style="12" customWidth="1"/>
    <col min="5" max="5" width="28" style="12" customWidth="1"/>
    <col min="6" max="6" width="26" style="12" bestFit="1" customWidth="1"/>
    <col min="7" max="7" width="29.140625" style="12" bestFit="1" customWidth="1"/>
    <col min="8" max="8" width="20.5703125" style="12" customWidth="1"/>
    <col min="9" max="9" width="20.42578125" style="12" bestFit="1" customWidth="1"/>
    <col min="10" max="10" width="24.140625" style="12" customWidth="1"/>
    <col min="11" max="11" width="126.140625" style="12" bestFit="1" customWidth="1"/>
    <col min="12" max="16384" width="11.42578125" style="12"/>
  </cols>
  <sheetData>
    <row r="1" spans="3:13" ht="15.75" thickBot="1" x14ac:dyDescent="0.3"/>
    <row r="2" spans="3:13" x14ac:dyDescent="0.25">
      <c r="C2"/>
      <c r="D2" s="1147"/>
      <c r="E2" s="1148"/>
      <c r="F2" s="1148"/>
      <c r="G2" s="1148"/>
      <c r="H2" s="1148"/>
      <c r="I2" s="1149"/>
    </row>
    <row r="3" spans="3:13" x14ac:dyDescent="0.25">
      <c r="C3"/>
      <c r="D3" s="1150"/>
      <c r="E3" s="1151"/>
      <c r="F3" s="1151"/>
      <c r="G3" s="1151"/>
      <c r="H3" s="1151"/>
      <c r="I3" s="1152"/>
    </row>
    <row r="4" spans="3:13" x14ac:dyDescent="0.25">
      <c r="C4"/>
      <c r="D4" s="1150"/>
      <c r="E4" s="1151"/>
      <c r="F4" s="1151"/>
      <c r="G4" s="1151"/>
      <c r="H4" s="1151"/>
      <c r="I4" s="1152"/>
    </row>
    <row r="5" spans="3:13" x14ac:dyDescent="0.25">
      <c r="C5"/>
      <c r="D5" s="1150"/>
      <c r="E5" s="1151"/>
      <c r="F5" s="1151"/>
      <c r="G5" s="1151"/>
      <c r="H5" s="1151"/>
      <c r="I5" s="1152"/>
      <c r="K5" s="12" t="s">
        <v>1178</v>
      </c>
      <c r="L5" s="12">
        <v>9.5200999999999993</v>
      </c>
    </row>
    <row r="6" spans="3:13" x14ac:dyDescent="0.25">
      <c r="C6"/>
      <c r="D6" s="1150"/>
      <c r="E6" s="1151"/>
      <c r="F6" s="1151"/>
      <c r="G6" s="1151"/>
      <c r="H6" s="1151"/>
      <c r="I6" s="1152"/>
      <c r="K6" s="12" t="s">
        <v>1179</v>
      </c>
      <c r="L6" s="12">
        <v>435.14</v>
      </c>
    </row>
    <row r="7" spans="3:13" x14ac:dyDescent="0.25">
      <c r="C7"/>
      <c r="D7" s="1150"/>
      <c r="E7" s="1151"/>
      <c r="F7" s="1151"/>
      <c r="G7" s="1151"/>
      <c r="H7" s="1151"/>
      <c r="I7" s="1152"/>
      <c r="K7" s="12" t="str">
        <f>CONCATENATE("R = ",ROUND(SQRT(0.0493),4))</f>
        <v>R = 0.222</v>
      </c>
    </row>
    <row r="8" spans="3:13" x14ac:dyDescent="0.25">
      <c r="C8"/>
      <c r="D8" s="1150"/>
      <c r="E8" s="1151"/>
      <c r="F8" s="1151"/>
      <c r="G8" s="1151"/>
      <c r="H8" s="1151"/>
      <c r="I8" s="1152"/>
      <c r="L8" s="12" t="s">
        <v>1180</v>
      </c>
      <c r="M8" s="12">
        <v>136.5</v>
      </c>
    </row>
    <row r="9" spans="3:13" x14ac:dyDescent="0.25">
      <c r="C9"/>
      <c r="D9" s="1150"/>
      <c r="E9" s="1151"/>
      <c r="F9" s="1151"/>
      <c r="G9" s="1151"/>
      <c r="H9" s="1151"/>
      <c r="I9" s="1152"/>
      <c r="L9" s="12" t="s">
        <v>1181</v>
      </c>
      <c r="M9" s="12">
        <f>L5*H83+L6</f>
        <v>504.8843223443223</v>
      </c>
    </row>
    <row r="10" spans="3:13" x14ac:dyDescent="0.25">
      <c r="C10"/>
      <c r="D10" s="1150"/>
      <c r="E10" s="1151"/>
      <c r="F10" s="1151"/>
      <c r="G10" s="1151"/>
      <c r="H10" s="1151"/>
      <c r="I10" s="1152"/>
    </row>
    <row r="11" spans="3:13" x14ac:dyDescent="0.25">
      <c r="C11"/>
      <c r="D11" s="1150"/>
      <c r="E11" s="1151"/>
      <c r="F11" s="1151"/>
      <c r="G11" s="1151"/>
      <c r="H11" s="1151"/>
      <c r="I11" s="1152"/>
    </row>
    <row r="12" spans="3:13" x14ac:dyDescent="0.25">
      <c r="C12"/>
      <c r="D12" s="1150"/>
      <c r="E12" s="1151"/>
      <c r="F12" s="1151"/>
      <c r="G12" s="1151"/>
      <c r="H12" s="1151"/>
      <c r="I12" s="1152"/>
    </row>
    <row r="13" spans="3:13" x14ac:dyDescent="0.25">
      <c r="C13"/>
      <c r="D13" s="1150"/>
      <c r="E13" s="1151"/>
      <c r="F13" s="1151"/>
      <c r="G13" s="1151"/>
      <c r="H13" s="1151"/>
      <c r="I13" s="1152"/>
    </row>
    <row r="14" spans="3:13" x14ac:dyDescent="0.25">
      <c r="C14"/>
      <c r="D14" s="1150"/>
      <c r="E14" s="1151"/>
      <c r="F14" s="1151"/>
      <c r="G14" s="1151"/>
      <c r="H14" s="1151"/>
      <c r="I14" s="1152"/>
    </row>
    <row r="15" spans="3:13" x14ac:dyDescent="0.25">
      <c r="C15"/>
      <c r="D15" s="1150"/>
      <c r="E15" s="1151"/>
      <c r="F15" s="1151"/>
      <c r="G15" s="1151"/>
      <c r="H15" s="1151"/>
      <c r="I15" s="1152"/>
    </row>
    <row r="16" spans="3:13" x14ac:dyDescent="0.25">
      <c r="C16"/>
      <c r="D16" s="1150"/>
      <c r="E16" s="1151"/>
      <c r="F16" s="1151"/>
      <c r="G16" s="1151"/>
      <c r="H16" s="1151"/>
      <c r="I16" s="1152"/>
    </row>
    <row r="17" spans="2:11" x14ac:dyDescent="0.25">
      <c r="C17"/>
      <c r="D17" s="1150"/>
      <c r="E17" s="1151"/>
      <c r="F17" s="1151"/>
      <c r="G17" s="1151"/>
      <c r="H17" s="1151"/>
      <c r="I17" s="1152"/>
    </row>
    <row r="18" spans="2:11" x14ac:dyDescent="0.25">
      <c r="C18"/>
      <c r="D18" s="1150"/>
      <c r="E18" s="1151"/>
      <c r="F18" s="1151"/>
      <c r="G18" s="1151"/>
      <c r="H18" s="1151"/>
      <c r="I18" s="1152"/>
    </row>
    <row r="19" spans="2:11" x14ac:dyDescent="0.25">
      <c r="C19"/>
      <c r="D19" s="1150"/>
      <c r="E19" s="1151"/>
      <c r="F19" s="1151"/>
      <c r="G19" s="1151"/>
      <c r="H19" s="1151"/>
      <c r="I19" s="1152"/>
    </row>
    <row r="20" spans="2:11" x14ac:dyDescent="0.25">
      <c r="C20"/>
      <c r="D20" s="1150"/>
      <c r="E20" s="1151"/>
      <c r="F20" s="1151"/>
      <c r="G20" s="1151"/>
      <c r="H20" s="1151"/>
      <c r="I20" s="1152"/>
    </row>
    <row r="21" spans="2:11" x14ac:dyDescent="0.25">
      <c r="C21"/>
      <c r="D21" s="1150"/>
      <c r="E21" s="1151"/>
      <c r="F21" s="1151"/>
      <c r="G21" s="1151"/>
      <c r="H21" s="1151"/>
      <c r="I21" s="1152"/>
    </row>
    <row r="22" spans="2:11" ht="15.75" thickBot="1" x14ac:dyDescent="0.3">
      <c r="C22"/>
      <c r="D22" s="1153"/>
      <c r="E22" s="1154"/>
      <c r="F22" s="1154"/>
      <c r="G22" s="1154"/>
      <c r="H22" s="1154"/>
      <c r="I22" s="1155"/>
    </row>
    <row r="23" spans="2:11" ht="15.75" thickBot="1" x14ac:dyDescent="0.3"/>
    <row r="24" spans="2:11" ht="15.75" thickBot="1" x14ac:dyDescent="0.3">
      <c r="C24"/>
      <c r="D24" s="577" t="s">
        <v>939</v>
      </c>
      <c r="E24" s="613">
        <f>E83</f>
        <v>472</v>
      </c>
      <c r="F24" s="614">
        <f>F83</f>
        <v>27300</v>
      </c>
      <c r="G24" s="613">
        <f>G83</f>
        <v>200</v>
      </c>
      <c r="H24" s="613">
        <f>H83</f>
        <v>7.3260073260073257</v>
      </c>
      <c r="I24" s="615">
        <f>I83</f>
        <v>136.5</v>
      </c>
    </row>
    <row r="25" spans="2:11" ht="15.75" thickBot="1" x14ac:dyDescent="0.3">
      <c r="C25"/>
    </row>
    <row r="26" spans="2:11" ht="15.75" thickBot="1" x14ac:dyDescent="0.3">
      <c r="C26"/>
      <c r="D26" s="573" t="s">
        <v>1161</v>
      </c>
      <c r="E26" s="574">
        <f>MEDIAN(E30:E132)</f>
        <v>2153</v>
      </c>
      <c r="F26" s="574">
        <f>MEDIAN(F30:F132)</f>
        <v>357052</v>
      </c>
      <c r="G26" s="574">
        <f>MEDIAN(G30:G132)</f>
        <v>3061</v>
      </c>
      <c r="H26" s="574">
        <f>MEDIAN(H30:H132)</f>
        <v>7.2871754387486876</v>
      </c>
      <c r="I26" s="575">
        <f>MEDIAN(I30:I132)</f>
        <v>137.22738095238094</v>
      </c>
    </row>
    <row r="27" spans="2:11" ht="15.75" thickBot="1" x14ac:dyDescent="0.3">
      <c r="C27"/>
      <c r="D27" s="570" t="s">
        <v>522</v>
      </c>
      <c r="E27" s="571">
        <f>AVERAGE(E30:E132)</f>
        <v>2399.6116504854367</v>
      </c>
      <c r="F27" s="571">
        <f>AVERAGE(F30:F132)</f>
        <v>701859.91262135922</v>
      </c>
      <c r="G27" s="571">
        <f>AVERAGE(G30:G132)</f>
        <v>7889.3980582524273</v>
      </c>
      <c r="H27" s="571">
        <f>AVERAGE(H30:H132)</f>
        <v>13.026398302683402</v>
      </c>
      <c r="I27" s="572">
        <f>AVERAGE(I30:I132)</f>
        <v>311.12615535886778</v>
      </c>
    </row>
    <row r="28" spans="2:11" ht="15.75" thickBot="1" x14ac:dyDescent="0.3">
      <c r="D28" s="537"/>
      <c r="E28" s="537"/>
      <c r="F28" s="537"/>
      <c r="G28" s="537"/>
      <c r="H28" s="537"/>
      <c r="I28" s="537"/>
      <c r="J28" s="537"/>
      <c r="K28" s="537"/>
    </row>
    <row r="29" spans="2:11" ht="18" thickBot="1" x14ac:dyDescent="0.3">
      <c r="B29" s="553" t="s">
        <v>58</v>
      </c>
      <c r="C29" s="554" t="s">
        <v>942</v>
      </c>
      <c r="D29" s="555" t="s">
        <v>941</v>
      </c>
      <c r="E29" s="555" t="s">
        <v>1155</v>
      </c>
      <c r="F29" s="556" t="s">
        <v>940</v>
      </c>
      <c r="G29" s="555" t="s">
        <v>1153</v>
      </c>
      <c r="H29" s="563" t="s">
        <v>1160</v>
      </c>
      <c r="I29" s="564" t="s">
        <v>1159</v>
      </c>
      <c r="J29" s="557" t="s">
        <v>943</v>
      </c>
      <c r="K29" s="557" t="s">
        <v>1134</v>
      </c>
    </row>
    <row r="30" spans="2:11" x14ac:dyDescent="0.25">
      <c r="B30" s="566">
        <v>35</v>
      </c>
      <c r="C30" s="547">
        <v>103</v>
      </c>
      <c r="D30" s="547" t="s">
        <v>1000</v>
      </c>
      <c r="E30" s="545">
        <v>3057</v>
      </c>
      <c r="F30" s="545">
        <v>570000</v>
      </c>
      <c r="G30" s="547">
        <v>82</v>
      </c>
      <c r="H30" s="546">
        <f t="shared" ref="H30:H61" si="0">(G30*10^3)/F30</f>
        <v>0.14385964912280702</v>
      </c>
      <c r="I30" s="546">
        <f t="shared" ref="I30:I61" si="1">F30/G30</f>
        <v>6951.2195121951218</v>
      </c>
      <c r="J30" s="547" t="s">
        <v>949</v>
      </c>
      <c r="K30" s="568" t="s">
        <v>1001</v>
      </c>
    </row>
    <row r="31" spans="2:11" x14ac:dyDescent="0.25">
      <c r="B31" s="558">
        <v>50</v>
      </c>
      <c r="C31" s="538">
        <v>102</v>
      </c>
      <c r="D31" s="538" t="s">
        <v>1026</v>
      </c>
      <c r="E31" s="539">
        <v>2450</v>
      </c>
      <c r="F31" s="539">
        <v>177000</v>
      </c>
      <c r="G31" s="538">
        <v>56</v>
      </c>
      <c r="H31" s="552">
        <f t="shared" si="0"/>
        <v>0.31638418079096048</v>
      </c>
      <c r="I31" s="540">
        <f t="shared" si="1"/>
        <v>3160.7142857142858</v>
      </c>
      <c r="J31" s="538" t="s">
        <v>1027</v>
      </c>
      <c r="K31" s="548" t="s">
        <v>1028</v>
      </c>
    </row>
    <row r="32" spans="2:11" x14ac:dyDescent="0.25">
      <c r="B32" s="558">
        <v>124</v>
      </c>
      <c r="C32" s="538">
        <v>101</v>
      </c>
      <c r="D32" s="538" t="s">
        <v>1082</v>
      </c>
      <c r="E32" s="539">
        <v>1339</v>
      </c>
      <c r="F32" s="539">
        <v>84700</v>
      </c>
      <c r="G32" s="538">
        <v>49</v>
      </c>
      <c r="H32" s="552">
        <f t="shared" si="0"/>
        <v>0.57851239669421484</v>
      </c>
      <c r="I32" s="540">
        <f t="shared" si="1"/>
        <v>1728.5714285714287</v>
      </c>
      <c r="J32" s="538" t="s">
        <v>1072</v>
      </c>
      <c r="K32" s="548" t="s">
        <v>306</v>
      </c>
    </row>
    <row r="33" spans="2:11" ht="30" x14ac:dyDescent="0.25">
      <c r="B33" s="558">
        <v>21</v>
      </c>
      <c r="C33" s="538">
        <v>100</v>
      </c>
      <c r="D33" s="538" t="s">
        <v>973</v>
      </c>
      <c r="E33" s="539">
        <v>3672</v>
      </c>
      <c r="F33" s="539">
        <v>1061000</v>
      </c>
      <c r="G33" s="538">
        <v>767</v>
      </c>
      <c r="H33" s="552">
        <f t="shared" si="0"/>
        <v>0.72290292177191329</v>
      </c>
      <c r="I33" s="540">
        <f t="shared" si="1"/>
        <v>1383.3116036505867</v>
      </c>
      <c r="J33" s="538" t="s">
        <v>974</v>
      </c>
      <c r="K33" s="548" t="s">
        <v>306</v>
      </c>
    </row>
    <row r="34" spans="2:11" ht="45" x14ac:dyDescent="0.25">
      <c r="B34" s="558">
        <v>1</v>
      </c>
      <c r="C34" s="538">
        <v>99</v>
      </c>
      <c r="D34" s="538" t="s">
        <v>1143</v>
      </c>
      <c r="E34" s="539">
        <v>6650</v>
      </c>
      <c r="F34" s="539">
        <v>3254555</v>
      </c>
      <c r="G34" s="539">
        <v>2800</v>
      </c>
      <c r="H34" s="552">
        <f t="shared" si="0"/>
        <v>0.86033267220864296</v>
      </c>
      <c r="I34" s="540">
        <f t="shared" si="1"/>
        <v>1162.3410714285715</v>
      </c>
      <c r="J34" s="538" t="s">
        <v>944</v>
      </c>
      <c r="K34" s="548" t="s">
        <v>945</v>
      </c>
    </row>
    <row r="35" spans="2:11" ht="30" x14ac:dyDescent="0.25">
      <c r="B35" s="558">
        <v>25</v>
      </c>
      <c r="C35" s="538">
        <v>98</v>
      </c>
      <c r="D35" s="538" t="s">
        <v>982</v>
      </c>
      <c r="E35" s="539">
        <v>3596</v>
      </c>
      <c r="F35" s="539">
        <v>884000</v>
      </c>
      <c r="G35" s="538">
        <v>856</v>
      </c>
      <c r="H35" s="552">
        <f t="shared" si="0"/>
        <v>0.96832579185520362</v>
      </c>
      <c r="I35" s="540">
        <f t="shared" si="1"/>
        <v>1032.7102803738317</v>
      </c>
      <c r="J35" s="538" t="s">
        <v>983</v>
      </c>
      <c r="K35" s="548" t="s">
        <v>984</v>
      </c>
    </row>
    <row r="36" spans="2:11" x14ac:dyDescent="0.25">
      <c r="B36" s="558">
        <v>201</v>
      </c>
      <c r="C36" s="538">
        <v>97</v>
      </c>
      <c r="D36" s="538" t="s">
        <v>1132</v>
      </c>
      <c r="E36" s="539">
        <v>1004</v>
      </c>
      <c r="F36" s="539">
        <v>109000</v>
      </c>
      <c r="G36" s="538">
        <v>122</v>
      </c>
      <c r="H36" s="552">
        <f t="shared" si="0"/>
        <v>1.1192660550458715</v>
      </c>
      <c r="I36" s="540">
        <f t="shared" si="1"/>
        <v>893.44262295081967</v>
      </c>
      <c r="J36" s="538" t="s">
        <v>1133</v>
      </c>
      <c r="K36" s="548" t="s">
        <v>306</v>
      </c>
    </row>
    <row r="37" spans="2:11" x14ac:dyDescent="0.25">
      <c r="B37" s="558">
        <v>105</v>
      </c>
      <c r="C37" s="538">
        <v>96</v>
      </c>
      <c r="D37" s="538" t="s">
        <v>1072</v>
      </c>
      <c r="E37" s="539">
        <v>1485</v>
      </c>
      <c r="F37" s="539">
        <v>84917</v>
      </c>
      <c r="G37" s="538">
        <v>120</v>
      </c>
      <c r="H37" s="552">
        <f t="shared" si="0"/>
        <v>1.4131446000211971</v>
      </c>
      <c r="I37" s="540">
        <f t="shared" si="1"/>
        <v>707.64166666666665</v>
      </c>
      <c r="J37" s="538" t="s">
        <v>1073</v>
      </c>
      <c r="K37" s="548" t="s">
        <v>306</v>
      </c>
    </row>
    <row r="38" spans="2:11" x14ac:dyDescent="0.25">
      <c r="B38" s="558">
        <v>186</v>
      </c>
      <c r="C38" s="538">
        <v>95</v>
      </c>
      <c r="D38" s="538" t="s">
        <v>1123</v>
      </c>
      <c r="E38" s="539">
        <v>1053</v>
      </c>
      <c r="F38" s="539">
        <v>98900</v>
      </c>
      <c r="G38" s="538">
        <v>159</v>
      </c>
      <c r="H38" s="552">
        <f t="shared" si="0"/>
        <v>1.6076845298281093</v>
      </c>
      <c r="I38" s="540">
        <f t="shared" si="1"/>
        <v>622.01257861635224</v>
      </c>
      <c r="J38" s="538" t="s">
        <v>1055</v>
      </c>
      <c r="K38" s="548" t="s">
        <v>1057</v>
      </c>
    </row>
    <row r="39" spans="2:11" x14ac:dyDescent="0.25">
      <c r="B39" s="558">
        <v>51</v>
      </c>
      <c r="C39" s="538">
        <v>94</v>
      </c>
      <c r="D39" s="538" t="s">
        <v>1029</v>
      </c>
      <c r="E39" s="539">
        <v>2428</v>
      </c>
      <c r="F39" s="539">
        <v>237000</v>
      </c>
      <c r="G39" s="538">
        <v>475</v>
      </c>
      <c r="H39" s="552">
        <f t="shared" si="0"/>
        <v>2.0042194092827006</v>
      </c>
      <c r="I39" s="540">
        <f t="shared" si="1"/>
        <v>498.94736842105266</v>
      </c>
      <c r="J39" s="538" t="s">
        <v>978</v>
      </c>
      <c r="K39" s="548" t="s">
        <v>1030</v>
      </c>
    </row>
    <row r="40" spans="2:11" x14ac:dyDescent="0.25">
      <c r="B40" s="558">
        <v>76</v>
      </c>
      <c r="C40" s="538">
        <v>93</v>
      </c>
      <c r="D40" s="538" t="s">
        <v>1055</v>
      </c>
      <c r="E40" s="539">
        <v>1870</v>
      </c>
      <c r="F40" s="539">
        <v>425600</v>
      </c>
      <c r="G40" s="538">
        <v>935</v>
      </c>
      <c r="H40" s="552">
        <f t="shared" si="0"/>
        <v>2.1968984962406015</v>
      </c>
      <c r="I40" s="540">
        <f t="shared" si="1"/>
        <v>455.18716577540107</v>
      </c>
      <c r="J40" s="538" t="s">
        <v>1056</v>
      </c>
      <c r="K40" s="548" t="s">
        <v>1057</v>
      </c>
    </row>
    <row r="41" spans="2:11" x14ac:dyDescent="0.25">
      <c r="B41" s="558">
        <v>45</v>
      </c>
      <c r="C41" s="538">
        <v>92</v>
      </c>
      <c r="D41" s="538" t="s">
        <v>1018</v>
      </c>
      <c r="E41" s="539">
        <v>2570</v>
      </c>
      <c r="F41" s="539">
        <v>1093000</v>
      </c>
      <c r="G41" s="539">
        <v>2575</v>
      </c>
      <c r="H41" s="552">
        <f t="shared" si="0"/>
        <v>2.3559011893870081</v>
      </c>
      <c r="I41" s="540">
        <f t="shared" si="1"/>
        <v>424.46601941747571</v>
      </c>
      <c r="J41" s="538" t="s">
        <v>1019</v>
      </c>
      <c r="K41" s="548" t="s">
        <v>1020</v>
      </c>
    </row>
    <row r="42" spans="2:11" x14ac:dyDescent="0.25">
      <c r="B42" s="558">
        <v>53</v>
      </c>
      <c r="C42" s="538">
        <v>91</v>
      </c>
      <c r="D42" s="538" t="s">
        <v>1033</v>
      </c>
      <c r="E42" s="539">
        <v>2348</v>
      </c>
      <c r="F42" s="539">
        <v>435122</v>
      </c>
      <c r="G42" s="539">
        <v>1066</v>
      </c>
      <c r="H42" s="552">
        <f t="shared" si="0"/>
        <v>2.4498876177256035</v>
      </c>
      <c r="I42" s="540">
        <f t="shared" si="1"/>
        <v>408.18198874296434</v>
      </c>
      <c r="J42" s="538" t="s">
        <v>1034</v>
      </c>
      <c r="K42" s="548" t="s">
        <v>156</v>
      </c>
    </row>
    <row r="43" spans="2:11" x14ac:dyDescent="0.25">
      <c r="B43" s="558">
        <v>198</v>
      </c>
      <c r="C43" s="538">
        <v>90</v>
      </c>
      <c r="D43" s="538" t="s">
        <v>1130</v>
      </c>
      <c r="E43" s="539">
        <v>1010</v>
      </c>
      <c r="F43" s="539">
        <v>61100</v>
      </c>
      <c r="G43" s="538">
        <v>150</v>
      </c>
      <c r="H43" s="552">
        <f t="shared" si="0"/>
        <v>2.4549918166939442</v>
      </c>
      <c r="I43" s="540">
        <f t="shared" si="1"/>
        <v>407.33333333333331</v>
      </c>
      <c r="J43" s="538" t="s">
        <v>1055</v>
      </c>
      <c r="K43" s="548" t="s">
        <v>233</v>
      </c>
    </row>
    <row r="44" spans="2:11" x14ac:dyDescent="0.25">
      <c r="B44" s="558">
        <v>43</v>
      </c>
      <c r="C44" s="538">
        <v>89</v>
      </c>
      <c r="D44" s="538" t="s">
        <v>1014</v>
      </c>
      <c r="E44" s="539">
        <v>2620</v>
      </c>
      <c r="F44" s="539">
        <v>534739</v>
      </c>
      <c r="G44" s="539">
        <v>1400</v>
      </c>
      <c r="H44" s="552">
        <f t="shared" si="0"/>
        <v>2.6180996710544768</v>
      </c>
      <c r="I44" s="540">
        <f t="shared" si="1"/>
        <v>381.95642857142855</v>
      </c>
      <c r="J44" s="538" t="s">
        <v>994</v>
      </c>
      <c r="K44" s="548" t="s">
        <v>1015</v>
      </c>
    </row>
    <row r="45" spans="2:11" ht="30" x14ac:dyDescent="0.25">
      <c r="B45" s="558">
        <v>19</v>
      </c>
      <c r="C45" s="538">
        <v>88</v>
      </c>
      <c r="D45" s="538" t="s">
        <v>288</v>
      </c>
      <c r="E45" s="539">
        <v>4200</v>
      </c>
      <c r="F45" s="539">
        <v>2090000</v>
      </c>
      <c r="G45" s="539">
        <v>5589</v>
      </c>
      <c r="H45" s="552">
        <f t="shared" si="0"/>
        <v>2.6741626794258373</v>
      </c>
      <c r="I45" s="540">
        <f t="shared" si="1"/>
        <v>373.94882805510827</v>
      </c>
      <c r="J45" s="538" t="s">
        <v>968</v>
      </c>
      <c r="K45" s="548" t="s">
        <v>969</v>
      </c>
    </row>
    <row r="46" spans="2:11" x14ac:dyDescent="0.25">
      <c r="B46" s="558">
        <v>184</v>
      </c>
      <c r="C46" s="538">
        <v>87</v>
      </c>
      <c r="D46" s="538" t="s">
        <v>1120</v>
      </c>
      <c r="E46" s="539">
        <v>1072</v>
      </c>
      <c r="F46" s="539">
        <v>102000</v>
      </c>
      <c r="G46" s="538">
        <v>285</v>
      </c>
      <c r="H46" s="552">
        <f t="shared" si="0"/>
        <v>2.7941176470588234</v>
      </c>
      <c r="I46" s="540">
        <f t="shared" si="1"/>
        <v>357.89473684210526</v>
      </c>
      <c r="J46" s="538" t="s">
        <v>1121</v>
      </c>
      <c r="K46" s="548" t="s">
        <v>1122</v>
      </c>
    </row>
    <row r="47" spans="2:11" x14ac:dyDescent="0.25">
      <c r="B47" s="558">
        <v>100</v>
      </c>
      <c r="C47" s="538">
        <v>86</v>
      </c>
      <c r="D47" s="538" t="s">
        <v>1069</v>
      </c>
      <c r="E47" s="539">
        <v>1515</v>
      </c>
      <c r="F47" s="539">
        <v>188400</v>
      </c>
      <c r="G47" s="538">
        <v>575</v>
      </c>
      <c r="H47" s="552">
        <f t="shared" si="0"/>
        <v>3.0520169851380041</v>
      </c>
      <c r="I47" s="540">
        <f t="shared" si="1"/>
        <v>327.6521739130435</v>
      </c>
      <c r="J47" s="538" t="s">
        <v>978</v>
      </c>
      <c r="K47" s="548" t="s">
        <v>1070</v>
      </c>
    </row>
    <row r="48" spans="2:11" x14ac:dyDescent="0.25">
      <c r="B48" s="558">
        <v>55</v>
      </c>
      <c r="C48" s="538">
        <v>85</v>
      </c>
      <c r="D48" s="538" t="s">
        <v>1035</v>
      </c>
      <c r="E48" s="539">
        <v>2333</v>
      </c>
      <c r="F48" s="539">
        <v>390000</v>
      </c>
      <c r="G48" s="539">
        <v>1200</v>
      </c>
      <c r="H48" s="552">
        <f t="shared" si="0"/>
        <v>3.0769230769230771</v>
      </c>
      <c r="I48" s="540">
        <f t="shared" si="1"/>
        <v>325</v>
      </c>
      <c r="J48" s="538" t="s">
        <v>1036</v>
      </c>
      <c r="K48" s="548" t="s">
        <v>1037</v>
      </c>
    </row>
    <row r="49" spans="2:11" x14ac:dyDescent="0.25">
      <c r="B49" s="558">
        <v>31</v>
      </c>
      <c r="C49" s="538">
        <v>84</v>
      </c>
      <c r="D49" s="538" t="s">
        <v>993</v>
      </c>
      <c r="E49" s="539">
        <v>3078</v>
      </c>
      <c r="F49" s="539">
        <v>219000</v>
      </c>
      <c r="G49" s="538">
        <v>703</v>
      </c>
      <c r="H49" s="552">
        <f t="shared" si="0"/>
        <v>3.2100456621004567</v>
      </c>
      <c r="I49" s="540">
        <f t="shared" si="1"/>
        <v>311.52204836415365</v>
      </c>
      <c r="J49" s="538" t="s">
        <v>994</v>
      </c>
      <c r="K49" s="548" t="s">
        <v>995</v>
      </c>
    </row>
    <row r="50" spans="2:11" x14ac:dyDescent="0.25">
      <c r="B50" s="558">
        <v>57</v>
      </c>
      <c r="C50" s="538">
        <v>83</v>
      </c>
      <c r="D50" s="538" t="s">
        <v>1039</v>
      </c>
      <c r="E50" s="539">
        <v>2287</v>
      </c>
      <c r="F50" s="539">
        <v>516300</v>
      </c>
      <c r="G50" s="539">
        <v>1670</v>
      </c>
      <c r="H50" s="552">
        <f t="shared" si="0"/>
        <v>3.2345535541351929</v>
      </c>
      <c r="I50" s="540">
        <f t="shared" si="1"/>
        <v>309.16167664670661</v>
      </c>
      <c r="J50" s="538" t="s">
        <v>1005</v>
      </c>
      <c r="K50" s="548" t="s">
        <v>1040</v>
      </c>
    </row>
    <row r="51" spans="2:11" x14ac:dyDescent="0.25">
      <c r="B51" s="558">
        <v>41</v>
      </c>
      <c r="C51" s="538">
        <v>82</v>
      </c>
      <c r="D51" s="538" t="s">
        <v>1010</v>
      </c>
      <c r="E51" s="539">
        <v>2720</v>
      </c>
      <c r="F51" s="539">
        <v>454000</v>
      </c>
      <c r="G51" s="539">
        <v>1480</v>
      </c>
      <c r="H51" s="552">
        <f t="shared" si="0"/>
        <v>3.2599118942731278</v>
      </c>
      <c r="I51" s="540">
        <f t="shared" si="1"/>
        <v>306.75675675675677</v>
      </c>
      <c r="J51" s="538" t="s">
        <v>962</v>
      </c>
      <c r="K51" s="548" t="s">
        <v>233</v>
      </c>
    </row>
    <row r="52" spans="2:11" x14ac:dyDescent="0.25">
      <c r="B52" s="558">
        <v>7</v>
      </c>
      <c r="C52" s="538">
        <v>81</v>
      </c>
      <c r="D52" s="538" t="s">
        <v>1137</v>
      </c>
      <c r="E52" s="539">
        <v>5464</v>
      </c>
      <c r="F52" s="539">
        <v>745000</v>
      </c>
      <c r="G52" s="539">
        <v>2571</v>
      </c>
      <c r="H52" s="552">
        <f t="shared" si="0"/>
        <v>3.4510067114093959</v>
      </c>
      <c r="I52" s="540">
        <f t="shared" si="1"/>
        <v>289.77051730844028</v>
      </c>
      <c r="J52" s="538" t="s">
        <v>953</v>
      </c>
      <c r="K52" s="548" t="s">
        <v>312</v>
      </c>
    </row>
    <row r="53" spans="2:11" x14ac:dyDescent="0.25">
      <c r="B53" s="558">
        <v>149</v>
      </c>
      <c r="C53" s="538">
        <v>80</v>
      </c>
      <c r="D53" s="538" t="s">
        <v>1098</v>
      </c>
      <c r="E53" s="539">
        <v>1182</v>
      </c>
      <c r="F53" s="539">
        <v>115000</v>
      </c>
      <c r="G53" s="538">
        <v>400</v>
      </c>
      <c r="H53" s="552">
        <f t="shared" si="0"/>
        <v>3.4782608695652173</v>
      </c>
      <c r="I53" s="540">
        <f t="shared" si="1"/>
        <v>287.5</v>
      </c>
      <c r="J53" s="538" t="s">
        <v>1005</v>
      </c>
      <c r="K53" s="548" t="s">
        <v>221</v>
      </c>
    </row>
    <row r="54" spans="2:11" x14ac:dyDescent="0.25">
      <c r="B54" s="558">
        <v>39</v>
      </c>
      <c r="C54" s="538">
        <v>79</v>
      </c>
      <c r="D54" s="538" t="s">
        <v>1150</v>
      </c>
      <c r="E54" s="539">
        <v>2740</v>
      </c>
      <c r="F54" s="539">
        <v>1330000</v>
      </c>
      <c r="G54" s="539">
        <v>4880</v>
      </c>
      <c r="H54" s="552">
        <f t="shared" si="0"/>
        <v>3.6691729323308269</v>
      </c>
      <c r="I54" s="540">
        <f t="shared" si="1"/>
        <v>272.5409836065574</v>
      </c>
      <c r="J54" s="538" t="s">
        <v>1008</v>
      </c>
      <c r="K54" s="548" t="s">
        <v>1009</v>
      </c>
    </row>
    <row r="55" spans="2:11" x14ac:dyDescent="0.25">
      <c r="B55" s="558">
        <v>161</v>
      </c>
      <c r="C55" s="538">
        <v>78</v>
      </c>
      <c r="D55" s="538" t="s">
        <v>1106</v>
      </c>
      <c r="E55" s="539">
        <v>1130</v>
      </c>
      <c r="F55" s="539">
        <v>88900</v>
      </c>
      <c r="G55" s="538">
        <v>360</v>
      </c>
      <c r="H55" s="552">
        <f t="shared" si="0"/>
        <v>4.0494938132733411</v>
      </c>
      <c r="I55" s="540">
        <f t="shared" si="1"/>
        <v>246.94444444444446</v>
      </c>
      <c r="J55" s="538" t="s">
        <v>1039</v>
      </c>
      <c r="K55" s="548" t="s">
        <v>1107</v>
      </c>
    </row>
    <row r="56" spans="2:11" x14ac:dyDescent="0.25">
      <c r="B56" s="558">
        <v>150</v>
      </c>
      <c r="C56" s="538">
        <v>77</v>
      </c>
      <c r="D56" s="538" t="s">
        <v>1099</v>
      </c>
      <c r="E56" s="539">
        <v>1181</v>
      </c>
      <c r="F56" s="539">
        <v>99000</v>
      </c>
      <c r="G56" s="538">
        <v>405</v>
      </c>
      <c r="H56" s="552">
        <f t="shared" si="0"/>
        <v>4.0909090909090908</v>
      </c>
      <c r="I56" s="540">
        <f t="shared" si="1"/>
        <v>244.44444444444446</v>
      </c>
      <c r="J56" s="538" t="s">
        <v>1010</v>
      </c>
      <c r="K56" s="548" t="s">
        <v>233</v>
      </c>
    </row>
    <row r="57" spans="2:11" x14ac:dyDescent="0.25">
      <c r="B57" s="558">
        <v>183</v>
      </c>
      <c r="C57" s="538">
        <v>76</v>
      </c>
      <c r="D57" s="538" t="s">
        <v>1119</v>
      </c>
      <c r="E57" s="539">
        <v>1078</v>
      </c>
      <c r="F57" s="539">
        <v>270000</v>
      </c>
      <c r="G57" s="539">
        <v>1110</v>
      </c>
      <c r="H57" s="552">
        <f t="shared" si="0"/>
        <v>4.1111111111111107</v>
      </c>
      <c r="I57" s="540">
        <f t="shared" si="1"/>
        <v>243.24324324324326</v>
      </c>
      <c r="J57" s="538" t="s">
        <v>1068</v>
      </c>
      <c r="K57" s="548" t="s">
        <v>312</v>
      </c>
    </row>
    <row r="58" spans="2:11" x14ac:dyDescent="0.25">
      <c r="B58" s="558">
        <v>9</v>
      </c>
      <c r="C58" s="538">
        <v>75</v>
      </c>
      <c r="D58" s="538" t="s">
        <v>954</v>
      </c>
      <c r="E58" s="539">
        <v>5410</v>
      </c>
      <c r="F58" s="539">
        <v>2990000</v>
      </c>
      <c r="G58" s="539">
        <v>12475</v>
      </c>
      <c r="H58" s="552">
        <f t="shared" si="0"/>
        <v>4.1722408026755851</v>
      </c>
      <c r="I58" s="540">
        <f t="shared" si="1"/>
        <v>239.67935871743487</v>
      </c>
      <c r="J58" s="538" t="s">
        <v>955</v>
      </c>
      <c r="K58" s="548" t="s">
        <v>956</v>
      </c>
    </row>
    <row r="59" spans="2:11" x14ac:dyDescent="0.25">
      <c r="B59" s="558">
        <v>113</v>
      </c>
      <c r="C59" s="538">
        <v>74</v>
      </c>
      <c r="D59" s="538" t="s">
        <v>1076</v>
      </c>
      <c r="E59" s="539">
        <v>1352</v>
      </c>
      <c r="F59" s="539">
        <v>72100</v>
      </c>
      <c r="G59" s="538">
        <v>310</v>
      </c>
      <c r="H59" s="552">
        <f t="shared" si="0"/>
        <v>4.2995839112343965</v>
      </c>
      <c r="I59" s="540">
        <f t="shared" si="1"/>
        <v>232.58064516129033</v>
      </c>
      <c r="J59" s="538" t="s">
        <v>1005</v>
      </c>
      <c r="K59" s="548" t="s">
        <v>1077</v>
      </c>
    </row>
    <row r="60" spans="2:11" x14ac:dyDescent="0.25">
      <c r="B60" s="558">
        <v>191</v>
      </c>
      <c r="C60" s="538">
        <v>73</v>
      </c>
      <c r="D60" s="538" t="s">
        <v>1124</v>
      </c>
      <c r="E60" s="539">
        <v>1045</v>
      </c>
      <c r="F60" s="539">
        <v>118861</v>
      </c>
      <c r="G60" s="538">
        <v>550</v>
      </c>
      <c r="H60" s="552">
        <f t="shared" si="0"/>
        <v>4.6272536828732722</v>
      </c>
      <c r="I60" s="540">
        <f t="shared" si="1"/>
        <v>216.1109090909091</v>
      </c>
      <c r="J60" s="538" t="s">
        <v>1094</v>
      </c>
      <c r="K60" s="548" t="s">
        <v>1125</v>
      </c>
    </row>
    <row r="61" spans="2:11" x14ac:dyDescent="0.25">
      <c r="B61" s="558">
        <v>46</v>
      </c>
      <c r="C61" s="538">
        <v>72</v>
      </c>
      <c r="D61" s="538" t="s">
        <v>1021</v>
      </c>
      <c r="E61" s="539">
        <v>2549</v>
      </c>
      <c r="F61" s="539">
        <v>900000</v>
      </c>
      <c r="G61" s="539">
        <v>4300</v>
      </c>
      <c r="H61" s="552">
        <f t="shared" si="0"/>
        <v>4.7777777777777777</v>
      </c>
      <c r="I61" s="540">
        <f t="shared" si="1"/>
        <v>209.30232558139534</v>
      </c>
      <c r="J61" s="538" t="s">
        <v>1022</v>
      </c>
      <c r="K61" s="548" t="s">
        <v>1023</v>
      </c>
    </row>
    <row r="62" spans="2:11" x14ac:dyDescent="0.25">
      <c r="B62" s="558">
        <v>135</v>
      </c>
      <c r="C62" s="538">
        <v>71</v>
      </c>
      <c r="D62" s="538" t="s">
        <v>1088</v>
      </c>
      <c r="E62" s="539">
        <v>1252</v>
      </c>
      <c r="F62" s="539">
        <v>148268</v>
      </c>
      <c r="G62" s="538">
        <v>711</v>
      </c>
      <c r="H62" s="552">
        <f t="shared" ref="H62:H93" si="2">(G62*10^3)/F62</f>
        <v>4.7953705452289102</v>
      </c>
      <c r="I62" s="540">
        <f t="shared" ref="I62:I93" si="3">F62/G62</f>
        <v>208.53445850914204</v>
      </c>
      <c r="J62" s="538" t="s">
        <v>1089</v>
      </c>
      <c r="K62" s="548" t="s">
        <v>1090</v>
      </c>
    </row>
    <row r="63" spans="2:11" x14ac:dyDescent="0.25">
      <c r="B63" s="558">
        <v>83</v>
      </c>
      <c r="C63" s="538">
        <v>70</v>
      </c>
      <c r="D63" s="538" t="s">
        <v>1061</v>
      </c>
      <c r="E63" s="539">
        <v>1726</v>
      </c>
      <c r="F63" s="539">
        <v>360400</v>
      </c>
      <c r="G63" s="539">
        <v>1810</v>
      </c>
      <c r="H63" s="552">
        <f t="shared" si="2"/>
        <v>5.0221975582685907</v>
      </c>
      <c r="I63" s="540">
        <f t="shared" si="3"/>
        <v>199.11602209944752</v>
      </c>
      <c r="J63" s="538" t="s">
        <v>1025</v>
      </c>
      <c r="K63" s="548" t="s">
        <v>233</v>
      </c>
    </row>
    <row r="64" spans="2:11" x14ac:dyDescent="0.25">
      <c r="B64" s="558">
        <v>101</v>
      </c>
      <c r="C64" s="538">
        <v>69</v>
      </c>
      <c r="D64" s="538" t="s">
        <v>1071</v>
      </c>
      <c r="E64" s="539">
        <v>1500</v>
      </c>
      <c r="F64" s="539">
        <v>245000</v>
      </c>
      <c r="G64" s="539">
        <v>1258</v>
      </c>
      <c r="H64" s="552">
        <f t="shared" si="2"/>
        <v>5.1346938775510207</v>
      </c>
      <c r="I64" s="540">
        <f t="shared" si="3"/>
        <v>194.75357710651829</v>
      </c>
      <c r="J64" s="538" t="s">
        <v>977</v>
      </c>
      <c r="K64" s="548" t="s">
        <v>233</v>
      </c>
    </row>
    <row r="65" spans="2:11" x14ac:dyDescent="0.25">
      <c r="B65" s="558">
        <v>59</v>
      </c>
      <c r="C65" s="538">
        <v>68</v>
      </c>
      <c r="D65" s="538" t="s">
        <v>1135</v>
      </c>
      <c r="E65" s="539">
        <v>2270</v>
      </c>
      <c r="F65" s="539">
        <v>772800</v>
      </c>
      <c r="G65" s="539">
        <v>4000</v>
      </c>
      <c r="H65" s="552">
        <f t="shared" si="2"/>
        <v>5.1759834368530022</v>
      </c>
      <c r="I65" s="540">
        <f t="shared" si="3"/>
        <v>193.2</v>
      </c>
      <c r="J65" s="538" t="s">
        <v>769</v>
      </c>
      <c r="K65" s="548" t="s">
        <v>1042</v>
      </c>
    </row>
    <row r="66" spans="2:11" x14ac:dyDescent="0.25">
      <c r="B66" s="558">
        <v>29</v>
      </c>
      <c r="C66" s="538">
        <v>67</v>
      </c>
      <c r="D66" s="538" t="s">
        <v>992</v>
      </c>
      <c r="E66" s="539">
        <v>2900</v>
      </c>
      <c r="F66" s="539">
        <v>610000</v>
      </c>
      <c r="G66" s="539">
        <v>3300</v>
      </c>
      <c r="H66" s="552">
        <f t="shared" si="2"/>
        <v>5.4098360655737707</v>
      </c>
      <c r="I66" s="540">
        <f t="shared" si="3"/>
        <v>184.84848484848484</v>
      </c>
      <c r="J66" s="538" t="s">
        <v>946</v>
      </c>
      <c r="K66" s="548" t="s">
        <v>163</v>
      </c>
    </row>
    <row r="67" spans="2:11" x14ac:dyDescent="0.25">
      <c r="B67" s="558">
        <v>56</v>
      </c>
      <c r="C67" s="538">
        <v>66</v>
      </c>
      <c r="D67" s="538" t="s">
        <v>1038</v>
      </c>
      <c r="E67" s="539">
        <v>2292</v>
      </c>
      <c r="F67" s="539">
        <v>219000</v>
      </c>
      <c r="G67" s="539">
        <v>1210</v>
      </c>
      <c r="H67" s="552">
        <f t="shared" si="2"/>
        <v>5.5251141552511411</v>
      </c>
      <c r="I67" s="540">
        <f t="shared" si="3"/>
        <v>180.9917355371901</v>
      </c>
      <c r="J67" s="538" t="s">
        <v>963</v>
      </c>
      <c r="K67" s="548" t="s">
        <v>233</v>
      </c>
    </row>
    <row r="68" spans="2:11" x14ac:dyDescent="0.25">
      <c r="B68" s="558">
        <v>199</v>
      </c>
      <c r="C68" s="538">
        <v>65</v>
      </c>
      <c r="D68" s="538" t="s">
        <v>1152</v>
      </c>
      <c r="E68" s="539">
        <v>1006</v>
      </c>
      <c r="F68" s="539">
        <v>80100</v>
      </c>
      <c r="G68" s="538">
        <v>444</v>
      </c>
      <c r="H68" s="552">
        <f t="shared" si="2"/>
        <v>5.5430711610486894</v>
      </c>
      <c r="I68" s="540">
        <f t="shared" si="3"/>
        <v>180.40540540540542</v>
      </c>
      <c r="J68" s="538" t="s">
        <v>946</v>
      </c>
      <c r="K68" s="548" t="s">
        <v>1131</v>
      </c>
    </row>
    <row r="69" spans="2:11" x14ac:dyDescent="0.25">
      <c r="B69" s="558">
        <v>143</v>
      </c>
      <c r="C69" s="538">
        <v>64</v>
      </c>
      <c r="D69" s="538" t="s">
        <v>1093</v>
      </c>
      <c r="E69" s="539">
        <v>1213</v>
      </c>
      <c r="F69" s="539">
        <v>194424</v>
      </c>
      <c r="G69" s="539">
        <v>1080</v>
      </c>
      <c r="H69" s="552">
        <f t="shared" si="2"/>
        <v>5.5548697691643003</v>
      </c>
      <c r="I69" s="540">
        <f t="shared" si="3"/>
        <v>180.02222222222221</v>
      </c>
      <c r="J69" s="538" t="s">
        <v>1094</v>
      </c>
      <c r="K69" s="548" t="s">
        <v>1095</v>
      </c>
    </row>
    <row r="70" spans="2:11" ht="45" x14ac:dyDescent="0.25">
      <c r="B70" s="558">
        <v>5</v>
      </c>
      <c r="C70" s="538">
        <v>63</v>
      </c>
      <c r="D70" s="538" t="s">
        <v>1146</v>
      </c>
      <c r="E70" s="539">
        <v>6275</v>
      </c>
      <c r="F70" s="539">
        <v>2980000</v>
      </c>
      <c r="G70" s="539">
        <v>16792</v>
      </c>
      <c r="H70" s="552">
        <f t="shared" si="2"/>
        <v>5.6348993288590608</v>
      </c>
      <c r="I70" s="540">
        <f t="shared" si="3"/>
        <v>177.46545974273462</v>
      </c>
      <c r="J70" s="538" t="s">
        <v>949</v>
      </c>
      <c r="K70" s="548" t="s">
        <v>950</v>
      </c>
    </row>
    <row r="71" spans="2:11" ht="30" x14ac:dyDescent="0.25">
      <c r="B71" s="558">
        <v>18</v>
      </c>
      <c r="C71" s="538">
        <v>62</v>
      </c>
      <c r="D71" s="538" t="s">
        <v>966</v>
      </c>
      <c r="E71" s="539">
        <v>4241</v>
      </c>
      <c r="F71" s="539">
        <v>1790000</v>
      </c>
      <c r="G71" s="539">
        <v>10300</v>
      </c>
      <c r="H71" s="552">
        <f t="shared" si="2"/>
        <v>5.7541899441340778</v>
      </c>
      <c r="I71" s="540">
        <f t="shared" si="3"/>
        <v>173.78640776699029</v>
      </c>
      <c r="J71" s="538" t="s">
        <v>967</v>
      </c>
      <c r="K71" s="548" t="s">
        <v>154</v>
      </c>
    </row>
    <row r="72" spans="2:11" x14ac:dyDescent="0.25">
      <c r="B72" s="558">
        <v>84</v>
      </c>
      <c r="C72" s="538">
        <v>61</v>
      </c>
      <c r="D72" s="538" t="s">
        <v>1062</v>
      </c>
      <c r="E72" s="539">
        <v>1670</v>
      </c>
      <c r="F72" s="539">
        <v>279719</v>
      </c>
      <c r="G72" s="539">
        <v>1611</v>
      </c>
      <c r="H72" s="552">
        <f t="shared" si="2"/>
        <v>5.7593513490324222</v>
      </c>
      <c r="I72" s="540">
        <f t="shared" si="3"/>
        <v>173.6306641837368</v>
      </c>
      <c r="J72" s="538" t="s">
        <v>1045</v>
      </c>
      <c r="K72" s="548" t="s">
        <v>156</v>
      </c>
    </row>
    <row r="73" spans="2:11" x14ac:dyDescent="0.25">
      <c r="B73" s="558">
        <v>23</v>
      </c>
      <c r="C73" s="538">
        <v>60</v>
      </c>
      <c r="D73" s="538" t="s">
        <v>977</v>
      </c>
      <c r="E73" s="539">
        <v>3645</v>
      </c>
      <c r="F73" s="539">
        <v>1380000</v>
      </c>
      <c r="G73" s="539">
        <v>8080</v>
      </c>
      <c r="H73" s="552">
        <f t="shared" si="2"/>
        <v>5.8550724637681162</v>
      </c>
      <c r="I73" s="540">
        <f t="shared" si="3"/>
        <v>170.79207920792078</v>
      </c>
      <c r="J73" s="538" t="s">
        <v>978</v>
      </c>
      <c r="K73" s="548" t="s">
        <v>233</v>
      </c>
    </row>
    <row r="74" spans="2:11" x14ac:dyDescent="0.25">
      <c r="B74" s="558">
        <v>47</v>
      </c>
      <c r="C74" s="538">
        <v>59</v>
      </c>
      <c r="D74" s="538" t="s">
        <v>1024</v>
      </c>
      <c r="E74" s="539">
        <v>2513</v>
      </c>
      <c r="F74" s="539">
        <v>644000</v>
      </c>
      <c r="G74" s="539">
        <v>3800</v>
      </c>
      <c r="H74" s="552">
        <f t="shared" si="2"/>
        <v>5.9006211180124222</v>
      </c>
      <c r="I74" s="540">
        <f t="shared" si="3"/>
        <v>169.47368421052633</v>
      </c>
      <c r="J74" s="538" t="s">
        <v>1025</v>
      </c>
      <c r="K74" s="548" t="s">
        <v>233</v>
      </c>
    </row>
    <row r="75" spans="2:11" x14ac:dyDescent="0.25">
      <c r="B75" s="558">
        <v>110</v>
      </c>
      <c r="C75" s="538">
        <v>58</v>
      </c>
      <c r="D75" s="538" t="s">
        <v>1075</v>
      </c>
      <c r="E75" s="539">
        <v>1420</v>
      </c>
      <c r="F75" s="539">
        <v>142000</v>
      </c>
      <c r="G75" s="538">
        <v>858</v>
      </c>
      <c r="H75" s="552">
        <f t="shared" si="2"/>
        <v>6.042253521126761</v>
      </c>
      <c r="I75" s="540">
        <f t="shared" si="3"/>
        <v>165.5011655011655</v>
      </c>
      <c r="J75" s="538" t="s">
        <v>1060</v>
      </c>
      <c r="K75" s="548" t="s">
        <v>233</v>
      </c>
    </row>
    <row r="76" spans="2:11" ht="30" x14ac:dyDescent="0.25">
      <c r="B76" s="558">
        <v>13</v>
      </c>
      <c r="C76" s="538">
        <v>57</v>
      </c>
      <c r="D76" s="538" t="s">
        <v>1139</v>
      </c>
      <c r="E76" s="539">
        <v>4444</v>
      </c>
      <c r="F76" s="539">
        <v>1855000</v>
      </c>
      <c r="G76" s="539">
        <v>11400</v>
      </c>
      <c r="H76" s="552">
        <f t="shared" si="2"/>
        <v>6.1455525606468999</v>
      </c>
      <c r="I76" s="540">
        <f t="shared" si="3"/>
        <v>162.71929824561403</v>
      </c>
      <c r="J76" s="538" t="s">
        <v>960</v>
      </c>
      <c r="K76" s="548" t="s">
        <v>961</v>
      </c>
    </row>
    <row r="77" spans="2:11" x14ac:dyDescent="0.25">
      <c r="B77" s="558">
        <v>15</v>
      </c>
      <c r="C77" s="538">
        <v>56</v>
      </c>
      <c r="D77" s="538" t="s">
        <v>962</v>
      </c>
      <c r="E77" s="539">
        <v>4400</v>
      </c>
      <c r="F77" s="539">
        <v>2490000</v>
      </c>
      <c r="G77" s="539">
        <v>15500</v>
      </c>
      <c r="H77" s="552">
        <f t="shared" si="2"/>
        <v>6.2248995983935744</v>
      </c>
      <c r="I77" s="540">
        <f t="shared" si="3"/>
        <v>160.64516129032259</v>
      </c>
      <c r="J77" s="538" t="s">
        <v>963</v>
      </c>
      <c r="K77" s="548" t="s">
        <v>233</v>
      </c>
    </row>
    <row r="78" spans="2:11" x14ac:dyDescent="0.25">
      <c r="B78" s="558">
        <v>120</v>
      </c>
      <c r="C78" s="538">
        <v>55</v>
      </c>
      <c r="D78" s="538" t="s">
        <v>1079</v>
      </c>
      <c r="E78" s="539">
        <v>1370</v>
      </c>
      <c r="F78" s="539">
        <v>129000</v>
      </c>
      <c r="G78" s="538">
        <v>890</v>
      </c>
      <c r="H78" s="552">
        <f t="shared" si="2"/>
        <v>6.8992248062015502</v>
      </c>
      <c r="I78" s="540">
        <f t="shared" si="3"/>
        <v>144.9438202247191</v>
      </c>
      <c r="J78" s="538" t="s">
        <v>1060</v>
      </c>
      <c r="K78" s="548" t="s">
        <v>233</v>
      </c>
    </row>
    <row r="79" spans="2:11" x14ac:dyDescent="0.25">
      <c r="B79" s="558">
        <v>58</v>
      </c>
      <c r="C79" s="538">
        <v>54</v>
      </c>
      <c r="D79" s="538" t="s">
        <v>1041</v>
      </c>
      <c r="E79" s="539">
        <v>2273</v>
      </c>
      <c r="F79" s="539">
        <v>729000</v>
      </c>
      <c r="G79" s="539">
        <v>5060</v>
      </c>
      <c r="H79" s="552">
        <f t="shared" si="2"/>
        <v>6.941015089163237</v>
      </c>
      <c r="I79" s="540">
        <f t="shared" si="3"/>
        <v>144.07114624505928</v>
      </c>
      <c r="J79" s="538" t="s">
        <v>962</v>
      </c>
      <c r="K79" s="548" t="s">
        <v>233</v>
      </c>
    </row>
    <row r="80" spans="2:11" ht="30" x14ac:dyDescent="0.25">
      <c r="B80" s="558">
        <v>6</v>
      </c>
      <c r="C80" s="538">
        <v>53</v>
      </c>
      <c r="D80" s="538" t="s">
        <v>1147</v>
      </c>
      <c r="E80" s="539">
        <v>5539</v>
      </c>
      <c r="F80" s="539">
        <v>2580000</v>
      </c>
      <c r="G80" s="539">
        <v>18050</v>
      </c>
      <c r="H80" s="552">
        <f t="shared" si="2"/>
        <v>6.9961240310077519</v>
      </c>
      <c r="I80" s="540">
        <f t="shared" si="3"/>
        <v>142.93628808864267</v>
      </c>
      <c r="J80" s="538" t="s">
        <v>951</v>
      </c>
      <c r="K80" s="548" t="s">
        <v>952</v>
      </c>
    </row>
    <row r="81" spans="2:11" x14ac:dyDescent="0.25">
      <c r="B81" s="558">
        <v>196</v>
      </c>
      <c r="C81" s="538">
        <v>52</v>
      </c>
      <c r="D81" s="538" t="s">
        <v>1129</v>
      </c>
      <c r="E81" s="539">
        <v>1012</v>
      </c>
      <c r="F81" s="539">
        <v>115271</v>
      </c>
      <c r="G81" s="538">
        <v>840</v>
      </c>
      <c r="H81" s="552">
        <f t="shared" si="2"/>
        <v>7.2871754387486876</v>
      </c>
      <c r="I81" s="540">
        <f t="shared" si="3"/>
        <v>137.22738095238094</v>
      </c>
      <c r="J81" s="538" t="s">
        <v>946</v>
      </c>
      <c r="K81" s="548" t="s">
        <v>199</v>
      </c>
    </row>
    <row r="82" spans="2:11" x14ac:dyDescent="0.25">
      <c r="B82" s="558">
        <v>28</v>
      </c>
      <c r="C82" s="538">
        <v>51</v>
      </c>
      <c r="D82" s="538" t="s">
        <v>989</v>
      </c>
      <c r="E82" s="539">
        <v>3185</v>
      </c>
      <c r="F82" s="539">
        <v>850000</v>
      </c>
      <c r="G82" s="539">
        <v>6210</v>
      </c>
      <c r="H82" s="552">
        <f t="shared" si="2"/>
        <v>7.3058823529411763</v>
      </c>
      <c r="I82" s="540">
        <f t="shared" si="3"/>
        <v>136.87600644122384</v>
      </c>
      <c r="J82" s="538" t="s">
        <v>990</v>
      </c>
      <c r="K82" s="548" t="s">
        <v>991</v>
      </c>
    </row>
    <row r="83" spans="2:11" x14ac:dyDescent="0.25">
      <c r="B83" s="559">
        <v>202</v>
      </c>
      <c r="C83" s="560">
        <v>50</v>
      </c>
      <c r="D83" s="560" t="s">
        <v>939</v>
      </c>
      <c r="E83" s="560">
        <v>472</v>
      </c>
      <c r="F83" s="560">
        <v>27300</v>
      </c>
      <c r="G83" s="560">
        <v>200</v>
      </c>
      <c r="H83" s="576">
        <f t="shared" si="2"/>
        <v>7.3260073260073257</v>
      </c>
      <c r="I83" s="560">
        <f t="shared" si="3"/>
        <v>136.5</v>
      </c>
      <c r="J83" s="560" t="s">
        <v>1154</v>
      </c>
      <c r="K83" s="561" t="s">
        <v>200</v>
      </c>
    </row>
    <row r="84" spans="2:11" x14ac:dyDescent="0.25">
      <c r="B84" s="558">
        <v>24</v>
      </c>
      <c r="C84" s="538">
        <v>49</v>
      </c>
      <c r="D84" s="538" t="s">
        <v>979</v>
      </c>
      <c r="E84" s="539">
        <v>3610</v>
      </c>
      <c r="F84" s="539">
        <v>960000</v>
      </c>
      <c r="G84" s="539">
        <v>7160</v>
      </c>
      <c r="H84" s="552">
        <f t="shared" si="2"/>
        <v>7.458333333333333</v>
      </c>
      <c r="I84" s="540">
        <f t="shared" si="3"/>
        <v>134.07821229050279</v>
      </c>
      <c r="J84" s="538" t="s">
        <v>980</v>
      </c>
      <c r="K84" s="548" t="s">
        <v>981</v>
      </c>
    </row>
    <row r="85" spans="2:11" x14ac:dyDescent="0.25">
      <c r="B85" s="558">
        <v>36</v>
      </c>
      <c r="C85" s="538">
        <v>48</v>
      </c>
      <c r="D85" s="538" t="s">
        <v>1002</v>
      </c>
      <c r="E85" s="539">
        <v>2989</v>
      </c>
      <c r="F85" s="539">
        <v>473000</v>
      </c>
      <c r="G85" s="539">
        <v>3600</v>
      </c>
      <c r="H85" s="552">
        <f t="shared" si="2"/>
        <v>7.6109936575052854</v>
      </c>
      <c r="I85" s="540">
        <f t="shared" si="3"/>
        <v>131.38888888888889</v>
      </c>
      <c r="J85" s="538" t="s">
        <v>1003</v>
      </c>
      <c r="K85" s="548" t="s">
        <v>233</v>
      </c>
    </row>
    <row r="86" spans="2:11" x14ac:dyDescent="0.25">
      <c r="B86" s="558">
        <v>194</v>
      </c>
      <c r="C86" s="538">
        <v>47</v>
      </c>
      <c r="D86" s="538" t="s">
        <v>1126</v>
      </c>
      <c r="E86" s="539">
        <v>1020</v>
      </c>
      <c r="F86" s="539">
        <v>87900</v>
      </c>
      <c r="G86" s="538">
        <v>678</v>
      </c>
      <c r="H86" s="552">
        <f t="shared" si="2"/>
        <v>7.7133105802047783</v>
      </c>
      <c r="I86" s="540">
        <f t="shared" si="3"/>
        <v>129.64601769911505</v>
      </c>
      <c r="J86" s="538" t="s">
        <v>1127</v>
      </c>
      <c r="K86" s="548" t="s">
        <v>1128</v>
      </c>
    </row>
    <row r="87" spans="2:11" x14ac:dyDescent="0.25">
      <c r="B87" s="558">
        <v>119</v>
      </c>
      <c r="C87" s="538">
        <v>46</v>
      </c>
      <c r="D87" s="538" t="s">
        <v>1078</v>
      </c>
      <c r="E87" s="539">
        <v>1370</v>
      </c>
      <c r="F87" s="539">
        <v>366223</v>
      </c>
      <c r="G87" s="539">
        <v>2950</v>
      </c>
      <c r="H87" s="552">
        <f t="shared" si="2"/>
        <v>8.0552013390748254</v>
      </c>
      <c r="I87" s="540">
        <f t="shared" si="3"/>
        <v>124.14338983050847</v>
      </c>
      <c r="J87" s="538" t="s">
        <v>971</v>
      </c>
      <c r="K87" s="548" t="s">
        <v>315</v>
      </c>
    </row>
    <row r="88" spans="2:11" x14ac:dyDescent="0.25">
      <c r="B88" s="558">
        <v>79</v>
      </c>
      <c r="C88" s="538">
        <v>45</v>
      </c>
      <c r="D88" s="538" t="s">
        <v>1060</v>
      </c>
      <c r="E88" s="539">
        <v>1805</v>
      </c>
      <c r="F88" s="539">
        <v>507000</v>
      </c>
      <c r="G88" s="539">
        <v>4100</v>
      </c>
      <c r="H88" s="552">
        <f t="shared" si="2"/>
        <v>8.0867850098619325</v>
      </c>
      <c r="I88" s="540">
        <f t="shared" si="3"/>
        <v>123.65853658536585</v>
      </c>
      <c r="J88" s="538" t="s">
        <v>977</v>
      </c>
      <c r="K88" s="548" t="s">
        <v>233</v>
      </c>
    </row>
    <row r="89" spans="2:11" ht="30" x14ac:dyDescent="0.25">
      <c r="B89" s="558">
        <v>10</v>
      </c>
      <c r="C89" s="538">
        <v>44</v>
      </c>
      <c r="D89" s="538" t="s">
        <v>1136</v>
      </c>
      <c r="E89" s="539">
        <v>4880</v>
      </c>
      <c r="F89" s="539">
        <v>2582672</v>
      </c>
      <c r="G89" s="539">
        <v>22000</v>
      </c>
      <c r="H89" s="552">
        <f t="shared" si="2"/>
        <v>8.5183097195462683</v>
      </c>
      <c r="I89" s="540">
        <f t="shared" si="3"/>
        <v>117.39418181818182</v>
      </c>
      <c r="J89" s="538" t="s">
        <v>957</v>
      </c>
      <c r="K89" s="548" t="s">
        <v>958</v>
      </c>
    </row>
    <row r="90" spans="2:11" ht="30" x14ac:dyDescent="0.25">
      <c r="B90" s="558">
        <v>37</v>
      </c>
      <c r="C90" s="538">
        <v>43</v>
      </c>
      <c r="D90" s="538" t="s">
        <v>1004</v>
      </c>
      <c r="E90" s="539">
        <v>2888</v>
      </c>
      <c r="F90" s="539">
        <v>817000</v>
      </c>
      <c r="G90" s="539">
        <v>7130</v>
      </c>
      <c r="H90" s="552">
        <f t="shared" si="2"/>
        <v>8.7270501835985304</v>
      </c>
      <c r="I90" s="540">
        <f t="shared" si="3"/>
        <v>114.58625525946704</v>
      </c>
      <c r="J90" s="538" t="s">
        <v>1005</v>
      </c>
      <c r="K90" s="548" t="s">
        <v>1006</v>
      </c>
    </row>
    <row r="91" spans="2:11" x14ac:dyDescent="0.25">
      <c r="B91" s="558">
        <v>129</v>
      </c>
      <c r="C91" s="538">
        <v>42</v>
      </c>
      <c r="D91" s="538" t="s">
        <v>1084</v>
      </c>
      <c r="E91" s="539">
        <v>1302</v>
      </c>
      <c r="F91" s="539">
        <v>357052</v>
      </c>
      <c r="G91" s="539">
        <v>3332</v>
      </c>
      <c r="H91" s="552">
        <f t="shared" si="2"/>
        <v>9.3319740541993887</v>
      </c>
      <c r="I91" s="540">
        <f t="shared" si="3"/>
        <v>107.15846338535414</v>
      </c>
      <c r="J91" s="538" t="s">
        <v>1085</v>
      </c>
      <c r="K91" s="548" t="s">
        <v>233</v>
      </c>
    </row>
    <row r="92" spans="2:11" x14ac:dyDescent="0.25">
      <c r="B92" s="558">
        <v>165</v>
      </c>
      <c r="C92" s="538">
        <v>41</v>
      </c>
      <c r="D92" s="538" t="s">
        <v>1110</v>
      </c>
      <c r="E92" s="539">
        <v>1130</v>
      </c>
      <c r="F92" s="539">
        <v>121000</v>
      </c>
      <c r="G92" s="538">
        <v>1160</v>
      </c>
      <c r="H92" s="552">
        <f t="shared" si="2"/>
        <v>9.5867768595041323</v>
      </c>
      <c r="I92" s="540">
        <f t="shared" si="3"/>
        <v>104.31034482758621</v>
      </c>
      <c r="J92" s="538" t="s">
        <v>1111</v>
      </c>
      <c r="K92" s="548" t="s">
        <v>233</v>
      </c>
    </row>
    <row r="93" spans="2:11" x14ac:dyDescent="0.25">
      <c r="B93" s="558">
        <v>32</v>
      </c>
      <c r="C93" s="538">
        <v>40</v>
      </c>
      <c r="D93" s="538" t="s">
        <v>1141</v>
      </c>
      <c r="E93" s="539">
        <v>3060</v>
      </c>
      <c r="F93" s="539">
        <v>324000</v>
      </c>
      <c r="G93" s="539">
        <v>3153</v>
      </c>
      <c r="H93" s="552">
        <f t="shared" si="2"/>
        <v>9.731481481481481</v>
      </c>
      <c r="I93" s="540">
        <f t="shared" si="3"/>
        <v>102.7592768791627</v>
      </c>
      <c r="J93" s="538" t="s">
        <v>996</v>
      </c>
      <c r="K93" s="548" t="s">
        <v>997</v>
      </c>
    </row>
    <row r="94" spans="2:11" x14ac:dyDescent="0.25">
      <c r="B94" s="558">
        <v>107</v>
      </c>
      <c r="C94" s="538">
        <v>39</v>
      </c>
      <c r="D94" s="538" t="s">
        <v>1074</v>
      </c>
      <c r="E94" s="539">
        <v>1465</v>
      </c>
      <c r="F94" s="539">
        <v>312812</v>
      </c>
      <c r="G94" s="539">
        <v>3061</v>
      </c>
      <c r="H94" s="552">
        <f t="shared" ref="H94:H125" si="4">(G94*10^3)/F94</f>
        <v>9.7854302264618997</v>
      </c>
      <c r="I94" s="540">
        <f t="shared" ref="I94:I125" si="5">F94/G94</f>
        <v>102.19274746814766</v>
      </c>
      <c r="J94" s="538" t="s">
        <v>1012</v>
      </c>
      <c r="K94" s="548" t="s">
        <v>315</v>
      </c>
    </row>
    <row r="95" spans="2:11" ht="60" x14ac:dyDescent="0.25">
      <c r="B95" s="558">
        <v>34</v>
      </c>
      <c r="C95" s="538">
        <v>38</v>
      </c>
      <c r="D95" s="538" t="s">
        <v>1142</v>
      </c>
      <c r="E95" s="539">
        <v>3058</v>
      </c>
      <c r="F95" s="539">
        <v>1030000</v>
      </c>
      <c r="G95" s="539">
        <v>10100</v>
      </c>
      <c r="H95" s="552">
        <f t="shared" si="4"/>
        <v>9.8058252427184467</v>
      </c>
      <c r="I95" s="540">
        <f t="shared" si="5"/>
        <v>101.98019801980197</v>
      </c>
      <c r="J95" s="538" t="s">
        <v>998</v>
      </c>
      <c r="K95" s="548" t="s">
        <v>999</v>
      </c>
    </row>
    <row r="96" spans="2:11" x14ac:dyDescent="0.25">
      <c r="B96" s="558">
        <v>175</v>
      </c>
      <c r="C96" s="538">
        <v>37</v>
      </c>
      <c r="D96" s="538" t="s">
        <v>1114</v>
      </c>
      <c r="E96" s="539">
        <v>1100</v>
      </c>
      <c r="F96" s="539">
        <v>263500</v>
      </c>
      <c r="G96" s="539">
        <v>2700</v>
      </c>
      <c r="H96" s="552">
        <f t="shared" si="4"/>
        <v>10.246679316888045</v>
      </c>
      <c r="I96" s="540">
        <f t="shared" si="5"/>
        <v>97.592592592592595</v>
      </c>
      <c r="J96" s="538" t="s">
        <v>1050</v>
      </c>
      <c r="K96" s="548" t="s">
        <v>1051</v>
      </c>
    </row>
    <row r="97" spans="2:11" x14ac:dyDescent="0.25">
      <c r="B97" s="558">
        <v>63</v>
      </c>
      <c r="C97" s="538">
        <v>36</v>
      </c>
      <c r="D97" s="538" t="s">
        <v>1049</v>
      </c>
      <c r="E97" s="539">
        <v>2188</v>
      </c>
      <c r="F97" s="539">
        <v>78592</v>
      </c>
      <c r="G97" s="538">
        <v>875</v>
      </c>
      <c r="H97" s="552">
        <f t="shared" si="4"/>
        <v>11.133448697068404</v>
      </c>
      <c r="I97" s="540">
        <f t="shared" si="5"/>
        <v>89.819428571428574</v>
      </c>
      <c r="J97" s="538" t="s">
        <v>1034</v>
      </c>
      <c r="K97" s="548" t="s">
        <v>156</v>
      </c>
    </row>
    <row r="98" spans="2:11" x14ac:dyDescent="0.25">
      <c r="B98" s="558">
        <v>11</v>
      </c>
      <c r="C98" s="538">
        <v>35</v>
      </c>
      <c r="D98" s="538" t="s">
        <v>1138</v>
      </c>
      <c r="E98" s="539">
        <v>4700</v>
      </c>
      <c r="F98" s="539">
        <v>3680000</v>
      </c>
      <c r="G98" s="539">
        <v>41800</v>
      </c>
      <c r="H98" s="552">
        <f t="shared" si="4"/>
        <v>11.358695652173912</v>
      </c>
      <c r="I98" s="540">
        <f t="shared" si="5"/>
        <v>88.038277511961724</v>
      </c>
      <c r="J98" s="538" t="s">
        <v>946</v>
      </c>
      <c r="K98" s="548" t="s">
        <v>959</v>
      </c>
    </row>
    <row r="99" spans="2:11" x14ac:dyDescent="0.25">
      <c r="B99" s="558">
        <v>64</v>
      </c>
      <c r="C99" s="538">
        <v>34</v>
      </c>
      <c r="D99" s="538" t="s">
        <v>1050</v>
      </c>
      <c r="E99" s="539">
        <v>2153</v>
      </c>
      <c r="F99" s="539">
        <v>880200</v>
      </c>
      <c r="G99" s="539">
        <v>10000</v>
      </c>
      <c r="H99" s="552">
        <f t="shared" si="4"/>
        <v>11.361054305839582</v>
      </c>
      <c r="I99" s="540">
        <f t="shared" si="5"/>
        <v>88.02</v>
      </c>
      <c r="J99" s="538" t="s">
        <v>769</v>
      </c>
      <c r="K99" s="548" t="s">
        <v>1051</v>
      </c>
    </row>
    <row r="100" spans="2:11" ht="30" x14ac:dyDescent="0.25">
      <c r="B100" s="558">
        <v>42</v>
      </c>
      <c r="C100" s="538">
        <v>33</v>
      </c>
      <c r="D100" s="538" t="s">
        <v>1011</v>
      </c>
      <c r="E100" s="539">
        <v>2704</v>
      </c>
      <c r="F100" s="539">
        <v>1024000</v>
      </c>
      <c r="G100" s="539">
        <v>12037</v>
      </c>
      <c r="H100" s="552">
        <f t="shared" si="4"/>
        <v>11.7548828125</v>
      </c>
      <c r="I100" s="540">
        <f t="shared" si="5"/>
        <v>85.071030987787651</v>
      </c>
      <c r="J100" s="538" t="s">
        <v>1012</v>
      </c>
      <c r="K100" s="548" t="s">
        <v>1013</v>
      </c>
    </row>
    <row r="101" spans="2:11" x14ac:dyDescent="0.25">
      <c r="B101" s="558">
        <v>86</v>
      </c>
      <c r="C101" s="538">
        <v>32</v>
      </c>
      <c r="D101" s="538" t="s">
        <v>187</v>
      </c>
      <c r="E101" s="539">
        <v>1610</v>
      </c>
      <c r="F101" s="539">
        <v>370000</v>
      </c>
      <c r="G101" s="539">
        <v>4622</v>
      </c>
      <c r="H101" s="552">
        <f t="shared" si="4"/>
        <v>12.491891891891893</v>
      </c>
      <c r="I101" s="540">
        <f t="shared" si="5"/>
        <v>80.051925573344874</v>
      </c>
      <c r="J101" s="538" t="s">
        <v>946</v>
      </c>
      <c r="K101" s="548" t="s">
        <v>1063</v>
      </c>
    </row>
    <row r="102" spans="2:11" ht="30" x14ac:dyDescent="0.25">
      <c r="B102" s="558">
        <v>139</v>
      </c>
      <c r="C102" s="538">
        <v>31</v>
      </c>
      <c r="D102" s="538" t="s">
        <v>1091</v>
      </c>
      <c r="E102" s="539">
        <v>1233</v>
      </c>
      <c r="F102" s="539">
        <v>185000</v>
      </c>
      <c r="G102" s="539">
        <v>2330</v>
      </c>
      <c r="H102" s="552">
        <f t="shared" si="4"/>
        <v>12.594594594594595</v>
      </c>
      <c r="I102" s="540">
        <f t="shared" si="5"/>
        <v>79.399141630901283</v>
      </c>
      <c r="J102" s="538" t="s">
        <v>1089</v>
      </c>
      <c r="K102" s="548" t="s">
        <v>1092</v>
      </c>
    </row>
    <row r="103" spans="2:11" x14ac:dyDescent="0.25">
      <c r="B103" s="558">
        <v>78</v>
      </c>
      <c r="C103" s="538">
        <v>30</v>
      </c>
      <c r="D103" s="538" t="s">
        <v>1058</v>
      </c>
      <c r="E103" s="539">
        <v>1809</v>
      </c>
      <c r="F103" s="539">
        <v>322000</v>
      </c>
      <c r="G103" s="539">
        <v>4100</v>
      </c>
      <c r="H103" s="552">
        <f t="shared" si="4"/>
        <v>12.732919254658386</v>
      </c>
      <c r="I103" s="540">
        <f t="shared" si="5"/>
        <v>78.536585365853654</v>
      </c>
      <c r="J103" s="538" t="s">
        <v>1059</v>
      </c>
      <c r="K103" s="548" t="s">
        <v>233</v>
      </c>
    </row>
    <row r="104" spans="2:11" x14ac:dyDescent="0.25">
      <c r="B104" s="558">
        <v>133</v>
      </c>
      <c r="C104" s="538">
        <v>29</v>
      </c>
      <c r="D104" s="538" t="s">
        <v>1086</v>
      </c>
      <c r="E104" s="539">
        <v>1271</v>
      </c>
      <c r="F104" s="539">
        <v>146300</v>
      </c>
      <c r="G104" s="539">
        <v>1950</v>
      </c>
      <c r="H104" s="552">
        <f t="shared" si="4"/>
        <v>13.328776486671224</v>
      </c>
      <c r="I104" s="540">
        <f t="shared" si="5"/>
        <v>75.025641025641022</v>
      </c>
      <c r="J104" s="538" t="s">
        <v>1087</v>
      </c>
      <c r="K104" s="548" t="s">
        <v>154</v>
      </c>
    </row>
    <row r="105" spans="2:11" x14ac:dyDescent="0.25">
      <c r="B105" s="558">
        <v>157</v>
      </c>
      <c r="C105" s="538">
        <v>28</v>
      </c>
      <c r="D105" s="538" t="s">
        <v>1100</v>
      </c>
      <c r="E105" s="539">
        <v>1150</v>
      </c>
      <c r="F105" s="539">
        <v>80300</v>
      </c>
      <c r="G105" s="539">
        <v>1108</v>
      </c>
      <c r="H105" s="552">
        <f t="shared" si="4"/>
        <v>13.798256537982565</v>
      </c>
      <c r="I105" s="540">
        <f t="shared" si="5"/>
        <v>72.472924187725638</v>
      </c>
      <c r="J105" s="538" t="s">
        <v>1068</v>
      </c>
      <c r="K105" s="548" t="s">
        <v>312</v>
      </c>
    </row>
    <row r="106" spans="2:11" ht="30" x14ac:dyDescent="0.25">
      <c r="B106" s="558">
        <v>22</v>
      </c>
      <c r="C106" s="538">
        <v>27</v>
      </c>
      <c r="D106" s="538" t="s">
        <v>975</v>
      </c>
      <c r="E106" s="539">
        <v>3650</v>
      </c>
      <c r="F106" s="539">
        <v>950000</v>
      </c>
      <c r="G106" s="539">
        <v>13598</v>
      </c>
      <c r="H106" s="552">
        <f t="shared" si="4"/>
        <v>14.313684210526317</v>
      </c>
      <c r="I106" s="540">
        <f t="shared" si="5"/>
        <v>69.863215178702745</v>
      </c>
      <c r="J106" s="538" t="s">
        <v>976</v>
      </c>
      <c r="K106" s="548" t="s">
        <v>163</v>
      </c>
    </row>
    <row r="107" spans="2:11" x14ac:dyDescent="0.25">
      <c r="B107" s="558">
        <v>125</v>
      </c>
      <c r="C107" s="538">
        <v>26</v>
      </c>
      <c r="D107" s="538" t="s">
        <v>1083</v>
      </c>
      <c r="E107" s="539">
        <v>1333</v>
      </c>
      <c r="F107" s="539">
        <v>98796</v>
      </c>
      <c r="G107" s="539">
        <v>1447</v>
      </c>
      <c r="H107" s="552">
        <f t="shared" si="4"/>
        <v>14.646341957164257</v>
      </c>
      <c r="I107" s="540">
        <f t="shared" si="5"/>
        <v>68.276434001382171</v>
      </c>
      <c r="J107" s="538" t="s">
        <v>980</v>
      </c>
      <c r="K107" s="548" t="s">
        <v>315</v>
      </c>
    </row>
    <row r="108" spans="2:11" x14ac:dyDescent="0.25">
      <c r="B108" s="558">
        <v>121</v>
      </c>
      <c r="C108" s="538">
        <v>25</v>
      </c>
      <c r="D108" s="538" t="s">
        <v>1080</v>
      </c>
      <c r="E108" s="539">
        <v>1368</v>
      </c>
      <c r="F108" s="539">
        <v>220000</v>
      </c>
      <c r="G108" s="539">
        <v>3475</v>
      </c>
      <c r="H108" s="552">
        <f t="shared" si="4"/>
        <v>15.795454545454545</v>
      </c>
      <c r="I108" s="540">
        <f t="shared" si="5"/>
        <v>63.309352517985609</v>
      </c>
      <c r="J108" s="538" t="s">
        <v>1046</v>
      </c>
      <c r="K108" s="548" t="s">
        <v>1081</v>
      </c>
    </row>
    <row r="109" spans="2:11" x14ac:dyDescent="0.25">
      <c r="B109" s="558">
        <v>65</v>
      </c>
      <c r="C109" s="538">
        <v>24</v>
      </c>
      <c r="D109" s="538" t="s">
        <v>1052</v>
      </c>
      <c r="E109" s="539">
        <v>2102</v>
      </c>
      <c r="F109" s="539">
        <v>490603</v>
      </c>
      <c r="G109" s="539">
        <v>7957</v>
      </c>
      <c r="H109" s="552">
        <f t="shared" si="4"/>
        <v>16.218816436100063</v>
      </c>
      <c r="I109" s="540">
        <f t="shared" si="5"/>
        <v>61.656780193540278</v>
      </c>
      <c r="J109" s="538" t="s">
        <v>1034</v>
      </c>
      <c r="K109" s="548" t="s">
        <v>156</v>
      </c>
    </row>
    <row r="110" spans="2:11" ht="30" x14ac:dyDescent="0.25">
      <c r="B110" s="558">
        <v>3</v>
      </c>
      <c r="C110" s="538">
        <v>23</v>
      </c>
      <c r="D110" s="538" t="s">
        <v>1145</v>
      </c>
      <c r="E110" s="539">
        <v>6300</v>
      </c>
      <c r="F110" s="539">
        <v>1800000</v>
      </c>
      <c r="G110" s="539">
        <v>30166</v>
      </c>
      <c r="H110" s="552">
        <f t="shared" si="4"/>
        <v>16.75888888888889</v>
      </c>
      <c r="I110" s="540">
        <f t="shared" si="5"/>
        <v>59.669826957501826</v>
      </c>
      <c r="J110" s="538" t="s">
        <v>948</v>
      </c>
      <c r="K110" s="548" t="s">
        <v>312</v>
      </c>
    </row>
    <row r="111" spans="2:11" x14ac:dyDescent="0.25">
      <c r="B111" s="558">
        <v>61</v>
      </c>
      <c r="C111" s="538">
        <v>22</v>
      </c>
      <c r="D111" s="538" t="s">
        <v>1045</v>
      </c>
      <c r="E111" s="539">
        <v>1953</v>
      </c>
      <c r="F111" s="539">
        <v>415211</v>
      </c>
      <c r="G111" s="539">
        <v>7500</v>
      </c>
      <c r="H111" s="552">
        <f t="shared" si="4"/>
        <v>18.063105264552238</v>
      </c>
      <c r="I111" s="540">
        <f t="shared" si="5"/>
        <v>55.361466666666665</v>
      </c>
      <c r="J111" s="538" t="s">
        <v>1046</v>
      </c>
      <c r="K111" s="548" t="s">
        <v>1047</v>
      </c>
    </row>
    <row r="112" spans="2:11" x14ac:dyDescent="0.25">
      <c r="B112" s="558">
        <v>158</v>
      </c>
      <c r="C112" s="538">
        <v>21</v>
      </c>
      <c r="D112" s="538" t="s">
        <v>1101</v>
      </c>
      <c r="E112" s="539">
        <v>1149</v>
      </c>
      <c r="F112" s="539">
        <v>143700</v>
      </c>
      <c r="G112" s="539">
        <v>2640</v>
      </c>
      <c r="H112" s="552">
        <f t="shared" si="4"/>
        <v>18.371607515657619</v>
      </c>
      <c r="I112" s="540">
        <f t="shared" si="5"/>
        <v>54.43181818181818</v>
      </c>
      <c r="J112" s="538" t="s">
        <v>1102</v>
      </c>
      <c r="K112" s="548" t="s">
        <v>1103</v>
      </c>
    </row>
    <row r="113" spans="2:11" x14ac:dyDescent="0.25">
      <c r="B113" s="558">
        <v>173</v>
      </c>
      <c r="C113" s="538">
        <v>20</v>
      </c>
      <c r="D113" s="538" t="s">
        <v>1113</v>
      </c>
      <c r="E113" s="539">
        <v>1105</v>
      </c>
      <c r="F113" s="539">
        <v>46830</v>
      </c>
      <c r="G113" s="538">
        <v>862</v>
      </c>
      <c r="H113" s="552">
        <f t="shared" si="4"/>
        <v>18.407004057228271</v>
      </c>
      <c r="I113" s="540">
        <f t="shared" si="5"/>
        <v>54.327146171693734</v>
      </c>
      <c r="J113" s="538" t="s">
        <v>1034</v>
      </c>
      <c r="K113" s="548" t="s">
        <v>156</v>
      </c>
    </row>
    <row r="114" spans="2:11" x14ac:dyDescent="0.25">
      <c r="B114" s="558">
        <v>16</v>
      </c>
      <c r="C114" s="538">
        <v>19</v>
      </c>
      <c r="D114" s="538" t="s">
        <v>1140</v>
      </c>
      <c r="E114" s="539">
        <v>4350</v>
      </c>
      <c r="F114" s="539">
        <v>810000</v>
      </c>
      <c r="G114" s="539">
        <v>16000</v>
      </c>
      <c r="H114" s="552">
        <f t="shared" si="4"/>
        <v>19.753086419753085</v>
      </c>
      <c r="I114" s="540">
        <f t="shared" si="5"/>
        <v>50.625</v>
      </c>
      <c r="J114" s="538" t="s">
        <v>964</v>
      </c>
      <c r="K114" s="548" t="s">
        <v>965</v>
      </c>
    </row>
    <row r="115" spans="2:11" ht="30" x14ac:dyDescent="0.25">
      <c r="B115" s="558">
        <v>26</v>
      </c>
      <c r="C115" s="538">
        <v>18</v>
      </c>
      <c r="D115" s="538" t="s">
        <v>1148</v>
      </c>
      <c r="E115" s="539">
        <v>3380</v>
      </c>
      <c r="F115" s="539">
        <v>1485200</v>
      </c>
      <c r="G115" s="539">
        <v>31200</v>
      </c>
      <c r="H115" s="552">
        <f t="shared" si="4"/>
        <v>21.007271747912739</v>
      </c>
      <c r="I115" s="540">
        <f t="shared" si="5"/>
        <v>47.602564102564102</v>
      </c>
      <c r="J115" s="538" t="s">
        <v>985</v>
      </c>
      <c r="K115" s="548" t="s">
        <v>986</v>
      </c>
    </row>
    <row r="116" spans="2:11" x14ac:dyDescent="0.25">
      <c r="B116" s="558">
        <v>146</v>
      </c>
      <c r="C116" s="538">
        <v>17</v>
      </c>
      <c r="D116" s="538" t="s">
        <v>1096</v>
      </c>
      <c r="E116" s="539">
        <v>1200</v>
      </c>
      <c r="F116" s="539">
        <v>223856</v>
      </c>
      <c r="G116" s="539">
        <v>4706</v>
      </c>
      <c r="H116" s="552">
        <f t="shared" si="4"/>
        <v>21.022442999070829</v>
      </c>
      <c r="I116" s="540">
        <f t="shared" si="5"/>
        <v>47.568210794730135</v>
      </c>
      <c r="J116" s="538" t="s">
        <v>946</v>
      </c>
      <c r="K116" s="548" t="s">
        <v>1097</v>
      </c>
    </row>
    <row r="117" spans="2:11" x14ac:dyDescent="0.25">
      <c r="B117" s="558">
        <v>182</v>
      </c>
      <c r="C117" s="538">
        <v>16</v>
      </c>
      <c r="D117" s="538" t="s">
        <v>1117</v>
      </c>
      <c r="E117" s="539">
        <v>1080</v>
      </c>
      <c r="F117" s="539">
        <v>127950</v>
      </c>
      <c r="G117" s="539">
        <v>2990</v>
      </c>
      <c r="H117" s="552">
        <f t="shared" si="4"/>
        <v>23.368503321610003</v>
      </c>
      <c r="I117" s="540">
        <f t="shared" si="5"/>
        <v>42.792642140468224</v>
      </c>
      <c r="J117" s="538" t="s">
        <v>971</v>
      </c>
      <c r="K117" s="548" t="s">
        <v>1118</v>
      </c>
    </row>
    <row r="118" spans="2:11" x14ac:dyDescent="0.25">
      <c r="B118" s="558">
        <v>66</v>
      </c>
      <c r="C118" s="538">
        <v>15</v>
      </c>
      <c r="D118" s="538" t="s">
        <v>1053</v>
      </c>
      <c r="E118" s="539">
        <v>2101</v>
      </c>
      <c r="F118" s="539">
        <v>1380000</v>
      </c>
      <c r="G118" s="539">
        <v>33000</v>
      </c>
      <c r="H118" s="552">
        <f t="shared" si="4"/>
        <v>23.913043478260871</v>
      </c>
      <c r="I118" s="540">
        <f t="shared" si="5"/>
        <v>41.81818181818182</v>
      </c>
      <c r="J118" s="538" t="s">
        <v>946</v>
      </c>
      <c r="K118" s="548" t="s">
        <v>1054</v>
      </c>
    </row>
    <row r="119" spans="2:11" x14ac:dyDescent="0.25">
      <c r="B119" s="558">
        <v>44</v>
      </c>
      <c r="C119" s="538">
        <v>14</v>
      </c>
      <c r="D119" s="538" t="s">
        <v>1016</v>
      </c>
      <c r="E119" s="539">
        <v>2615</v>
      </c>
      <c r="F119" s="539">
        <v>242259</v>
      </c>
      <c r="G119" s="539">
        <v>6000</v>
      </c>
      <c r="H119" s="552">
        <f t="shared" si="4"/>
        <v>24.766881725756317</v>
      </c>
      <c r="I119" s="540">
        <f t="shared" si="5"/>
        <v>40.3765</v>
      </c>
      <c r="J119" s="538" t="s">
        <v>985</v>
      </c>
      <c r="K119" s="548" t="s">
        <v>1017</v>
      </c>
    </row>
    <row r="120" spans="2:11" x14ac:dyDescent="0.25">
      <c r="B120" s="558">
        <v>20</v>
      </c>
      <c r="C120" s="538">
        <v>13</v>
      </c>
      <c r="D120" s="538" t="s">
        <v>970</v>
      </c>
      <c r="E120" s="539">
        <v>3969</v>
      </c>
      <c r="F120" s="539">
        <v>712035</v>
      </c>
      <c r="G120" s="539">
        <v>19800</v>
      </c>
      <c r="H120" s="552">
        <f t="shared" si="4"/>
        <v>27.807621816343296</v>
      </c>
      <c r="I120" s="540">
        <f t="shared" si="5"/>
        <v>35.961363636363636</v>
      </c>
      <c r="J120" s="538" t="s">
        <v>971</v>
      </c>
      <c r="K120" s="548" t="s">
        <v>972</v>
      </c>
    </row>
    <row r="121" spans="2:11" ht="30" x14ac:dyDescent="0.25">
      <c r="B121" s="558">
        <v>2</v>
      </c>
      <c r="C121" s="538">
        <v>12</v>
      </c>
      <c r="D121" s="538" t="s">
        <v>1144</v>
      </c>
      <c r="E121" s="539">
        <v>6400</v>
      </c>
      <c r="F121" s="539">
        <v>7000000</v>
      </c>
      <c r="G121" s="539">
        <v>209000</v>
      </c>
      <c r="H121" s="552">
        <f t="shared" si="4"/>
        <v>29.857142857142858</v>
      </c>
      <c r="I121" s="540">
        <f t="shared" si="5"/>
        <v>33.492822966507177</v>
      </c>
      <c r="J121" s="538" t="s">
        <v>946</v>
      </c>
      <c r="K121" s="548" t="s">
        <v>947</v>
      </c>
    </row>
    <row r="122" spans="2:11" x14ac:dyDescent="0.25">
      <c r="B122" s="558">
        <v>52</v>
      </c>
      <c r="C122" s="538">
        <v>11</v>
      </c>
      <c r="D122" s="538" t="s">
        <v>1031</v>
      </c>
      <c r="E122" s="539">
        <v>2410</v>
      </c>
      <c r="F122" s="539">
        <v>200000</v>
      </c>
      <c r="G122" s="539">
        <v>6000</v>
      </c>
      <c r="H122" s="552">
        <f t="shared" si="4"/>
        <v>30</v>
      </c>
      <c r="I122" s="540">
        <f t="shared" si="5"/>
        <v>33.333333333333336</v>
      </c>
      <c r="J122" s="538" t="s">
        <v>985</v>
      </c>
      <c r="K122" s="548" t="s">
        <v>1032</v>
      </c>
    </row>
    <row r="123" spans="2:11" ht="30" x14ac:dyDescent="0.25">
      <c r="B123" s="558">
        <v>62</v>
      </c>
      <c r="C123" s="538">
        <v>10</v>
      </c>
      <c r="D123" s="538" t="s">
        <v>1151</v>
      </c>
      <c r="E123" s="539">
        <v>2200</v>
      </c>
      <c r="F123" s="539">
        <v>437000</v>
      </c>
      <c r="G123" s="539">
        <v>13600</v>
      </c>
      <c r="H123" s="552">
        <f t="shared" si="4"/>
        <v>31.121281464530892</v>
      </c>
      <c r="I123" s="540">
        <f t="shared" si="5"/>
        <v>32.132352941176471</v>
      </c>
      <c r="J123" s="538" t="s">
        <v>964</v>
      </c>
      <c r="K123" s="548" t="s">
        <v>1048</v>
      </c>
    </row>
    <row r="124" spans="2:11" x14ac:dyDescent="0.25">
      <c r="B124" s="558">
        <v>92</v>
      </c>
      <c r="C124" s="538">
        <v>9</v>
      </c>
      <c r="D124" s="538" t="s">
        <v>1064</v>
      </c>
      <c r="E124" s="539">
        <v>1599</v>
      </c>
      <c r="F124" s="539">
        <v>283350</v>
      </c>
      <c r="G124" s="539">
        <v>8900</v>
      </c>
      <c r="H124" s="552">
        <f t="shared" si="4"/>
        <v>31.409917063702135</v>
      </c>
      <c r="I124" s="540">
        <f t="shared" si="5"/>
        <v>31.837078651685392</v>
      </c>
      <c r="J124" s="538" t="s">
        <v>1065</v>
      </c>
      <c r="K124" s="548" t="s">
        <v>162</v>
      </c>
    </row>
    <row r="125" spans="2:11" ht="45" x14ac:dyDescent="0.25">
      <c r="B125" s="558">
        <v>38</v>
      </c>
      <c r="C125" s="538">
        <v>8</v>
      </c>
      <c r="D125" s="538" t="s">
        <v>1149</v>
      </c>
      <c r="E125" s="539">
        <v>2809</v>
      </c>
      <c r="F125" s="539">
        <v>404200</v>
      </c>
      <c r="G125" s="539">
        <v>13000</v>
      </c>
      <c r="H125" s="552">
        <f t="shared" si="4"/>
        <v>32.16229589312222</v>
      </c>
      <c r="I125" s="540">
        <f t="shared" si="5"/>
        <v>31.092307692307692</v>
      </c>
      <c r="J125" s="538" t="s">
        <v>996</v>
      </c>
      <c r="K125" s="548" t="s">
        <v>1007</v>
      </c>
    </row>
    <row r="126" spans="2:11" x14ac:dyDescent="0.25">
      <c r="B126" s="558">
        <v>98</v>
      </c>
      <c r="C126" s="538">
        <v>7</v>
      </c>
      <c r="D126" s="538" t="s">
        <v>1066</v>
      </c>
      <c r="E126" s="539">
        <v>1550</v>
      </c>
      <c r="F126" s="539">
        <v>263858</v>
      </c>
      <c r="G126" s="539">
        <v>9000</v>
      </c>
      <c r="H126" s="552">
        <f t="shared" ref="H126:H132" si="6">(G126*10^3)/F126</f>
        <v>34.109255736039842</v>
      </c>
      <c r="I126" s="540">
        <f t="shared" ref="I126:I132" si="7">F126/G126</f>
        <v>29.317555555555554</v>
      </c>
      <c r="J126" s="538" t="s">
        <v>1067</v>
      </c>
      <c r="K126" s="548" t="s">
        <v>165</v>
      </c>
    </row>
    <row r="127" spans="2:11" x14ac:dyDescent="0.25">
      <c r="B127" s="558">
        <v>60</v>
      </c>
      <c r="C127" s="538">
        <v>6</v>
      </c>
      <c r="D127" s="538" t="s">
        <v>1043</v>
      </c>
      <c r="E127" s="539">
        <v>2250</v>
      </c>
      <c r="F127" s="539">
        <v>720114</v>
      </c>
      <c r="G127" s="539">
        <v>26700</v>
      </c>
      <c r="H127" s="552">
        <f t="shared" si="6"/>
        <v>37.077462735066945</v>
      </c>
      <c r="I127" s="540">
        <f t="shared" si="7"/>
        <v>26.970561797752808</v>
      </c>
      <c r="J127" s="538" t="s">
        <v>985</v>
      </c>
      <c r="K127" s="548" t="s">
        <v>1044</v>
      </c>
    </row>
    <row r="128" spans="2:11" x14ac:dyDescent="0.25">
      <c r="B128" s="558">
        <v>163</v>
      </c>
      <c r="C128" s="538">
        <v>5</v>
      </c>
      <c r="D128" s="538" t="s">
        <v>1108</v>
      </c>
      <c r="E128" s="539">
        <v>1130</v>
      </c>
      <c r="F128" s="539">
        <v>125000</v>
      </c>
      <c r="G128" s="539">
        <v>4915</v>
      </c>
      <c r="H128" s="552">
        <f t="shared" si="6"/>
        <v>39.32</v>
      </c>
      <c r="I128" s="540">
        <f t="shared" si="7"/>
        <v>25.4323499491353</v>
      </c>
      <c r="J128" s="538" t="s">
        <v>1064</v>
      </c>
      <c r="K128" s="548" t="s">
        <v>1109</v>
      </c>
    </row>
    <row r="129" spans="2:11" x14ac:dyDescent="0.25">
      <c r="B129" s="558">
        <v>160</v>
      </c>
      <c r="C129" s="538">
        <v>4</v>
      </c>
      <c r="D129" s="538" t="s">
        <v>1104</v>
      </c>
      <c r="E129" s="539">
        <v>1143</v>
      </c>
      <c r="F129" s="539">
        <v>98749</v>
      </c>
      <c r="G129" s="539">
        <v>6507</v>
      </c>
      <c r="H129" s="552">
        <f t="shared" si="6"/>
        <v>65.894338170513123</v>
      </c>
      <c r="I129" s="540">
        <f t="shared" si="7"/>
        <v>15.175810665437222</v>
      </c>
      <c r="J129" s="538" t="s">
        <v>1105</v>
      </c>
      <c r="K129" s="548" t="s">
        <v>316</v>
      </c>
    </row>
    <row r="130" spans="2:11" x14ac:dyDescent="0.25">
      <c r="B130" s="558">
        <v>179</v>
      </c>
      <c r="C130" s="538">
        <v>3</v>
      </c>
      <c r="D130" s="538" t="s">
        <v>1115</v>
      </c>
      <c r="E130" s="539">
        <v>1090</v>
      </c>
      <c r="F130" s="539">
        <v>81675</v>
      </c>
      <c r="G130" s="539">
        <v>5497</v>
      </c>
      <c r="H130" s="552">
        <f t="shared" si="6"/>
        <v>67.303336394245491</v>
      </c>
      <c r="I130" s="540">
        <f t="shared" si="7"/>
        <v>14.858104420593051</v>
      </c>
      <c r="J130" s="538" t="s">
        <v>1116</v>
      </c>
      <c r="K130" s="548" t="s">
        <v>316</v>
      </c>
    </row>
    <row r="131" spans="2:11" x14ac:dyDescent="0.25">
      <c r="B131" s="558">
        <v>172</v>
      </c>
      <c r="C131" s="538">
        <v>2</v>
      </c>
      <c r="D131" s="538" t="s">
        <v>1112</v>
      </c>
      <c r="E131" s="539">
        <v>1112</v>
      </c>
      <c r="F131" s="539">
        <v>78992</v>
      </c>
      <c r="G131" s="539">
        <v>5923</v>
      </c>
      <c r="H131" s="552">
        <f t="shared" si="6"/>
        <v>74.982276686246706</v>
      </c>
      <c r="I131" s="540">
        <f t="shared" si="7"/>
        <v>13.336484889414148</v>
      </c>
      <c r="J131" s="538" t="s">
        <v>1046</v>
      </c>
      <c r="K131" s="548" t="s">
        <v>316</v>
      </c>
    </row>
    <row r="132" spans="2:11" ht="15.75" thickBot="1" x14ac:dyDescent="0.3">
      <c r="B132" s="562">
        <v>27</v>
      </c>
      <c r="C132" s="550">
        <v>1</v>
      </c>
      <c r="D132" s="550" t="s">
        <v>987</v>
      </c>
      <c r="E132" s="549">
        <v>3211</v>
      </c>
      <c r="F132" s="549">
        <v>63166</v>
      </c>
      <c r="G132" s="549">
        <v>8400</v>
      </c>
      <c r="H132" s="567">
        <f t="shared" si="6"/>
        <v>132.98293385682172</v>
      </c>
      <c r="I132" s="551">
        <f t="shared" si="7"/>
        <v>7.5197619047619044</v>
      </c>
      <c r="J132" s="550" t="s">
        <v>985</v>
      </c>
      <c r="K132" s="569" t="s">
        <v>988</v>
      </c>
    </row>
    <row r="133" spans="2:11" ht="15.75" thickBot="1" x14ac:dyDescent="0.3">
      <c r="E133" s="1144" t="s">
        <v>1162</v>
      </c>
      <c r="F133" s="1145"/>
      <c r="G133" s="1146"/>
      <c r="H133" s="565"/>
      <c r="I133" s="565"/>
    </row>
  </sheetData>
  <autoFilter ref="B29:K29" xr:uid="{39DC1B68-A953-4015-A084-2A58955B7415}">
    <sortState xmlns:xlrd2="http://schemas.microsoft.com/office/spreadsheetml/2017/richdata2" ref="B30:K132">
      <sortCondition ref="H29"/>
    </sortState>
  </autoFilter>
  <mergeCells count="2">
    <mergeCell ref="E133:G133"/>
    <mergeCell ref="D2:I22"/>
  </mergeCells>
  <conditionalFormatting sqref="E30:E132 E26:E27 E24">
    <cfRule type="dataBar" priority="6">
      <dataBar>
        <cfvo type="min"/>
        <cfvo type="max"/>
        <color rgb="FFFF555A"/>
      </dataBar>
      <extLst>
        <ext xmlns:x14="http://schemas.microsoft.com/office/spreadsheetml/2009/9/main" uri="{B025F937-C7B1-47D3-B67F-A62EFF666E3E}">
          <x14:id>{8B6F3137-BE81-488B-8CDA-7F71C2DD6459}</x14:id>
        </ext>
      </extLst>
    </cfRule>
  </conditionalFormatting>
  <conditionalFormatting sqref="F30:F132 F26:F27 F24">
    <cfRule type="dataBar" priority="5">
      <dataBar>
        <cfvo type="min"/>
        <cfvo type="max"/>
        <color rgb="FF63C384"/>
      </dataBar>
      <extLst>
        <ext xmlns:x14="http://schemas.microsoft.com/office/spreadsheetml/2009/9/main" uri="{B025F937-C7B1-47D3-B67F-A62EFF666E3E}">
          <x14:id>{5FD25116-5AD4-4299-9676-298962ED2C93}</x14:id>
        </ext>
      </extLst>
    </cfRule>
  </conditionalFormatting>
  <conditionalFormatting sqref="G30:G132 G26:G27 G24">
    <cfRule type="dataBar" priority="4">
      <dataBar>
        <cfvo type="min"/>
        <cfvo type="max"/>
        <color rgb="FF638EC6"/>
      </dataBar>
      <extLst>
        <ext xmlns:x14="http://schemas.microsoft.com/office/spreadsheetml/2009/9/main" uri="{B025F937-C7B1-47D3-B67F-A62EFF666E3E}">
          <x14:id>{920F6A82-6F7A-48EE-9AC6-38F8008F9B68}</x14:id>
        </ext>
      </extLst>
    </cfRule>
  </conditionalFormatting>
  <conditionalFormatting sqref="H30:H132 H26:H27 H24">
    <cfRule type="dataBar" priority="2">
      <dataBar>
        <cfvo type="min"/>
        <cfvo type="max"/>
        <color rgb="FFA86ED4"/>
      </dataBar>
      <extLst>
        <ext xmlns:x14="http://schemas.microsoft.com/office/spreadsheetml/2009/9/main" uri="{B025F937-C7B1-47D3-B67F-A62EFF666E3E}">
          <x14:id>{930AA3C6-B99E-438D-8554-FE3412FF2120}</x14:id>
        </ext>
      </extLst>
    </cfRule>
  </conditionalFormatting>
  <conditionalFormatting sqref="I30:I132 I26:I27 I24">
    <cfRule type="dataBar" priority="1">
      <dataBar>
        <cfvo type="min"/>
        <cfvo type="max"/>
        <color rgb="FFA86ED4"/>
      </dataBar>
      <extLst>
        <ext xmlns:x14="http://schemas.microsoft.com/office/spreadsheetml/2009/9/main" uri="{B025F937-C7B1-47D3-B67F-A62EFF666E3E}">
          <x14:id>{2B53579F-B269-4704-A39A-73A9D975100D}</x14:id>
        </ext>
      </extLst>
    </cfRule>
  </conditionalFormatting>
  <pageMargins left="0.7" right="0.7" top="0.78740157499999996" bottom="0.78740157499999996" header="0.3" footer="0.3"/>
  <drawing r:id="rId1"/>
  <extLst>
    <ext xmlns:x14="http://schemas.microsoft.com/office/spreadsheetml/2009/9/main" uri="{78C0D931-6437-407d-A8EE-F0AAD7539E65}">
      <x14:conditionalFormattings>
        <x14:conditionalFormatting xmlns:xm="http://schemas.microsoft.com/office/excel/2006/main">
          <x14:cfRule type="dataBar" id="{8B6F3137-BE81-488B-8CDA-7F71C2DD6459}">
            <x14:dataBar minLength="0" maxLength="100" border="1" negativeBarBorderColorSameAsPositive="0">
              <x14:cfvo type="autoMin"/>
              <x14:cfvo type="autoMax"/>
              <x14:borderColor rgb="FFFF555A"/>
              <x14:negativeFillColor rgb="FFFF0000"/>
              <x14:negativeBorderColor rgb="FFFF0000"/>
              <x14:axisColor rgb="FF000000"/>
            </x14:dataBar>
          </x14:cfRule>
          <xm:sqref>E30:E132 E26:E27 E24</xm:sqref>
        </x14:conditionalFormatting>
        <x14:conditionalFormatting xmlns:xm="http://schemas.microsoft.com/office/excel/2006/main">
          <x14:cfRule type="dataBar" id="{5FD25116-5AD4-4299-9676-298962ED2C93}">
            <x14:dataBar minLength="0" maxLength="100" border="1" negativeBarBorderColorSameAsPositive="0">
              <x14:cfvo type="autoMin"/>
              <x14:cfvo type="autoMax"/>
              <x14:borderColor rgb="FF63C384"/>
              <x14:negativeFillColor rgb="FFFF0000"/>
              <x14:negativeBorderColor rgb="FFFF0000"/>
              <x14:axisColor rgb="FF000000"/>
            </x14:dataBar>
          </x14:cfRule>
          <xm:sqref>F30:F132 F26:F27 F24</xm:sqref>
        </x14:conditionalFormatting>
        <x14:conditionalFormatting xmlns:xm="http://schemas.microsoft.com/office/excel/2006/main">
          <x14:cfRule type="dataBar" id="{920F6A82-6F7A-48EE-9AC6-38F8008F9B68}">
            <x14:dataBar minLength="0" maxLength="100" border="1" negativeBarBorderColorSameAsPositive="0">
              <x14:cfvo type="autoMin"/>
              <x14:cfvo type="autoMax"/>
              <x14:borderColor rgb="FF638EC6"/>
              <x14:negativeFillColor rgb="FFFF0000"/>
              <x14:negativeBorderColor rgb="FFFF0000"/>
              <x14:axisColor rgb="FF000000"/>
            </x14:dataBar>
          </x14:cfRule>
          <xm:sqref>G30:G132 G26:G27 G24</xm:sqref>
        </x14:conditionalFormatting>
        <x14:conditionalFormatting xmlns:xm="http://schemas.microsoft.com/office/excel/2006/main">
          <x14:cfRule type="dataBar" id="{930AA3C6-B99E-438D-8554-FE3412FF2120}">
            <x14:dataBar minLength="0" maxLength="100" border="1" negativeBarBorderColorSameAsPositive="0">
              <x14:cfvo type="autoMin"/>
              <x14:cfvo type="autoMax"/>
              <x14:borderColor theme="1"/>
              <x14:negativeFillColor rgb="FFFF0000"/>
              <x14:negativeBorderColor rgb="FFFF0000"/>
              <x14:axisColor rgb="FF000000"/>
            </x14:dataBar>
          </x14:cfRule>
          <xm:sqref>H30:H132 H26:H27 H24</xm:sqref>
        </x14:conditionalFormatting>
        <x14:conditionalFormatting xmlns:xm="http://schemas.microsoft.com/office/excel/2006/main">
          <x14:cfRule type="dataBar" id="{2B53579F-B269-4704-A39A-73A9D975100D}">
            <x14:dataBar minLength="0" maxLength="100" border="1" direction="rightToLeft" negativeBarBorderColorSameAsPositive="0">
              <x14:cfvo type="autoMin"/>
              <x14:cfvo type="autoMax"/>
              <x14:borderColor theme="1"/>
              <x14:negativeFillColor rgb="FFFF0000"/>
              <x14:negativeBorderColor rgb="FFFF0000"/>
              <x14:axisColor rgb="FF000000"/>
            </x14:dataBar>
          </x14:cfRule>
          <xm:sqref>I30:I132 I26:I27 I24</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6E7A-8FEA-4E76-B321-361463259EC0}">
  <sheetPr>
    <pageSetUpPr fitToPage="1"/>
  </sheetPr>
  <dimension ref="A1:P111"/>
  <sheetViews>
    <sheetView topLeftCell="B1" zoomScale="55" zoomScaleNormal="55" workbookViewId="0">
      <pane ySplit="7" topLeftCell="A8" activePane="bottomLeft" state="frozen"/>
      <selection pane="bottomLeft" activeCell="K3" sqref="K3"/>
    </sheetView>
  </sheetViews>
  <sheetFormatPr baseColWidth="10" defaultRowHeight="15" x14ac:dyDescent="0.25"/>
  <cols>
    <col min="1" max="1" width="11.42578125" style="12"/>
    <col min="2" max="2" width="5.7109375" style="12" bestFit="1" customWidth="1"/>
    <col min="3" max="3" width="28.7109375" style="12" bestFit="1" customWidth="1"/>
    <col min="4" max="6" width="27.7109375" style="12" customWidth="1"/>
    <col min="7" max="8" width="16.7109375" style="12" customWidth="1"/>
    <col min="9" max="9" width="3.28515625" style="12" customWidth="1"/>
    <col min="10" max="10" width="5.7109375" style="12" bestFit="1" customWidth="1"/>
    <col min="11" max="11" width="31.140625" style="12" customWidth="1"/>
    <col min="12" max="14" width="27.7109375" style="12" customWidth="1"/>
    <col min="15" max="16" width="16.7109375" style="12" customWidth="1"/>
    <col min="17" max="16384" width="11.42578125" style="12"/>
  </cols>
  <sheetData>
    <row r="1" spans="1:16" ht="15.75" thickBot="1" x14ac:dyDescent="0.3">
      <c r="A1"/>
    </row>
    <row r="2" spans="1:16" ht="18" thickBot="1" x14ac:dyDescent="0.3">
      <c r="C2" s="596" t="s">
        <v>941</v>
      </c>
      <c r="D2" s="597" t="s">
        <v>1155</v>
      </c>
      <c r="E2" s="597" t="s">
        <v>940</v>
      </c>
      <c r="F2" s="597" t="s">
        <v>1153</v>
      </c>
      <c r="G2" s="654" t="s">
        <v>1174</v>
      </c>
      <c r="H2" s="655" t="s">
        <v>1165</v>
      </c>
    </row>
    <row r="3" spans="1:16" ht="16.5" thickTop="1" thickBot="1" x14ac:dyDescent="0.3">
      <c r="B3"/>
      <c r="C3" s="594" t="s">
        <v>939</v>
      </c>
      <c r="D3" s="598">
        <f>D57</f>
        <v>472</v>
      </c>
      <c r="E3" s="598">
        <f>E57</f>
        <v>27300</v>
      </c>
      <c r="F3" s="598">
        <f>F57</f>
        <v>200</v>
      </c>
      <c r="G3" s="595">
        <f>G57</f>
        <v>7.3260073260073257</v>
      </c>
      <c r="H3" s="612">
        <f>H57</f>
        <v>136.5</v>
      </c>
    </row>
    <row r="4" spans="1:16" ht="15.75" thickBot="1" x14ac:dyDescent="0.3">
      <c r="B4"/>
      <c r="C4" s="573" t="s">
        <v>1161</v>
      </c>
      <c r="D4" s="574">
        <f>'XI Q and A'!E26</f>
        <v>2153</v>
      </c>
      <c r="E4" s="574">
        <f>'XI Q and A'!F26</f>
        <v>357052</v>
      </c>
      <c r="F4" s="574">
        <f>'XI Q and A'!G26</f>
        <v>3061</v>
      </c>
      <c r="G4" s="574">
        <f>'XI Q and A'!H26</f>
        <v>7.2871754387486876</v>
      </c>
      <c r="H4" s="575">
        <f>'XI Q and A'!I26</f>
        <v>137.22738095238094</v>
      </c>
    </row>
    <row r="5" spans="1:16" ht="15.75" thickBot="1" x14ac:dyDescent="0.3">
      <c r="B5"/>
      <c r="C5" s="570" t="s">
        <v>522</v>
      </c>
      <c r="D5" s="574">
        <f>'XI Q and A'!E27</f>
        <v>2399.6116504854367</v>
      </c>
      <c r="E5" s="571">
        <f>'XI Q and A'!F27</f>
        <v>701859.91262135922</v>
      </c>
      <c r="F5" s="571">
        <f>'XI Q and A'!G27</f>
        <v>7889.3980582524273</v>
      </c>
      <c r="G5" s="571">
        <f>'XI Q and A'!H27</f>
        <v>13.026398302683402</v>
      </c>
      <c r="H5" s="572">
        <f>'XI Q and A'!I27</f>
        <v>311.12615535886778</v>
      </c>
    </row>
    <row r="6" spans="1:16" ht="15.75" thickBot="1" x14ac:dyDescent="0.3">
      <c r="C6" s="537"/>
      <c r="D6" s="537"/>
      <c r="E6" s="536"/>
      <c r="F6" s="536"/>
      <c r="G6" s="607"/>
      <c r="H6" s="607"/>
    </row>
    <row r="7" spans="1:16" ht="21.75" customHeight="1" thickBot="1" x14ac:dyDescent="0.3">
      <c r="B7" s="553" t="s">
        <v>942</v>
      </c>
      <c r="C7" s="555" t="s">
        <v>1166</v>
      </c>
      <c r="D7" s="555" t="s">
        <v>1155</v>
      </c>
      <c r="E7" s="556" t="s">
        <v>940</v>
      </c>
      <c r="F7" s="586" t="s">
        <v>1153</v>
      </c>
      <c r="G7" s="653" t="s">
        <v>1174</v>
      </c>
      <c r="H7" s="653" t="s">
        <v>1171</v>
      </c>
      <c r="J7" s="553" t="s">
        <v>942</v>
      </c>
      <c r="K7" s="555" t="s">
        <v>1166</v>
      </c>
      <c r="L7" s="555" t="s">
        <v>1155</v>
      </c>
      <c r="M7" s="556" t="s">
        <v>940</v>
      </c>
      <c r="N7" s="586" t="s">
        <v>1153</v>
      </c>
      <c r="O7" s="653" t="s">
        <v>1174</v>
      </c>
      <c r="P7" s="653" t="s">
        <v>1171</v>
      </c>
    </row>
    <row r="8" spans="1:16" x14ac:dyDescent="0.25">
      <c r="B8" s="578">
        <v>1</v>
      </c>
      <c r="C8" s="547" t="s">
        <v>987</v>
      </c>
      <c r="D8" s="582">
        <v>3211</v>
      </c>
      <c r="E8" s="582">
        <v>63166</v>
      </c>
      <c r="F8" s="587">
        <v>8400</v>
      </c>
      <c r="G8" s="599">
        <f t="shared" ref="G8:G39" si="0">(F8*10^3)/E8</f>
        <v>132.98293385682172</v>
      </c>
      <c r="H8" s="600">
        <f>E8/(F8*(10^3))</f>
        <v>7.519761904761905E-3</v>
      </c>
      <c r="J8" s="579">
        <v>53</v>
      </c>
      <c r="K8" s="538" t="s">
        <v>1147</v>
      </c>
      <c r="L8" s="539">
        <v>5539</v>
      </c>
      <c r="M8" s="539">
        <v>2580000</v>
      </c>
      <c r="N8" s="591">
        <v>18050</v>
      </c>
      <c r="O8" s="608">
        <f t="shared" ref="O8:O39" si="1">(N8*10^3)/M8</f>
        <v>6.9961240310077519</v>
      </c>
      <c r="P8" s="609">
        <f t="shared" ref="P8:P39" si="2">M8/N8</f>
        <v>142.93628808864267</v>
      </c>
    </row>
    <row r="9" spans="1:16" x14ac:dyDescent="0.25">
      <c r="B9" s="579">
        <v>2</v>
      </c>
      <c r="C9" s="538" t="s">
        <v>1112</v>
      </c>
      <c r="D9" s="583">
        <v>1112</v>
      </c>
      <c r="E9" s="583">
        <v>78992</v>
      </c>
      <c r="F9" s="588">
        <v>5923</v>
      </c>
      <c r="G9" s="601">
        <f t="shared" si="0"/>
        <v>74.982276686246706</v>
      </c>
      <c r="H9" s="602">
        <f t="shared" ref="H9:H39" si="3">E9/F9</f>
        <v>13.336484889414148</v>
      </c>
      <c r="J9" s="579">
        <v>54</v>
      </c>
      <c r="K9" s="538" t="s">
        <v>1041</v>
      </c>
      <c r="L9" s="539">
        <v>2273</v>
      </c>
      <c r="M9" s="539">
        <v>729000</v>
      </c>
      <c r="N9" s="591">
        <v>5060</v>
      </c>
      <c r="O9" s="608">
        <f t="shared" si="1"/>
        <v>6.941015089163237</v>
      </c>
      <c r="P9" s="609">
        <f t="shared" si="2"/>
        <v>144.07114624505928</v>
      </c>
    </row>
    <row r="10" spans="1:16" x14ac:dyDescent="0.25">
      <c r="B10" s="579">
        <v>3</v>
      </c>
      <c r="C10" s="538" t="s">
        <v>1115</v>
      </c>
      <c r="D10" s="583">
        <v>1090</v>
      </c>
      <c r="E10" s="583">
        <v>81675</v>
      </c>
      <c r="F10" s="588">
        <v>5497</v>
      </c>
      <c r="G10" s="601">
        <f t="shared" si="0"/>
        <v>67.303336394245491</v>
      </c>
      <c r="H10" s="602">
        <f t="shared" si="3"/>
        <v>14.858104420593051</v>
      </c>
      <c r="J10" s="579">
        <v>55</v>
      </c>
      <c r="K10" s="538" t="s">
        <v>1079</v>
      </c>
      <c r="L10" s="539">
        <v>1370</v>
      </c>
      <c r="M10" s="539">
        <v>129000</v>
      </c>
      <c r="N10" s="591">
        <v>890</v>
      </c>
      <c r="O10" s="608">
        <f t="shared" si="1"/>
        <v>6.8992248062015502</v>
      </c>
      <c r="P10" s="609">
        <f t="shared" si="2"/>
        <v>144.9438202247191</v>
      </c>
    </row>
    <row r="11" spans="1:16" x14ac:dyDescent="0.25">
      <c r="B11" s="579">
        <v>4</v>
      </c>
      <c r="C11" s="538" t="s">
        <v>1104</v>
      </c>
      <c r="D11" s="583">
        <v>1143</v>
      </c>
      <c r="E11" s="583">
        <v>98749</v>
      </c>
      <c r="F11" s="588">
        <v>6507</v>
      </c>
      <c r="G11" s="601">
        <f t="shared" si="0"/>
        <v>65.894338170513123</v>
      </c>
      <c r="H11" s="602">
        <f t="shared" si="3"/>
        <v>15.175810665437222</v>
      </c>
      <c r="J11" s="579">
        <v>56</v>
      </c>
      <c r="K11" s="538" t="s">
        <v>962</v>
      </c>
      <c r="L11" s="539">
        <v>4400</v>
      </c>
      <c r="M11" s="539">
        <v>2490000</v>
      </c>
      <c r="N11" s="591">
        <v>15500</v>
      </c>
      <c r="O11" s="608">
        <f t="shared" si="1"/>
        <v>6.2248995983935744</v>
      </c>
      <c r="P11" s="609">
        <f t="shared" si="2"/>
        <v>160.64516129032259</v>
      </c>
    </row>
    <row r="12" spans="1:16" ht="30" x14ac:dyDescent="0.25">
      <c r="B12" s="579">
        <v>5</v>
      </c>
      <c r="C12" s="538" t="s">
        <v>1108</v>
      </c>
      <c r="D12" s="583">
        <v>1130</v>
      </c>
      <c r="E12" s="583">
        <v>125000</v>
      </c>
      <c r="F12" s="588">
        <v>4915</v>
      </c>
      <c r="G12" s="601">
        <f t="shared" si="0"/>
        <v>39.32</v>
      </c>
      <c r="H12" s="602">
        <f t="shared" si="3"/>
        <v>25.4323499491353</v>
      </c>
      <c r="J12" s="579">
        <v>57</v>
      </c>
      <c r="K12" s="538" t="s">
        <v>1139</v>
      </c>
      <c r="L12" s="539">
        <v>4444</v>
      </c>
      <c r="M12" s="539">
        <v>1855000</v>
      </c>
      <c r="N12" s="591">
        <v>11400</v>
      </c>
      <c r="O12" s="608">
        <f t="shared" si="1"/>
        <v>6.1455525606468999</v>
      </c>
      <c r="P12" s="609">
        <f t="shared" si="2"/>
        <v>162.71929824561403</v>
      </c>
    </row>
    <row r="13" spans="1:16" x14ac:dyDescent="0.25">
      <c r="B13" s="579">
        <v>6</v>
      </c>
      <c r="C13" s="538" t="s">
        <v>1043</v>
      </c>
      <c r="D13" s="583">
        <v>2250</v>
      </c>
      <c r="E13" s="583">
        <v>720114</v>
      </c>
      <c r="F13" s="588">
        <v>26700</v>
      </c>
      <c r="G13" s="601">
        <f t="shared" si="0"/>
        <v>37.077462735066945</v>
      </c>
      <c r="H13" s="602">
        <f t="shared" si="3"/>
        <v>26.970561797752808</v>
      </c>
      <c r="J13" s="579">
        <v>58</v>
      </c>
      <c r="K13" s="538" t="s">
        <v>1075</v>
      </c>
      <c r="L13" s="539">
        <v>1420</v>
      </c>
      <c r="M13" s="539">
        <v>142000</v>
      </c>
      <c r="N13" s="591">
        <v>858</v>
      </c>
      <c r="O13" s="608">
        <f t="shared" si="1"/>
        <v>6.042253521126761</v>
      </c>
      <c r="P13" s="609">
        <f t="shared" si="2"/>
        <v>165.5011655011655</v>
      </c>
    </row>
    <row r="14" spans="1:16" x14ac:dyDescent="0.25">
      <c r="B14" s="579">
        <v>7</v>
      </c>
      <c r="C14" s="538" t="s">
        <v>1066</v>
      </c>
      <c r="D14" s="583">
        <v>1550</v>
      </c>
      <c r="E14" s="583">
        <v>263858</v>
      </c>
      <c r="F14" s="588">
        <v>9000</v>
      </c>
      <c r="G14" s="601">
        <f t="shared" si="0"/>
        <v>34.109255736039842</v>
      </c>
      <c r="H14" s="602">
        <f t="shared" si="3"/>
        <v>29.317555555555554</v>
      </c>
      <c r="J14" s="579">
        <v>59</v>
      </c>
      <c r="K14" s="538" t="s">
        <v>1024</v>
      </c>
      <c r="L14" s="539">
        <v>2513</v>
      </c>
      <c r="M14" s="539">
        <v>644000</v>
      </c>
      <c r="N14" s="591">
        <v>3800</v>
      </c>
      <c r="O14" s="608">
        <f t="shared" si="1"/>
        <v>5.9006211180124222</v>
      </c>
      <c r="P14" s="609">
        <f t="shared" si="2"/>
        <v>169.47368421052633</v>
      </c>
    </row>
    <row r="15" spans="1:16" ht="45" x14ac:dyDescent="0.25">
      <c r="B15" s="579">
        <v>8</v>
      </c>
      <c r="C15" s="538" t="s">
        <v>1149</v>
      </c>
      <c r="D15" s="583">
        <v>2809</v>
      </c>
      <c r="E15" s="583">
        <v>404200</v>
      </c>
      <c r="F15" s="588">
        <v>13000</v>
      </c>
      <c r="G15" s="601">
        <f t="shared" si="0"/>
        <v>32.16229589312222</v>
      </c>
      <c r="H15" s="602">
        <f t="shared" si="3"/>
        <v>31.092307692307692</v>
      </c>
      <c r="J15" s="579">
        <v>60</v>
      </c>
      <c r="K15" s="538" t="s">
        <v>977</v>
      </c>
      <c r="L15" s="539">
        <v>3645</v>
      </c>
      <c r="M15" s="539">
        <v>1380000</v>
      </c>
      <c r="N15" s="591">
        <v>8080</v>
      </c>
      <c r="O15" s="608">
        <f t="shared" si="1"/>
        <v>5.8550724637681162</v>
      </c>
      <c r="P15" s="609">
        <f t="shared" si="2"/>
        <v>170.79207920792078</v>
      </c>
    </row>
    <row r="16" spans="1:16" x14ac:dyDescent="0.25">
      <c r="B16" s="579">
        <v>9</v>
      </c>
      <c r="C16" s="538" t="s">
        <v>1064</v>
      </c>
      <c r="D16" s="583">
        <v>1599</v>
      </c>
      <c r="E16" s="583">
        <v>283350</v>
      </c>
      <c r="F16" s="588">
        <v>8900</v>
      </c>
      <c r="G16" s="601">
        <f t="shared" si="0"/>
        <v>31.409917063702135</v>
      </c>
      <c r="H16" s="602">
        <f t="shared" si="3"/>
        <v>31.837078651685392</v>
      </c>
      <c r="J16" s="579">
        <v>61</v>
      </c>
      <c r="K16" s="538" t="s">
        <v>1062</v>
      </c>
      <c r="L16" s="539">
        <v>1670</v>
      </c>
      <c r="M16" s="539">
        <v>279719</v>
      </c>
      <c r="N16" s="591">
        <v>1611</v>
      </c>
      <c r="O16" s="608">
        <f t="shared" si="1"/>
        <v>5.7593513490324222</v>
      </c>
      <c r="P16" s="609">
        <f t="shared" si="2"/>
        <v>173.6306641837368</v>
      </c>
    </row>
    <row r="17" spans="2:16" ht="30" x14ac:dyDescent="0.25">
      <c r="B17" s="579">
        <v>10</v>
      </c>
      <c r="C17" s="538" t="s">
        <v>1151</v>
      </c>
      <c r="D17" s="583">
        <v>2200</v>
      </c>
      <c r="E17" s="583">
        <v>437000</v>
      </c>
      <c r="F17" s="588">
        <v>13600</v>
      </c>
      <c r="G17" s="601">
        <f t="shared" si="0"/>
        <v>31.121281464530892</v>
      </c>
      <c r="H17" s="602">
        <f t="shared" si="3"/>
        <v>32.132352941176471</v>
      </c>
      <c r="J17" s="579">
        <v>62</v>
      </c>
      <c r="K17" s="538" t="s">
        <v>966</v>
      </c>
      <c r="L17" s="539">
        <v>4241</v>
      </c>
      <c r="M17" s="539">
        <v>1790000</v>
      </c>
      <c r="N17" s="591">
        <v>10300</v>
      </c>
      <c r="O17" s="608">
        <f t="shared" si="1"/>
        <v>5.7541899441340778</v>
      </c>
      <c r="P17" s="609">
        <f t="shared" si="2"/>
        <v>173.78640776699029</v>
      </c>
    </row>
    <row r="18" spans="2:16" ht="45" x14ac:dyDescent="0.25">
      <c r="B18" s="579">
        <v>11</v>
      </c>
      <c r="C18" s="538" t="s">
        <v>1031</v>
      </c>
      <c r="D18" s="583">
        <v>2410</v>
      </c>
      <c r="E18" s="583">
        <v>200000</v>
      </c>
      <c r="F18" s="588">
        <v>6000</v>
      </c>
      <c r="G18" s="601">
        <f t="shared" si="0"/>
        <v>30</v>
      </c>
      <c r="H18" s="602">
        <f t="shared" si="3"/>
        <v>33.333333333333336</v>
      </c>
      <c r="J18" s="579">
        <v>63</v>
      </c>
      <c r="K18" s="538" t="s">
        <v>1146</v>
      </c>
      <c r="L18" s="539">
        <v>6275</v>
      </c>
      <c r="M18" s="539">
        <v>2980000</v>
      </c>
      <c r="N18" s="591">
        <v>16792</v>
      </c>
      <c r="O18" s="608">
        <f t="shared" si="1"/>
        <v>5.6348993288590608</v>
      </c>
      <c r="P18" s="609">
        <f t="shared" si="2"/>
        <v>177.46545974273462</v>
      </c>
    </row>
    <row r="19" spans="2:16" ht="30" x14ac:dyDescent="0.25">
      <c r="B19" s="579">
        <v>12</v>
      </c>
      <c r="C19" s="538" t="s">
        <v>1144</v>
      </c>
      <c r="D19" s="583">
        <v>6400</v>
      </c>
      <c r="E19" s="583">
        <v>7000000</v>
      </c>
      <c r="F19" s="588">
        <v>209000</v>
      </c>
      <c r="G19" s="601">
        <f t="shared" si="0"/>
        <v>29.857142857142858</v>
      </c>
      <c r="H19" s="602">
        <f t="shared" si="3"/>
        <v>33.492822966507177</v>
      </c>
      <c r="J19" s="579">
        <v>64</v>
      </c>
      <c r="K19" s="538" t="s">
        <v>1093</v>
      </c>
      <c r="L19" s="539">
        <v>1213</v>
      </c>
      <c r="M19" s="539">
        <v>194424</v>
      </c>
      <c r="N19" s="591">
        <v>1080</v>
      </c>
      <c r="O19" s="608">
        <f t="shared" si="1"/>
        <v>5.5548697691643003</v>
      </c>
      <c r="P19" s="609">
        <f t="shared" si="2"/>
        <v>180.02222222222221</v>
      </c>
    </row>
    <row r="20" spans="2:16" x14ac:dyDescent="0.25">
      <c r="B20" s="579">
        <v>13</v>
      </c>
      <c r="C20" s="538" t="s">
        <v>970</v>
      </c>
      <c r="D20" s="583">
        <v>3969</v>
      </c>
      <c r="E20" s="583">
        <v>712035</v>
      </c>
      <c r="F20" s="588">
        <v>19800</v>
      </c>
      <c r="G20" s="601">
        <f t="shared" si="0"/>
        <v>27.807621816343296</v>
      </c>
      <c r="H20" s="602">
        <f t="shared" si="3"/>
        <v>35.961363636363636</v>
      </c>
      <c r="J20" s="579">
        <v>65</v>
      </c>
      <c r="K20" s="538" t="s">
        <v>1152</v>
      </c>
      <c r="L20" s="539">
        <v>1006</v>
      </c>
      <c r="M20" s="539">
        <v>80100</v>
      </c>
      <c r="N20" s="591">
        <v>444</v>
      </c>
      <c r="O20" s="608">
        <f t="shared" si="1"/>
        <v>5.5430711610486894</v>
      </c>
      <c r="P20" s="609">
        <f t="shared" si="2"/>
        <v>180.40540540540542</v>
      </c>
    </row>
    <row r="21" spans="2:16" x14ac:dyDescent="0.25">
      <c r="B21" s="579">
        <v>14</v>
      </c>
      <c r="C21" s="538" t="s">
        <v>1016</v>
      </c>
      <c r="D21" s="583">
        <v>2615</v>
      </c>
      <c r="E21" s="583">
        <v>242259</v>
      </c>
      <c r="F21" s="588">
        <v>6000</v>
      </c>
      <c r="G21" s="601">
        <f t="shared" si="0"/>
        <v>24.766881725756317</v>
      </c>
      <c r="H21" s="602">
        <f t="shared" si="3"/>
        <v>40.3765</v>
      </c>
      <c r="J21" s="579">
        <v>66</v>
      </c>
      <c r="K21" s="538" t="s">
        <v>1038</v>
      </c>
      <c r="L21" s="539">
        <v>2292</v>
      </c>
      <c r="M21" s="539">
        <v>219000</v>
      </c>
      <c r="N21" s="591">
        <v>1210</v>
      </c>
      <c r="O21" s="608">
        <f t="shared" si="1"/>
        <v>5.5251141552511411</v>
      </c>
      <c r="P21" s="609">
        <f t="shared" si="2"/>
        <v>180.9917355371901</v>
      </c>
    </row>
    <row r="22" spans="2:16" x14ac:dyDescent="0.25">
      <c r="B22" s="579">
        <v>15</v>
      </c>
      <c r="C22" s="538" t="s">
        <v>1053</v>
      </c>
      <c r="D22" s="583">
        <v>2101</v>
      </c>
      <c r="E22" s="583">
        <v>1380000</v>
      </c>
      <c r="F22" s="588">
        <v>33000</v>
      </c>
      <c r="G22" s="601">
        <f t="shared" si="0"/>
        <v>23.913043478260871</v>
      </c>
      <c r="H22" s="602">
        <f t="shared" si="3"/>
        <v>41.81818181818182</v>
      </c>
      <c r="J22" s="579">
        <v>67</v>
      </c>
      <c r="K22" s="538" t="s">
        <v>992</v>
      </c>
      <c r="L22" s="539">
        <v>2900</v>
      </c>
      <c r="M22" s="539">
        <v>610000</v>
      </c>
      <c r="N22" s="591">
        <v>3300</v>
      </c>
      <c r="O22" s="608">
        <f t="shared" si="1"/>
        <v>5.4098360655737707</v>
      </c>
      <c r="P22" s="609">
        <f t="shared" si="2"/>
        <v>184.84848484848484</v>
      </c>
    </row>
    <row r="23" spans="2:16" x14ac:dyDescent="0.25">
      <c r="B23" s="579">
        <v>16</v>
      </c>
      <c r="C23" s="538" t="s">
        <v>1117</v>
      </c>
      <c r="D23" s="583">
        <v>1080</v>
      </c>
      <c r="E23" s="583">
        <v>127950</v>
      </c>
      <c r="F23" s="588">
        <v>2990</v>
      </c>
      <c r="G23" s="601">
        <f t="shared" si="0"/>
        <v>23.368503321610003</v>
      </c>
      <c r="H23" s="602">
        <f t="shared" si="3"/>
        <v>42.792642140468224</v>
      </c>
      <c r="J23" s="579">
        <v>68</v>
      </c>
      <c r="K23" s="538" t="s">
        <v>1135</v>
      </c>
      <c r="L23" s="539">
        <v>2270</v>
      </c>
      <c r="M23" s="539">
        <v>772800</v>
      </c>
      <c r="N23" s="591">
        <v>4000</v>
      </c>
      <c r="O23" s="608">
        <f t="shared" si="1"/>
        <v>5.1759834368530022</v>
      </c>
      <c r="P23" s="609">
        <f t="shared" si="2"/>
        <v>193.2</v>
      </c>
    </row>
    <row r="24" spans="2:16" x14ac:dyDescent="0.25">
      <c r="B24" s="579">
        <v>17</v>
      </c>
      <c r="C24" s="538" t="s">
        <v>1096</v>
      </c>
      <c r="D24" s="583">
        <v>1200</v>
      </c>
      <c r="E24" s="583">
        <v>223856</v>
      </c>
      <c r="F24" s="588">
        <v>4706</v>
      </c>
      <c r="G24" s="601">
        <f t="shared" si="0"/>
        <v>21.022442999070829</v>
      </c>
      <c r="H24" s="602">
        <f t="shared" si="3"/>
        <v>47.568210794730135</v>
      </c>
      <c r="J24" s="579">
        <v>69</v>
      </c>
      <c r="K24" s="538" t="s">
        <v>1071</v>
      </c>
      <c r="L24" s="539">
        <v>1500</v>
      </c>
      <c r="M24" s="539">
        <v>245000</v>
      </c>
      <c r="N24" s="591">
        <v>1258</v>
      </c>
      <c r="O24" s="608">
        <f t="shared" si="1"/>
        <v>5.1346938775510207</v>
      </c>
      <c r="P24" s="609">
        <f t="shared" si="2"/>
        <v>194.75357710651829</v>
      </c>
    </row>
    <row r="25" spans="2:16" ht="30" x14ac:dyDescent="0.25">
      <c r="B25" s="579">
        <v>18</v>
      </c>
      <c r="C25" s="538" t="s">
        <v>1148</v>
      </c>
      <c r="D25" s="583">
        <v>3380</v>
      </c>
      <c r="E25" s="583">
        <v>1485200</v>
      </c>
      <c r="F25" s="588">
        <v>31200</v>
      </c>
      <c r="G25" s="601">
        <f t="shared" si="0"/>
        <v>21.007271747912739</v>
      </c>
      <c r="H25" s="602">
        <f t="shared" si="3"/>
        <v>47.602564102564102</v>
      </c>
      <c r="J25" s="579">
        <v>70</v>
      </c>
      <c r="K25" s="538" t="s">
        <v>1061</v>
      </c>
      <c r="L25" s="539">
        <v>1726</v>
      </c>
      <c r="M25" s="539">
        <v>360400</v>
      </c>
      <c r="N25" s="591">
        <v>1810</v>
      </c>
      <c r="O25" s="608">
        <f t="shared" si="1"/>
        <v>5.0221975582685907</v>
      </c>
      <c r="P25" s="609">
        <f t="shared" si="2"/>
        <v>199.11602209944752</v>
      </c>
    </row>
    <row r="26" spans="2:16" x14ac:dyDescent="0.25">
      <c r="B26" s="579">
        <v>19</v>
      </c>
      <c r="C26" s="538" t="s">
        <v>1140</v>
      </c>
      <c r="D26" s="583">
        <v>4350</v>
      </c>
      <c r="E26" s="583">
        <v>810000</v>
      </c>
      <c r="F26" s="588">
        <v>16000</v>
      </c>
      <c r="G26" s="601">
        <f t="shared" si="0"/>
        <v>19.753086419753085</v>
      </c>
      <c r="H26" s="602">
        <f t="shared" si="3"/>
        <v>50.625</v>
      </c>
      <c r="J26" s="579">
        <v>71</v>
      </c>
      <c r="K26" s="538" t="s">
        <v>1088</v>
      </c>
      <c r="L26" s="539">
        <v>1252</v>
      </c>
      <c r="M26" s="539">
        <v>148268</v>
      </c>
      <c r="N26" s="591">
        <v>711</v>
      </c>
      <c r="O26" s="608">
        <f t="shared" si="1"/>
        <v>4.7953705452289102</v>
      </c>
      <c r="P26" s="609">
        <f t="shared" si="2"/>
        <v>208.53445850914204</v>
      </c>
    </row>
    <row r="27" spans="2:16" x14ac:dyDescent="0.25">
      <c r="B27" s="579">
        <v>20</v>
      </c>
      <c r="C27" s="538" t="s">
        <v>1113</v>
      </c>
      <c r="D27" s="583">
        <v>1105</v>
      </c>
      <c r="E27" s="583">
        <v>46830</v>
      </c>
      <c r="F27" s="588">
        <v>862</v>
      </c>
      <c r="G27" s="601">
        <f t="shared" si="0"/>
        <v>18.407004057228271</v>
      </c>
      <c r="H27" s="602">
        <f t="shared" si="3"/>
        <v>54.327146171693734</v>
      </c>
      <c r="J27" s="579">
        <v>72</v>
      </c>
      <c r="K27" s="538" t="s">
        <v>1021</v>
      </c>
      <c r="L27" s="539">
        <v>2549</v>
      </c>
      <c r="M27" s="539">
        <v>900000</v>
      </c>
      <c r="N27" s="591">
        <v>4300</v>
      </c>
      <c r="O27" s="608">
        <f t="shared" si="1"/>
        <v>4.7777777777777777</v>
      </c>
      <c r="P27" s="609">
        <f t="shared" si="2"/>
        <v>209.30232558139534</v>
      </c>
    </row>
    <row r="28" spans="2:16" x14ac:dyDescent="0.25">
      <c r="B28" s="579">
        <v>21</v>
      </c>
      <c r="C28" s="538" t="s">
        <v>1101</v>
      </c>
      <c r="D28" s="583">
        <v>1149</v>
      </c>
      <c r="E28" s="583">
        <v>143700</v>
      </c>
      <c r="F28" s="588">
        <v>2640</v>
      </c>
      <c r="G28" s="601">
        <f t="shared" si="0"/>
        <v>18.371607515657619</v>
      </c>
      <c r="H28" s="602">
        <f t="shared" si="3"/>
        <v>54.43181818181818</v>
      </c>
      <c r="J28" s="579">
        <v>73</v>
      </c>
      <c r="K28" s="538" t="s">
        <v>1124</v>
      </c>
      <c r="L28" s="539">
        <v>1045</v>
      </c>
      <c r="M28" s="539">
        <v>118861</v>
      </c>
      <c r="N28" s="591">
        <v>550</v>
      </c>
      <c r="O28" s="608">
        <f t="shared" si="1"/>
        <v>4.6272536828732722</v>
      </c>
      <c r="P28" s="609">
        <f t="shared" si="2"/>
        <v>216.1109090909091</v>
      </c>
    </row>
    <row r="29" spans="2:16" x14ac:dyDescent="0.25">
      <c r="B29" s="579">
        <v>22</v>
      </c>
      <c r="C29" s="538" t="s">
        <v>1045</v>
      </c>
      <c r="D29" s="583">
        <v>1953</v>
      </c>
      <c r="E29" s="583">
        <v>415211</v>
      </c>
      <c r="F29" s="588">
        <v>7500</v>
      </c>
      <c r="G29" s="601">
        <f t="shared" si="0"/>
        <v>18.063105264552238</v>
      </c>
      <c r="H29" s="602">
        <f t="shared" si="3"/>
        <v>55.361466666666665</v>
      </c>
      <c r="J29" s="579">
        <v>74</v>
      </c>
      <c r="K29" s="538" t="s">
        <v>1076</v>
      </c>
      <c r="L29" s="539">
        <v>1352</v>
      </c>
      <c r="M29" s="539">
        <v>72100</v>
      </c>
      <c r="N29" s="591">
        <v>310</v>
      </c>
      <c r="O29" s="608">
        <f t="shared" si="1"/>
        <v>4.2995839112343965</v>
      </c>
      <c r="P29" s="609">
        <f t="shared" si="2"/>
        <v>232.58064516129033</v>
      </c>
    </row>
    <row r="30" spans="2:16" ht="30" x14ac:dyDescent="0.25">
      <c r="B30" s="579">
        <v>23</v>
      </c>
      <c r="C30" s="538" t="s">
        <v>1145</v>
      </c>
      <c r="D30" s="583">
        <v>6300</v>
      </c>
      <c r="E30" s="583">
        <v>1800000</v>
      </c>
      <c r="F30" s="588">
        <v>30166</v>
      </c>
      <c r="G30" s="601">
        <f t="shared" si="0"/>
        <v>16.75888888888889</v>
      </c>
      <c r="H30" s="602">
        <f t="shared" si="3"/>
        <v>59.669826957501826</v>
      </c>
      <c r="J30" s="579">
        <v>75</v>
      </c>
      <c r="K30" s="538" t="s">
        <v>954</v>
      </c>
      <c r="L30" s="539">
        <v>5410</v>
      </c>
      <c r="M30" s="539">
        <v>2990000</v>
      </c>
      <c r="N30" s="591">
        <v>12475</v>
      </c>
      <c r="O30" s="608">
        <f t="shared" si="1"/>
        <v>4.1722408026755851</v>
      </c>
      <c r="P30" s="609">
        <f t="shared" si="2"/>
        <v>239.67935871743487</v>
      </c>
    </row>
    <row r="31" spans="2:16" x14ac:dyDescent="0.25">
      <c r="B31" s="579">
        <v>24</v>
      </c>
      <c r="C31" s="538" t="s">
        <v>1052</v>
      </c>
      <c r="D31" s="583">
        <v>2102</v>
      </c>
      <c r="E31" s="583">
        <v>490603</v>
      </c>
      <c r="F31" s="588">
        <v>7957</v>
      </c>
      <c r="G31" s="601">
        <f t="shared" si="0"/>
        <v>16.218816436100063</v>
      </c>
      <c r="H31" s="602">
        <f t="shared" si="3"/>
        <v>61.656780193540278</v>
      </c>
      <c r="J31" s="579">
        <v>76</v>
      </c>
      <c r="K31" s="538" t="s">
        <v>1119</v>
      </c>
      <c r="L31" s="539">
        <v>1078</v>
      </c>
      <c r="M31" s="539">
        <v>270000</v>
      </c>
      <c r="N31" s="591">
        <v>1110</v>
      </c>
      <c r="O31" s="608">
        <f t="shared" si="1"/>
        <v>4.1111111111111107</v>
      </c>
      <c r="P31" s="609">
        <f t="shared" si="2"/>
        <v>243.24324324324326</v>
      </c>
    </row>
    <row r="32" spans="2:16" x14ac:dyDescent="0.25">
      <c r="B32" s="579">
        <v>25</v>
      </c>
      <c r="C32" s="538" t="s">
        <v>1080</v>
      </c>
      <c r="D32" s="583">
        <v>1368</v>
      </c>
      <c r="E32" s="583">
        <v>220000</v>
      </c>
      <c r="F32" s="588">
        <v>3475</v>
      </c>
      <c r="G32" s="601">
        <f t="shared" si="0"/>
        <v>15.795454545454545</v>
      </c>
      <c r="H32" s="602">
        <f t="shared" si="3"/>
        <v>63.309352517985609</v>
      </c>
      <c r="J32" s="579">
        <v>77</v>
      </c>
      <c r="K32" s="538" t="s">
        <v>1099</v>
      </c>
      <c r="L32" s="539">
        <v>1181</v>
      </c>
      <c r="M32" s="539">
        <v>99000</v>
      </c>
      <c r="N32" s="591">
        <v>405</v>
      </c>
      <c r="O32" s="608">
        <f t="shared" si="1"/>
        <v>4.0909090909090908</v>
      </c>
      <c r="P32" s="609">
        <f t="shared" si="2"/>
        <v>244.44444444444446</v>
      </c>
    </row>
    <row r="33" spans="2:16" x14ac:dyDescent="0.25">
      <c r="B33" s="579">
        <v>26</v>
      </c>
      <c r="C33" s="538" t="s">
        <v>1083</v>
      </c>
      <c r="D33" s="583">
        <v>1333</v>
      </c>
      <c r="E33" s="583">
        <v>98796</v>
      </c>
      <c r="F33" s="588">
        <v>1447</v>
      </c>
      <c r="G33" s="601">
        <f t="shared" si="0"/>
        <v>14.646341957164257</v>
      </c>
      <c r="H33" s="602">
        <f t="shared" si="3"/>
        <v>68.276434001382171</v>
      </c>
      <c r="J33" s="579">
        <v>78</v>
      </c>
      <c r="K33" s="538" t="s">
        <v>1106</v>
      </c>
      <c r="L33" s="539">
        <v>1130</v>
      </c>
      <c r="M33" s="539">
        <v>88900</v>
      </c>
      <c r="N33" s="591">
        <v>360</v>
      </c>
      <c r="O33" s="608">
        <f t="shared" si="1"/>
        <v>4.0494938132733411</v>
      </c>
      <c r="P33" s="609">
        <f t="shared" si="2"/>
        <v>246.94444444444446</v>
      </c>
    </row>
    <row r="34" spans="2:16" x14ac:dyDescent="0.25">
      <c r="B34" s="579">
        <v>27</v>
      </c>
      <c r="C34" s="538" t="s">
        <v>975</v>
      </c>
      <c r="D34" s="583">
        <v>3650</v>
      </c>
      <c r="E34" s="583">
        <v>950000</v>
      </c>
      <c r="F34" s="588">
        <v>13598</v>
      </c>
      <c r="G34" s="601">
        <f t="shared" si="0"/>
        <v>14.313684210526317</v>
      </c>
      <c r="H34" s="602">
        <f t="shared" si="3"/>
        <v>69.863215178702745</v>
      </c>
      <c r="J34" s="579">
        <v>79</v>
      </c>
      <c r="K34" s="538" t="s">
        <v>1150</v>
      </c>
      <c r="L34" s="539">
        <v>2740</v>
      </c>
      <c r="M34" s="539">
        <v>1330000</v>
      </c>
      <c r="N34" s="591">
        <v>4880</v>
      </c>
      <c r="O34" s="608">
        <f t="shared" si="1"/>
        <v>3.6691729323308269</v>
      </c>
      <c r="P34" s="609">
        <f t="shared" si="2"/>
        <v>272.5409836065574</v>
      </c>
    </row>
    <row r="35" spans="2:16" x14ac:dyDescent="0.25">
      <c r="B35" s="579">
        <v>28</v>
      </c>
      <c r="C35" s="538" t="s">
        <v>1100</v>
      </c>
      <c r="D35" s="583">
        <v>1150</v>
      </c>
      <c r="E35" s="583">
        <v>80300</v>
      </c>
      <c r="F35" s="588">
        <v>1108</v>
      </c>
      <c r="G35" s="601">
        <f t="shared" si="0"/>
        <v>13.798256537982565</v>
      </c>
      <c r="H35" s="602">
        <f t="shared" si="3"/>
        <v>72.472924187725638</v>
      </c>
      <c r="J35" s="579">
        <v>80</v>
      </c>
      <c r="K35" s="538" t="s">
        <v>1098</v>
      </c>
      <c r="L35" s="539">
        <v>1182</v>
      </c>
      <c r="M35" s="539">
        <v>115000</v>
      </c>
      <c r="N35" s="591">
        <v>400</v>
      </c>
      <c r="O35" s="608">
        <f t="shared" si="1"/>
        <v>3.4782608695652173</v>
      </c>
      <c r="P35" s="609">
        <f t="shared" si="2"/>
        <v>287.5</v>
      </c>
    </row>
    <row r="36" spans="2:16" x14ac:dyDescent="0.25">
      <c r="B36" s="579">
        <v>29</v>
      </c>
      <c r="C36" s="538" t="s">
        <v>1086</v>
      </c>
      <c r="D36" s="583">
        <v>1271</v>
      </c>
      <c r="E36" s="583">
        <v>146300</v>
      </c>
      <c r="F36" s="588">
        <v>1950</v>
      </c>
      <c r="G36" s="601">
        <f t="shared" si="0"/>
        <v>13.328776486671224</v>
      </c>
      <c r="H36" s="602">
        <f t="shared" si="3"/>
        <v>75.025641025641022</v>
      </c>
      <c r="J36" s="579">
        <v>81</v>
      </c>
      <c r="K36" s="538" t="s">
        <v>1137</v>
      </c>
      <c r="L36" s="539">
        <v>5464</v>
      </c>
      <c r="M36" s="539">
        <v>745000</v>
      </c>
      <c r="N36" s="591">
        <v>2571</v>
      </c>
      <c r="O36" s="608">
        <f t="shared" si="1"/>
        <v>3.4510067114093959</v>
      </c>
      <c r="P36" s="609">
        <f t="shared" si="2"/>
        <v>289.77051730844028</v>
      </c>
    </row>
    <row r="37" spans="2:16" x14ac:dyDescent="0.25">
      <c r="B37" s="579">
        <v>30</v>
      </c>
      <c r="C37" s="538" t="s">
        <v>1058</v>
      </c>
      <c r="D37" s="583">
        <v>1809</v>
      </c>
      <c r="E37" s="583">
        <v>322000</v>
      </c>
      <c r="F37" s="588">
        <v>4100</v>
      </c>
      <c r="G37" s="601">
        <f t="shared" si="0"/>
        <v>12.732919254658386</v>
      </c>
      <c r="H37" s="602">
        <f t="shared" si="3"/>
        <v>78.536585365853654</v>
      </c>
      <c r="J37" s="579">
        <v>82</v>
      </c>
      <c r="K37" s="538" t="s">
        <v>1010</v>
      </c>
      <c r="L37" s="539">
        <v>2720</v>
      </c>
      <c r="M37" s="539">
        <v>454000</v>
      </c>
      <c r="N37" s="591">
        <v>1480</v>
      </c>
      <c r="O37" s="608">
        <f t="shared" si="1"/>
        <v>3.2599118942731278</v>
      </c>
      <c r="P37" s="609">
        <f t="shared" si="2"/>
        <v>306.75675675675677</v>
      </c>
    </row>
    <row r="38" spans="2:16" x14ac:dyDescent="0.25">
      <c r="B38" s="579">
        <v>31</v>
      </c>
      <c r="C38" s="538" t="s">
        <v>1091</v>
      </c>
      <c r="D38" s="583">
        <v>1233</v>
      </c>
      <c r="E38" s="583">
        <v>185000</v>
      </c>
      <c r="F38" s="588">
        <v>2330</v>
      </c>
      <c r="G38" s="601">
        <f t="shared" si="0"/>
        <v>12.594594594594595</v>
      </c>
      <c r="H38" s="602">
        <f t="shared" si="3"/>
        <v>79.399141630901283</v>
      </c>
      <c r="J38" s="579">
        <v>83</v>
      </c>
      <c r="K38" s="538" t="s">
        <v>1039</v>
      </c>
      <c r="L38" s="539">
        <v>2287</v>
      </c>
      <c r="M38" s="539">
        <v>516300</v>
      </c>
      <c r="N38" s="591">
        <v>1670</v>
      </c>
      <c r="O38" s="608">
        <f t="shared" si="1"/>
        <v>3.2345535541351929</v>
      </c>
      <c r="P38" s="609">
        <f t="shared" si="2"/>
        <v>309.16167664670661</v>
      </c>
    </row>
    <row r="39" spans="2:16" x14ac:dyDescent="0.25">
      <c r="B39" s="579">
        <v>32</v>
      </c>
      <c r="C39" s="538" t="s">
        <v>187</v>
      </c>
      <c r="D39" s="583">
        <v>1610</v>
      </c>
      <c r="E39" s="583">
        <v>370000</v>
      </c>
      <c r="F39" s="588">
        <v>4622</v>
      </c>
      <c r="G39" s="601">
        <f t="shared" si="0"/>
        <v>12.491891891891893</v>
      </c>
      <c r="H39" s="602">
        <f t="shared" si="3"/>
        <v>80.051925573344874</v>
      </c>
      <c r="J39" s="579">
        <v>84</v>
      </c>
      <c r="K39" s="538" t="s">
        <v>993</v>
      </c>
      <c r="L39" s="539">
        <v>3078</v>
      </c>
      <c r="M39" s="539">
        <v>219000</v>
      </c>
      <c r="N39" s="591">
        <v>703</v>
      </c>
      <c r="O39" s="608">
        <f t="shared" si="1"/>
        <v>3.2100456621004567</v>
      </c>
      <c r="P39" s="609">
        <f t="shared" si="2"/>
        <v>311.52204836415365</v>
      </c>
    </row>
    <row r="40" spans="2:16" ht="30" x14ac:dyDescent="0.25">
      <c r="B40" s="579">
        <v>33</v>
      </c>
      <c r="C40" s="538" t="s">
        <v>1011</v>
      </c>
      <c r="D40" s="583">
        <v>2704</v>
      </c>
      <c r="E40" s="583">
        <v>1024000</v>
      </c>
      <c r="F40" s="588">
        <v>12037</v>
      </c>
      <c r="G40" s="601">
        <f t="shared" ref="G40:G59" si="4">(F40*10^3)/E40</f>
        <v>11.7548828125</v>
      </c>
      <c r="H40" s="602">
        <f t="shared" ref="H40:H59" si="5">E40/F40</f>
        <v>85.071030987787651</v>
      </c>
      <c r="J40" s="579">
        <v>85</v>
      </c>
      <c r="K40" s="538" t="s">
        <v>1035</v>
      </c>
      <c r="L40" s="539">
        <v>2333</v>
      </c>
      <c r="M40" s="539">
        <v>390000</v>
      </c>
      <c r="N40" s="591">
        <v>1200</v>
      </c>
      <c r="O40" s="608">
        <f t="shared" ref="O40:O58" si="6">(N40*10^3)/M40</f>
        <v>3.0769230769230771</v>
      </c>
      <c r="P40" s="609">
        <f t="shared" ref="P40:P58" si="7">M40/N40</f>
        <v>325</v>
      </c>
    </row>
    <row r="41" spans="2:16" x14ac:dyDescent="0.25">
      <c r="B41" s="579">
        <v>34</v>
      </c>
      <c r="C41" s="538" t="s">
        <v>1050</v>
      </c>
      <c r="D41" s="583">
        <v>2153</v>
      </c>
      <c r="E41" s="583">
        <v>880200</v>
      </c>
      <c r="F41" s="588">
        <v>10000</v>
      </c>
      <c r="G41" s="601">
        <f t="shared" si="4"/>
        <v>11.361054305839582</v>
      </c>
      <c r="H41" s="602">
        <f t="shared" si="5"/>
        <v>88.02</v>
      </c>
      <c r="J41" s="579">
        <v>86</v>
      </c>
      <c r="K41" s="538" t="s">
        <v>1069</v>
      </c>
      <c r="L41" s="539">
        <v>1515</v>
      </c>
      <c r="M41" s="539">
        <v>188400</v>
      </c>
      <c r="N41" s="591">
        <v>575</v>
      </c>
      <c r="O41" s="608">
        <f t="shared" si="6"/>
        <v>3.0520169851380041</v>
      </c>
      <c r="P41" s="609">
        <f t="shared" si="7"/>
        <v>327.6521739130435</v>
      </c>
    </row>
    <row r="42" spans="2:16" x14ac:dyDescent="0.25">
      <c r="B42" s="579">
        <v>35</v>
      </c>
      <c r="C42" s="538" t="s">
        <v>1138</v>
      </c>
      <c r="D42" s="583">
        <v>4700</v>
      </c>
      <c r="E42" s="583">
        <v>3680000</v>
      </c>
      <c r="F42" s="588">
        <v>41800</v>
      </c>
      <c r="G42" s="601">
        <f t="shared" si="4"/>
        <v>11.358695652173912</v>
      </c>
      <c r="H42" s="602">
        <f t="shared" si="5"/>
        <v>88.038277511961724</v>
      </c>
      <c r="J42" s="579">
        <v>87</v>
      </c>
      <c r="K42" s="538" t="s">
        <v>1120</v>
      </c>
      <c r="L42" s="539">
        <v>1072</v>
      </c>
      <c r="M42" s="539">
        <v>102000</v>
      </c>
      <c r="N42" s="591">
        <v>285</v>
      </c>
      <c r="O42" s="608">
        <f t="shared" si="6"/>
        <v>2.7941176470588234</v>
      </c>
      <c r="P42" s="609">
        <f t="shared" si="7"/>
        <v>357.89473684210526</v>
      </c>
    </row>
    <row r="43" spans="2:16" x14ac:dyDescent="0.25">
      <c r="B43" s="579">
        <v>36</v>
      </c>
      <c r="C43" s="538" t="s">
        <v>1049</v>
      </c>
      <c r="D43" s="583">
        <v>2188</v>
      </c>
      <c r="E43" s="583">
        <v>78592</v>
      </c>
      <c r="F43" s="588">
        <v>875</v>
      </c>
      <c r="G43" s="601">
        <f t="shared" si="4"/>
        <v>11.133448697068404</v>
      </c>
      <c r="H43" s="602">
        <f t="shared" si="5"/>
        <v>89.819428571428574</v>
      </c>
      <c r="J43" s="579">
        <v>88</v>
      </c>
      <c r="K43" s="538" t="s">
        <v>288</v>
      </c>
      <c r="L43" s="539">
        <v>4200</v>
      </c>
      <c r="M43" s="539">
        <v>2090000</v>
      </c>
      <c r="N43" s="591">
        <v>5589</v>
      </c>
      <c r="O43" s="608">
        <f t="shared" si="6"/>
        <v>2.6741626794258373</v>
      </c>
      <c r="P43" s="609">
        <f t="shared" si="7"/>
        <v>373.94882805510827</v>
      </c>
    </row>
    <row r="44" spans="2:16" x14ac:dyDescent="0.25">
      <c r="B44" s="579">
        <v>37</v>
      </c>
      <c r="C44" s="538" t="s">
        <v>1114</v>
      </c>
      <c r="D44" s="583">
        <v>1100</v>
      </c>
      <c r="E44" s="583">
        <v>263500</v>
      </c>
      <c r="F44" s="588">
        <v>2700</v>
      </c>
      <c r="G44" s="601">
        <f t="shared" si="4"/>
        <v>10.246679316888045</v>
      </c>
      <c r="H44" s="602">
        <f t="shared" si="5"/>
        <v>97.592592592592595</v>
      </c>
      <c r="J44" s="579">
        <v>89</v>
      </c>
      <c r="K44" s="538" t="s">
        <v>1014</v>
      </c>
      <c r="L44" s="539">
        <v>2620</v>
      </c>
      <c r="M44" s="539">
        <v>534739</v>
      </c>
      <c r="N44" s="591">
        <v>1400</v>
      </c>
      <c r="O44" s="608">
        <f t="shared" si="6"/>
        <v>2.6180996710544768</v>
      </c>
      <c r="P44" s="609">
        <f t="shared" si="7"/>
        <v>381.95642857142855</v>
      </c>
    </row>
    <row r="45" spans="2:16" ht="60" x14ac:dyDescent="0.25">
      <c r="B45" s="579">
        <v>38</v>
      </c>
      <c r="C45" s="538" t="s">
        <v>1142</v>
      </c>
      <c r="D45" s="583">
        <v>3058</v>
      </c>
      <c r="E45" s="583">
        <v>1030000</v>
      </c>
      <c r="F45" s="588">
        <v>10100</v>
      </c>
      <c r="G45" s="601">
        <f t="shared" si="4"/>
        <v>9.8058252427184467</v>
      </c>
      <c r="H45" s="602">
        <f t="shared" si="5"/>
        <v>101.98019801980197</v>
      </c>
      <c r="J45" s="579">
        <v>90</v>
      </c>
      <c r="K45" s="538" t="s">
        <v>1130</v>
      </c>
      <c r="L45" s="539">
        <v>1010</v>
      </c>
      <c r="M45" s="539">
        <v>61100</v>
      </c>
      <c r="N45" s="591">
        <v>150</v>
      </c>
      <c r="O45" s="608">
        <f t="shared" si="6"/>
        <v>2.4549918166939442</v>
      </c>
      <c r="P45" s="609">
        <f t="shared" si="7"/>
        <v>407.33333333333331</v>
      </c>
    </row>
    <row r="46" spans="2:16" x14ac:dyDescent="0.25">
      <c r="B46" s="579">
        <v>39</v>
      </c>
      <c r="C46" s="538" t="s">
        <v>1074</v>
      </c>
      <c r="D46" s="583">
        <v>1465</v>
      </c>
      <c r="E46" s="583">
        <v>312812</v>
      </c>
      <c r="F46" s="588">
        <v>3061</v>
      </c>
      <c r="G46" s="601">
        <f t="shared" si="4"/>
        <v>9.7854302264618997</v>
      </c>
      <c r="H46" s="602">
        <f t="shared" si="5"/>
        <v>102.19274746814766</v>
      </c>
      <c r="J46" s="579">
        <v>91</v>
      </c>
      <c r="K46" s="538" t="s">
        <v>1033</v>
      </c>
      <c r="L46" s="539">
        <v>2348</v>
      </c>
      <c r="M46" s="539">
        <v>435122</v>
      </c>
      <c r="N46" s="591">
        <v>1066</v>
      </c>
      <c r="O46" s="608">
        <f t="shared" si="6"/>
        <v>2.4498876177256035</v>
      </c>
      <c r="P46" s="609">
        <f t="shared" si="7"/>
        <v>408.18198874296434</v>
      </c>
    </row>
    <row r="47" spans="2:16" x14ac:dyDescent="0.25">
      <c r="B47" s="579">
        <v>40</v>
      </c>
      <c r="C47" s="538" t="s">
        <v>1141</v>
      </c>
      <c r="D47" s="583">
        <v>3060</v>
      </c>
      <c r="E47" s="583">
        <v>324000</v>
      </c>
      <c r="F47" s="588">
        <v>3153</v>
      </c>
      <c r="G47" s="601">
        <f t="shared" si="4"/>
        <v>9.731481481481481</v>
      </c>
      <c r="H47" s="602">
        <f t="shared" si="5"/>
        <v>102.7592768791627</v>
      </c>
      <c r="J47" s="579">
        <v>92</v>
      </c>
      <c r="K47" s="538" t="s">
        <v>1018</v>
      </c>
      <c r="L47" s="539">
        <v>2570</v>
      </c>
      <c r="M47" s="539">
        <v>1093000</v>
      </c>
      <c r="N47" s="591">
        <v>2575</v>
      </c>
      <c r="O47" s="608">
        <f t="shared" si="6"/>
        <v>2.3559011893870081</v>
      </c>
      <c r="P47" s="609">
        <f t="shared" si="7"/>
        <v>424.46601941747571</v>
      </c>
    </row>
    <row r="48" spans="2:16" x14ac:dyDescent="0.25">
      <c r="B48" s="579">
        <v>41</v>
      </c>
      <c r="C48" s="538" t="s">
        <v>1110</v>
      </c>
      <c r="D48" s="583">
        <v>1130</v>
      </c>
      <c r="E48" s="583">
        <v>121000</v>
      </c>
      <c r="F48" s="588">
        <v>1160</v>
      </c>
      <c r="G48" s="601">
        <f t="shared" si="4"/>
        <v>9.5867768595041323</v>
      </c>
      <c r="H48" s="602">
        <f t="shared" si="5"/>
        <v>104.31034482758621</v>
      </c>
      <c r="J48" s="579">
        <v>93</v>
      </c>
      <c r="K48" s="538" t="s">
        <v>1055</v>
      </c>
      <c r="L48" s="539">
        <v>1870</v>
      </c>
      <c r="M48" s="539">
        <v>425600</v>
      </c>
      <c r="N48" s="591">
        <v>935</v>
      </c>
      <c r="O48" s="608">
        <f t="shared" si="6"/>
        <v>2.1968984962406015</v>
      </c>
      <c r="P48" s="609">
        <f t="shared" si="7"/>
        <v>455.18716577540107</v>
      </c>
    </row>
    <row r="49" spans="2:16" x14ac:dyDescent="0.25">
      <c r="B49" s="579">
        <v>42</v>
      </c>
      <c r="C49" s="538" t="s">
        <v>1084</v>
      </c>
      <c r="D49" s="583">
        <v>1302</v>
      </c>
      <c r="E49" s="583">
        <v>357052</v>
      </c>
      <c r="F49" s="588">
        <v>3332</v>
      </c>
      <c r="G49" s="601">
        <f t="shared" si="4"/>
        <v>9.3319740541993887</v>
      </c>
      <c r="H49" s="602">
        <f t="shared" si="5"/>
        <v>107.15846338535414</v>
      </c>
      <c r="J49" s="579">
        <v>94</v>
      </c>
      <c r="K49" s="538" t="s">
        <v>1029</v>
      </c>
      <c r="L49" s="539">
        <v>2428</v>
      </c>
      <c r="M49" s="539">
        <v>237000</v>
      </c>
      <c r="N49" s="591">
        <v>475</v>
      </c>
      <c r="O49" s="608">
        <f t="shared" si="6"/>
        <v>2.0042194092827006</v>
      </c>
      <c r="P49" s="609">
        <f t="shared" si="7"/>
        <v>498.94736842105266</v>
      </c>
    </row>
    <row r="50" spans="2:16" ht="30" x14ac:dyDescent="0.25">
      <c r="B50" s="579">
        <v>43</v>
      </c>
      <c r="C50" s="538" t="s">
        <v>1004</v>
      </c>
      <c r="D50" s="583">
        <v>2888</v>
      </c>
      <c r="E50" s="583">
        <v>817000</v>
      </c>
      <c r="F50" s="588">
        <v>7130</v>
      </c>
      <c r="G50" s="601">
        <f t="shared" si="4"/>
        <v>8.7270501835985304</v>
      </c>
      <c r="H50" s="602">
        <f t="shared" si="5"/>
        <v>114.58625525946704</v>
      </c>
      <c r="J50" s="579">
        <v>95</v>
      </c>
      <c r="K50" s="538" t="s">
        <v>1123</v>
      </c>
      <c r="L50" s="539">
        <v>1053</v>
      </c>
      <c r="M50" s="539">
        <v>98900</v>
      </c>
      <c r="N50" s="591">
        <v>159</v>
      </c>
      <c r="O50" s="608">
        <f t="shared" si="6"/>
        <v>1.6076845298281093</v>
      </c>
      <c r="P50" s="609">
        <f t="shared" si="7"/>
        <v>622.01257861635224</v>
      </c>
    </row>
    <row r="51" spans="2:16" ht="30" x14ac:dyDescent="0.25">
      <c r="B51" s="579">
        <v>44</v>
      </c>
      <c r="C51" s="538" t="s">
        <v>1136</v>
      </c>
      <c r="D51" s="583">
        <v>4880</v>
      </c>
      <c r="E51" s="583">
        <v>2582672</v>
      </c>
      <c r="F51" s="588">
        <v>22000</v>
      </c>
      <c r="G51" s="601">
        <f t="shared" si="4"/>
        <v>8.5183097195462683</v>
      </c>
      <c r="H51" s="602">
        <f t="shared" si="5"/>
        <v>117.39418181818182</v>
      </c>
      <c r="J51" s="579">
        <v>96</v>
      </c>
      <c r="K51" s="538" t="s">
        <v>1072</v>
      </c>
      <c r="L51" s="539">
        <v>1485</v>
      </c>
      <c r="M51" s="539">
        <v>84917</v>
      </c>
      <c r="N51" s="591">
        <v>120</v>
      </c>
      <c r="O51" s="608">
        <f t="shared" si="6"/>
        <v>1.4131446000211971</v>
      </c>
      <c r="P51" s="609">
        <f t="shared" si="7"/>
        <v>707.64166666666665</v>
      </c>
    </row>
    <row r="52" spans="2:16" x14ac:dyDescent="0.25">
      <c r="B52" s="579">
        <v>45</v>
      </c>
      <c r="C52" s="538" t="s">
        <v>1060</v>
      </c>
      <c r="D52" s="583">
        <v>1805</v>
      </c>
      <c r="E52" s="583">
        <v>507000</v>
      </c>
      <c r="F52" s="588">
        <v>4100</v>
      </c>
      <c r="G52" s="601">
        <f t="shared" si="4"/>
        <v>8.0867850098619325</v>
      </c>
      <c r="H52" s="602">
        <f t="shared" si="5"/>
        <v>123.65853658536585</v>
      </c>
      <c r="J52" s="579">
        <v>97</v>
      </c>
      <c r="K52" s="538" t="s">
        <v>1132</v>
      </c>
      <c r="L52" s="539">
        <v>1004</v>
      </c>
      <c r="M52" s="539">
        <v>109000</v>
      </c>
      <c r="N52" s="591">
        <v>122</v>
      </c>
      <c r="O52" s="608">
        <f t="shared" si="6"/>
        <v>1.1192660550458715</v>
      </c>
      <c r="P52" s="609">
        <f t="shared" si="7"/>
        <v>893.44262295081967</v>
      </c>
    </row>
    <row r="53" spans="2:16" x14ac:dyDescent="0.25">
      <c r="B53" s="579">
        <v>46</v>
      </c>
      <c r="C53" s="538" t="s">
        <v>1078</v>
      </c>
      <c r="D53" s="583">
        <v>1370</v>
      </c>
      <c r="E53" s="583">
        <v>366223</v>
      </c>
      <c r="F53" s="588">
        <v>2950</v>
      </c>
      <c r="G53" s="601">
        <f t="shared" si="4"/>
        <v>8.0552013390748254</v>
      </c>
      <c r="H53" s="602">
        <f t="shared" si="5"/>
        <v>124.14338983050847</v>
      </c>
      <c r="J53" s="579">
        <v>98</v>
      </c>
      <c r="K53" s="538" t="s">
        <v>982</v>
      </c>
      <c r="L53" s="539">
        <v>3596</v>
      </c>
      <c r="M53" s="539">
        <v>884000</v>
      </c>
      <c r="N53" s="591">
        <v>856</v>
      </c>
      <c r="O53" s="608">
        <f t="shared" si="6"/>
        <v>0.96832579185520362</v>
      </c>
      <c r="P53" s="609">
        <f t="shared" si="7"/>
        <v>1032.7102803738317</v>
      </c>
    </row>
    <row r="54" spans="2:16" ht="30" x14ac:dyDescent="0.25">
      <c r="B54" s="579">
        <v>47</v>
      </c>
      <c r="C54" s="538" t="s">
        <v>1126</v>
      </c>
      <c r="D54" s="583">
        <v>1020</v>
      </c>
      <c r="E54" s="583">
        <v>87900</v>
      </c>
      <c r="F54" s="588">
        <v>678</v>
      </c>
      <c r="G54" s="601">
        <f t="shared" si="4"/>
        <v>7.7133105802047783</v>
      </c>
      <c r="H54" s="602">
        <f t="shared" si="5"/>
        <v>129.64601769911505</v>
      </c>
      <c r="J54" s="579">
        <v>99</v>
      </c>
      <c r="K54" s="538" t="s">
        <v>1143</v>
      </c>
      <c r="L54" s="539">
        <v>6650</v>
      </c>
      <c r="M54" s="539">
        <v>3254555</v>
      </c>
      <c r="N54" s="591">
        <v>2800</v>
      </c>
      <c r="O54" s="608">
        <f t="shared" si="6"/>
        <v>0.86033267220864296</v>
      </c>
      <c r="P54" s="609">
        <f t="shared" si="7"/>
        <v>1162.3410714285715</v>
      </c>
    </row>
    <row r="55" spans="2:16" ht="30" x14ac:dyDescent="0.25">
      <c r="B55" s="579">
        <v>48</v>
      </c>
      <c r="C55" s="538" t="s">
        <v>1002</v>
      </c>
      <c r="D55" s="583">
        <v>2989</v>
      </c>
      <c r="E55" s="583">
        <v>473000</v>
      </c>
      <c r="F55" s="588">
        <v>3600</v>
      </c>
      <c r="G55" s="601">
        <f t="shared" si="4"/>
        <v>7.6109936575052854</v>
      </c>
      <c r="H55" s="602">
        <f t="shared" si="5"/>
        <v>131.38888888888889</v>
      </c>
      <c r="J55" s="579">
        <v>100</v>
      </c>
      <c r="K55" s="538" t="s">
        <v>973</v>
      </c>
      <c r="L55" s="539">
        <v>3672</v>
      </c>
      <c r="M55" s="539">
        <v>1061000</v>
      </c>
      <c r="N55" s="591">
        <v>767</v>
      </c>
      <c r="O55" s="608">
        <f t="shared" si="6"/>
        <v>0.72290292177191329</v>
      </c>
      <c r="P55" s="609">
        <f t="shared" si="7"/>
        <v>1383.3116036505867</v>
      </c>
    </row>
    <row r="56" spans="2:16" x14ac:dyDescent="0.25">
      <c r="B56" s="579">
        <v>49</v>
      </c>
      <c r="C56" s="538" t="s">
        <v>979</v>
      </c>
      <c r="D56" s="583">
        <v>3610</v>
      </c>
      <c r="E56" s="583">
        <v>960000</v>
      </c>
      <c r="F56" s="588">
        <v>7160</v>
      </c>
      <c r="G56" s="601">
        <f t="shared" si="4"/>
        <v>7.458333333333333</v>
      </c>
      <c r="H56" s="602">
        <f t="shared" si="5"/>
        <v>134.07821229050279</v>
      </c>
      <c r="J56" s="579">
        <v>101</v>
      </c>
      <c r="K56" s="538" t="s">
        <v>1082</v>
      </c>
      <c r="L56" s="539">
        <v>1339</v>
      </c>
      <c r="M56" s="539">
        <v>84700</v>
      </c>
      <c r="N56" s="591">
        <v>49</v>
      </c>
      <c r="O56" s="608">
        <f t="shared" si="6"/>
        <v>0.57851239669421484</v>
      </c>
      <c r="P56" s="609">
        <f t="shared" si="7"/>
        <v>1728.5714285714287</v>
      </c>
    </row>
    <row r="57" spans="2:16" x14ac:dyDescent="0.25">
      <c r="B57" s="580">
        <v>50</v>
      </c>
      <c r="C57" s="560" t="s">
        <v>939</v>
      </c>
      <c r="D57" s="585">
        <v>472</v>
      </c>
      <c r="E57" s="585">
        <v>27300</v>
      </c>
      <c r="F57" s="589">
        <v>200</v>
      </c>
      <c r="G57" s="603">
        <f t="shared" si="4"/>
        <v>7.3260073260073257</v>
      </c>
      <c r="H57" s="604">
        <f t="shared" si="5"/>
        <v>136.5</v>
      </c>
      <c r="J57" s="579">
        <v>102</v>
      </c>
      <c r="K57" s="538" t="s">
        <v>1026</v>
      </c>
      <c r="L57" s="539">
        <v>2450</v>
      </c>
      <c r="M57" s="539">
        <v>177000</v>
      </c>
      <c r="N57" s="591">
        <v>56</v>
      </c>
      <c r="O57" s="608">
        <f t="shared" si="6"/>
        <v>0.31638418079096048</v>
      </c>
      <c r="P57" s="609">
        <f t="shared" si="7"/>
        <v>3160.7142857142858</v>
      </c>
    </row>
    <row r="58" spans="2:16" ht="15.75" thickBot="1" x14ac:dyDescent="0.3">
      <c r="B58" s="579">
        <v>51</v>
      </c>
      <c r="C58" s="538" t="s">
        <v>989</v>
      </c>
      <c r="D58" s="583">
        <v>3185</v>
      </c>
      <c r="E58" s="583">
        <v>850000</v>
      </c>
      <c r="F58" s="588">
        <v>6210</v>
      </c>
      <c r="G58" s="601">
        <f t="shared" si="4"/>
        <v>7.3058823529411763</v>
      </c>
      <c r="H58" s="602">
        <f t="shared" si="5"/>
        <v>136.87600644122384</v>
      </c>
      <c r="J58" s="581">
        <v>103</v>
      </c>
      <c r="K58" s="550" t="s">
        <v>1000</v>
      </c>
      <c r="L58" s="549">
        <v>3057</v>
      </c>
      <c r="M58" s="549">
        <v>570000</v>
      </c>
      <c r="N58" s="592">
        <v>82</v>
      </c>
      <c r="O58" s="610">
        <f t="shared" si="6"/>
        <v>0.14385964912280702</v>
      </c>
      <c r="P58" s="611">
        <f t="shared" si="7"/>
        <v>6951.2195121951218</v>
      </c>
    </row>
    <row r="59" spans="2:16" ht="15.75" thickBot="1" x14ac:dyDescent="0.3">
      <c r="B59" s="581">
        <v>52</v>
      </c>
      <c r="C59" s="550" t="s">
        <v>1129</v>
      </c>
      <c r="D59" s="584">
        <v>1012</v>
      </c>
      <c r="E59" s="584">
        <v>115271</v>
      </c>
      <c r="F59" s="590">
        <v>840</v>
      </c>
      <c r="G59" s="605">
        <f t="shared" si="4"/>
        <v>7.2871754387486876</v>
      </c>
      <c r="H59" s="606">
        <f t="shared" si="5"/>
        <v>137.22738095238094</v>
      </c>
      <c r="L59" s="1144" t="s">
        <v>1170</v>
      </c>
      <c r="M59" s="1145"/>
      <c r="N59" s="1146"/>
    </row>
    <row r="61" spans="2:16" x14ac:dyDescent="0.25">
      <c r="C61" s="12" t="s">
        <v>1163</v>
      </c>
      <c r="D61" s="620" t="s">
        <v>485</v>
      </c>
      <c r="E61" t="s">
        <v>1168</v>
      </c>
    </row>
    <row r="62" spans="2:16" x14ac:dyDescent="0.25">
      <c r="D62" s="620" t="s">
        <v>1169</v>
      </c>
      <c r="E62" s="12" t="s">
        <v>1164</v>
      </c>
    </row>
    <row r="111" spans="7:9" x14ac:dyDescent="0.25">
      <c r="G111" s="565"/>
      <c r="H111" s="565"/>
      <c r="I111" s="565"/>
    </row>
  </sheetData>
  <mergeCells count="1">
    <mergeCell ref="L59:N59"/>
  </mergeCells>
  <conditionalFormatting sqref="L8:L58 D8:D59 D3:D5">
    <cfRule type="dataBar" priority="5">
      <dataBar>
        <cfvo type="min"/>
        <cfvo type="max"/>
        <color rgb="FFFFB9BB"/>
      </dataBar>
      <extLst>
        <ext xmlns:x14="http://schemas.microsoft.com/office/spreadsheetml/2009/9/main" uri="{B025F937-C7B1-47D3-B67F-A62EFF666E3E}">
          <x14:id>{A1A9C7EE-2D2A-4CD5-88C7-5A77624CEF38}</x14:id>
        </ext>
      </extLst>
    </cfRule>
  </conditionalFormatting>
  <conditionalFormatting sqref="M8:M58 E8:E59 E3:E5">
    <cfRule type="dataBar" priority="4">
      <dataBar>
        <cfvo type="min"/>
        <cfvo type="max"/>
        <color rgb="FFA7DDB9"/>
      </dataBar>
      <extLst>
        <ext xmlns:x14="http://schemas.microsoft.com/office/spreadsheetml/2009/9/main" uri="{B025F937-C7B1-47D3-B67F-A62EFF666E3E}">
          <x14:id>{199AB0D4-07DE-474B-B263-E04727349821}</x14:id>
        </ext>
      </extLst>
    </cfRule>
  </conditionalFormatting>
  <conditionalFormatting sqref="N8:N58 F8:F59 F3:F5">
    <cfRule type="dataBar" priority="3">
      <dataBar>
        <cfvo type="min"/>
        <cfvo type="max"/>
        <color rgb="FFB6CAE4"/>
      </dataBar>
      <extLst>
        <ext xmlns:x14="http://schemas.microsoft.com/office/spreadsheetml/2009/9/main" uri="{B025F937-C7B1-47D3-B67F-A62EFF666E3E}">
          <x14:id>{62F69D70-E4BA-4FD9-959E-1B5037F232DD}</x14:id>
        </ext>
      </extLst>
    </cfRule>
  </conditionalFormatting>
  <conditionalFormatting sqref="O8:O58 G8:G59 G3:G5">
    <cfRule type="dataBar" priority="2">
      <dataBar>
        <cfvo type="min"/>
        <cfvo type="max"/>
        <color rgb="FFA86ED4"/>
      </dataBar>
      <extLst>
        <ext xmlns:x14="http://schemas.microsoft.com/office/spreadsheetml/2009/9/main" uri="{B025F937-C7B1-47D3-B67F-A62EFF666E3E}">
          <x14:id>{F9D3DCA5-30A2-4A9E-967C-864FCA4D78D1}</x14:id>
        </ext>
      </extLst>
    </cfRule>
  </conditionalFormatting>
  <conditionalFormatting sqref="P8:P58 H8:H59 H3:H5">
    <cfRule type="dataBar" priority="1">
      <dataBar>
        <cfvo type="min"/>
        <cfvo type="max"/>
        <color rgb="FFA86ED4"/>
      </dataBar>
      <extLst>
        <ext xmlns:x14="http://schemas.microsoft.com/office/spreadsheetml/2009/9/main" uri="{B025F937-C7B1-47D3-B67F-A62EFF666E3E}">
          <x14:id>{E2DC837F-A709-4011-A2A2-0D5CBA1E2B79}</x14:id>
        </ext>
      </extLst>
    </cfRule>
  </conditionalFormatting>
  <pageMargins left="0.7" right="0.7" top="0.78740157499999996" bottom="0.78740157499999996" header="0.3" footer="0.3"/>
  <pageSetup paperSize="9" scale="41" orientation="landscape" r:id="rId1"/>
  <extLst>
    <ext xmlns:x14="http://schemas.microsoft.com/office/spreadsheetml/2009/9/main" uri="{78C0D931-6437-407d-A8EE-F0AAD7539E65}">
      <x14:conditionalFormattings>
        <x14:conditionalFormatting xmlns:xm="http://schemas.microsoft.com/office/excel/2006/main">
          <x14:cfRule type="dataBar" id="{A1A9C7EE-2D2A-4CD5-88C7-5A77624CEF38}">
            <x14:dataBar minLength="0" maxLength="100" border="1" negativeBarBorderColorSameAsPositive="0">
              <x14:cfvo type="autoMin"/>
              <x14:cfvo type="autoMax"/>
              <x14:borderColor rgb="FFFF555A"/>
              <x14:negativeFillColor rgb="FFFF0000"/>
              <x14:negativeBorderColor rgb="FFFF0000"/>
              <x14:axisColor rgb="FF000000"/>
            </x14:dataBar>
          </x14:cfRule>
          <xm:sqref>L8:L58 D8:D59 D3:D5</xm:sqref>
        </x14:conditionalFormatting>
        <x14:conditionalFormatting xmlns:xm="http://schemas.microsoft.com/office/excel/2006/main">
          <x14:cfRule type="dataBar" id="{199AB0D4-07DE-474B-B263-E04727349821}">
            <x14:dataBar minLength="0" maxLength="100" border="1" negativeBarBorderColorSameAsPositive="0">
              <x14:cfvo type="autoMin"/>
              <x14:cfvo type="autoMax"/>
              <x14:borderColor rgb="FF63C384"/>
              <x14:negativeFillColor rgb="FFFF0000"/>
              <x14:negativeBorderColor rgb="FFFF0000"/>
              <x14:axisColor rgb="FF000000"/>
            </x14:dataBar>
          </x14:cfRule>
          <xm:sqref>M8:M58 E8:E59 E3:E5</xm:sqref>
        </x14:conditionalFormatting>
        <x14:conditionalFormatting xmlns:xm="http://schemas.microsoft.com/office/excel/2006/main">
          <x14:cfRule type="dataBar" id="{62F69D70-E4BA-4FD9-959E-1B5037F232DD}">
            <x14:dataBar minLength="0" maxLength="100" border="1" negativeBarBorderColorSameAsPositive="0">
              <x14:cfvo type="autoMin"/>
              <x14:cfvo type="autoMax"/>
              <x14:borderColor rgb="FF638EC6"/>
              <x14:negativeFillColor rgb="FFFF0000"/>
              <x14:negativeBorderColor rgb="FFFF0000"/>
              <x14:axisColor rgb="FF000000"/>
            </x14:dataBar>
          </x14:cfRule>
          <xm:sqref>N8:N58 F8:F59 F3:F5</xm:sqref>
        </x14:conditionalFormatting>
        <x14:conditionalFormatting xmlns:xm="http://schemas.microsoft.com/office/excel/2006/main">
          <x14:cfRule type="dataBar" id="{F9D3DCA5-30A2-4A9E-967C-864FCA4D78D1}">
            <x14:dataBar minLength="0" maxLength="100" border="1" negativeBarBorderColorSameAsPositive="0">
              <x14:cfvo type="autoMin"/>
              <x14:cfvo type="autoMax"/>
              <x14:borderColor theme="1"/>
              <x14:negativeFillColor rgb="FFFF0000"/>
              <x14:negativeBorderColor rgb="FFFF0000"/>
              <x14:axisColor rgb="FF000000"/>
            </x14:dataBar>
          </x14:cfRule>
          <xm:sqref>O8:O58 G8:G59 G3:G5</xm:sqref>
        </x14:conditionalFormatting>
        <x14:conditionalFormatting xmlns:xm="http://schemas.microsoft.com/office/excel/2006/main">
          <x14:cfRule type="dataBar" id="{E2DC837F-A709-4011-A2A2-0D5CBA1E2B79}">
            <x14:dataBar minLength="0" maxLength="100" border="1" direction="rightToLeft" negativeBarBorderColorSameAsPositive="0">
              <x14:cfvo type="autoMin"/>
              <x14:cfvo type="autoMax"/>
              <x14:borderColor theme="1"/>
              <x14:negativeFillColor rgb="FFFF0000"/>
              <x14:negativeBorderColor rgb="FFFF0000"/>
              <x14:axisColor rgb="FF000000"/>
            </x14:dataBar>
          </x14:cfRule>
          <xm:sqref>P8:P58 H8:H59 H3:H5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F3E7-75BD-4749-B4E6-9D2155E6F472}">
  <dimension ref="B2:L13"/>
  <sheetViews>
    <sheetView workbookViewId="0">
      <selection activeCell="U11" sqref="U11"/>
    </sheetView>
  </sheetViews>
  <sheetFormatPr baseColWidth="10" defaultColWidth="9.140625" defaultRowHeight="12.75" x14ac:dyDescent="0.2"/>
  <cols>
    <col min="1" max="1" width="9.140625" style="805"/>
    <col min="2" max="2" width="10.7109375" style="805" customWidth="1"/>
    <col min="3" max="3" width="14.5703125" style="805" customWidth="1"/>
    <col min="4" max="4" width="9" style="805" customWidth="1"/>
    <col min="5" max="5" width="27.5703125" style="805" customWidth="1"/>
    <col min="6" max="6" width="8.7109375" style="805" customWidth="1"/>
    <col min="7" max="7" width="15.140625" style="805" customWidth="1"/>
    <col min="8" max="16384" width="9.140625" style="805"/>
  </cols>
  <sheetData>
    <row r="2" spans="2:12" ht="15" x14ac:dyDescent="0.25">
      <c r="B2" s="805" t="s">
        <v>1233</v>
      </c>
      <c r="C2" s="814" t="s">
        <v>1259</v>
      </c>
      <c r="D2" s="814"/>
      <c r="E2" s="814"/>
      <c r="F2" s="814"/>
      <c r="G2" s="814"/>
      <c r="H2" s="814"/>
      <c r="I2" s="814"/>
      <c r="J2" s="814"/>
      <c r="K2" s="814"/>
      <c r="L2" s="814"/>
    </row>
    <row r="4" spans="2:12" ht="76.5" x14ac:dyDescent="0.2">
      <c r="B4" s="282" t="s">
        <v>1236</v>
      </c>
    </row>
    <row r="5" spans="2:12" ht="105" x14ac:dyDescent="0.2">
      <c r="B5" s="4" t="s">
        <v>1237</v>
      </c>
    </row>
    <row r="6" spans="2:12" ht="15" x14ac:dyDescent="0.2">
      <c r="C6" s="5" t="s">
        <v>1238</v>
      </c>
      <c r="D6" s="5" t="s">
        <v>1239</v>
      </c>
      <c r="E6" s="5" t="s">
        <v>1240</v>
      </c>
      <c r="F6" s="5" t="s">
        <v>0</v>
      </c>
      <c r="G6" s="5" t="s">
        <v>1241</v>
      </c>
    </row>
    <row r="7" spans="2:12" ht="15" x14ac:dyDescent="0.2">
      <c r="B7" s="6" t="s">
        <v>1242</v>
      </c>
      <c r="C7" s="806">
        <v>36.89</v>
      </c>
      <c r="D7" s="806">
        <v>21.79</v>
      </c>
      <c r="E7" s="806">
        <v>21.15</v>
      </c>
      <c r="F7" s="806">
        <v>9.18</v>
      </c>
      <c r="G7" s="806">
        <v>10.98</v>
      </c>
      <c r="H7" s="6" t="s">
        <v>1243</v>
      </c>
    </row>
    <row r="8" spans="2:12" ht="15" x14ac:dyDescent="0.2">
      <c r="B8" s="6" t="s">
        <v>1244</v>
      </c>
      <c r="C8" s="806">
        <v>36.869999999999997</v>
      </c>
      <c r="D8" s="806">
        <v>21.59</v>
      </c>
      <c r="E8" s="806">
        <v>21.18</v>
      </c>
      <c r="F8" s="806">
        <v>9.25</v>
      </c>
      <c r="G8" s="806">
        <v>11.12</v>
      </c>
      <c r="H8" s="6" t="s">
        <v>1243</v>
      </c>
    </row>
    <row r="9" spans="2:12" ht="15" x14ac:dyDescent="0.2">
      <c r="B9" s="6" t="s">
        <v>1</v>
      </c>
      <c r="C9" s="806">
        <v>36.5</v>
      </c>
      <c r="D9" s="806">
        <v>20.27</v>
      </c>
      <c r="E9" s="806">
        <v>21.74</v>
      </c>
      <c r="F9" s="806">
        <v>9.42</v>
      </c>
      <c r="G9" s="806">
        <v>12.07</v>
      </c>
      <c r="H9" s="6" t="s">
        <v>1243</v>
      </c>
    </row>
    <row r="10" spans="2:12" ht="15" x14ac:dyDescent="0.2">
      <c r="B10" s="6" t="s">
        <v>2</v>
      </c>
      <c r="C10" s="806">
        <v>36.270000000000003</v>
      </c>
      <c r="D10" s="806">
        <v>21.76</v>
      </c>
      <c r="E10" s="806">
        <v>21.31</v>
      </c>
      <c r="F10" s="806">
        <v>9.33</v>
      </c>
      <c r="G10" s="806">
        <v>11.33</v>
      </c>
      <c r="H10" s="6" t="s">
        <v>1243</v>
      </c>
    </row>
    <row r="11" spans="2:12" ht="15" x14ac:dyDescent="0.2">
      <c r="B11" s="6" t="s">
        <v>1245</v>
      </c>
      <c r="C11" s="807">
        <v>37.659999999999997</v>
      </c>
      <c r="D11" s="807">
        <v>20.190000000000001</v>
      </c>
      <c r="E11" s="807">
        <v>21.44</v>
      </c>
      <c r="F11" s="807">
        <v>9.01</v>
      </c>
      <c r="G11" s="807">
        <v>11.69</v>
      </c>
      <c r="H11" s="6" t="s">
        <v>1243</v>
      </c>
    </row>
    <row r="13" spans="2:12" x14ac:dyDescent="0.2">
      <c r="C13" s="805" t="s">
        <v>1246</v>
      </c>
      <c r="D13" s="808">
        <f>SUM(C11:E11)</f>
        <v>79.289999999999992</v>
      </c>
    </row>
  </sheetData>
  <mergeCells count="1">
    <mergeCell ref="C2:L2"/>
  </mergeCells>
  <hyperlinks>
    <hyperlink ref="C2" r:id="rId1" xr:uid="{CFCF50C4-9412-4DED-9307-C6FAF278FE48}"/>
  </hyperlinks>
  <pageMargins left="0.75" right="0.75" top="1" bottom="1" header="0.5" footer="0.5"/>
  <pageSetup orientation="portrait"/>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074FF-3E7E-4C2C-B4B4-0EBEFCE6012B}">
  <dimension ref="B1:Q23"/>
  <sheetViews>
    <sheetView tabSelected="1" workbookViewId="0">
      <selection activeCell="G6" sqref="G6"/>
    </sheetView>
  </sheetViews>
  <sheetFormatPr baseColWidth="10" defaultRowHeight="15" x14ac:dyDescent="0.25"/>
  <cols>
    <col min="1" max="1" width="10.5703125" customWidth="1"/>
    <col min="5" max="5" width="22" bestFit="1" customWidth="1"/>
    <col min="6" max="6" width="21" bestFit="1" customWidth="1"/>
    <col min="7" max="7" width="17.5703125" customWidth="1"/>
    <col min="8" max="8" width="9.85546875" customWidth="1"/>
    <col min="9" max="9" width="7" bestFit="1" customWidth="1"/>
    <col min="10" max="10" width="12.7109375" bestFit="1" customWidth="1"/>
    <col min="11" max="11" width="15.140625" bestFit="1" customWidth="1"/>
    <col min="15" max="15" width="12.7109375" bestFit="1" customWidth="1"/>
    <col min="16" max="16" width="15.140625" bestFit="1" customWidth="1"/>
  </cols>
  <sheetData>
    <row r="1" spans="2:17" x14ac:dyDescent="0.25">
      <c r="B1" t="s">
        <v>821</v>
      </c>
    </row>
    <row r="2" spans="2:17" x14ac:dyDescent="0.25">
      <c r="B2" t="s">
        <v>820</v>
      </c>
      <c r="Q2" s="518"/>
    </row>
    <row r="4" spans="2:17" x14ac:dyDescent="0.25">
      <c r="B4" t="s">
        <v>838</v>
      </c>
      <c r="E4" s="479">
        <v>1.41</v>
      </c>
      <c r="F4" s="410" t="s">
        <v>819</v>
      </c>
      <c r="H4" t="s">
        <v>826</v>
      </c>
    </row>
    <row r="6" spans="2:17" x14ac:dyDescent="0.25">
      <c r="B6" t="s">
        <v>839</v>
      </c>
    </row>
    <row r="8" spans="2:17" x14ac:dyDescent="0.25">
      <c r="B8" t="s">
        <v>836</v>
      </c>
      <c r="E8" s="413">
        <v>27300</v>
      </c>
      <c r="F8" s="410" t="s">
        <v>822</v>
      </c>
      <c r="G8" t="s">
        <v>830</v>
      </c>
      <c r="H8" s="1" t="s">
        <v>827</v>
      </c>
    </row>
    <row r="9" spans="2:17" x14ac:dyDescent="0.25">
      <c r="B9" t="s">
        <v>837</v>
      </c>
      <c r="E9" s="410">
        <v>62</v>
      </c>
      <c r="F9" s="410" t="s">
        <v>823</v>
      </c>
      <c r="H9" s="1" t="s">
        <v>825</v>
      </c>
    </row>
    <row r="12" spans="2:17" x14ac:dyDescent="0.25">
      <c r="B12" t="s">
        <v>834</v>
      </c>
    </row>
    <row r="13" spans="2:17" x14ac:dyDescent="0.25">
      <c r="B13" t="s">
        <v>824</v>
      </c>
      <c r="E13" s="284">
        <f>E4*E8*E9</f>
        <v>2386566</v>
      </c>
      <c r="F13" s="410" t="s">
        <v>819</v>
      </c>
    </row>
    <row r="14" spans="2:17" x14ac:dyDescent="0.25">
      <c r="E14" s="411">
        <f>E13/1000</f>
        <v>2386.5659999999998</v>
      </c>
      <c r="F14" s="410" t="s">
        <v>828</v>
      </c>
    </row>
    <row r="15" spans="2:17" x14ac:dyDescent="0.25">
      <c r="E15" s="411">
        <f>E14/1000</f>
        <v>2.3865659999999997</v>
      </c>
      <c r="F15" s="410" t="s">
        <v>829</v>
      </c>
    </row>
    <row r="17" spans="2:6" x14ac:dyDescent="0.25">
      <c r="B17" t="s">
        <v>831</v>
      </c>
      <c r="E17" s="412">
        <v>1</v>
      </c>
      <c r="F17" s="410" t="s">
        <v>832</v>
      </c>
    </row>
    <row r="18" spans="2:6" x14ac:dyDescent="0.25">
      <c r="E18" s="413">
        <f>'VI Projected H2 Demand'!L11 *1000</f>
        <v>519099.99999999988</v>
      </c>
      <c r="F18" s="410" t="s">
        <v>833</v>
      </c>
    </row>
    <row r="19" spans="2:6" x14ac:dyDescent="0.25">
      <c r="E19" s="284">
        <f>E17*E18</f>
        <v>519099.99999999988</v>
      </c>
      <c r="F19" s="410" t="s">
        <v>819</v>
      </c>
    </row>
    <row r="21" spans="2:6" x14ac:dyDescent="0.25">
      <c r="E21" s="414">
        <f>E19/E13</f>
        <v>0.21750917426964092</v>
      </c>
      <c r="F21" s="410" t="s">
        <v>835</v>
      </c>
    </row>
    <row r="23" spans="2:6" x14ac:dyDescent="0.25">
      <c r="E23" s="409"/>
    </row>
  </sheetData>
  <hyperlinks>
    <hyperlink ref="H8" r:id="rId1" xr:uid="{72B14C6A-EDC6-4E7C-ACF3-E98F9EEC1DBC}"/>
    <hyperlink ref="H9" r:id="rId2" xr:uid="{95905CC2-8731-4982-BC3A-6D8E1059A86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2455-2F9E-4D25-A4D9-9B869A1B4892}">
  <dimension ref="B2:N28"/>
  <sheetViews>
    <sheetView zoomScale="115" zoomScaleNormal="115" workbookViewId="0">
      <selection activeCell="R20" sqref="R20"/>
    </sheetView>
  </sheetViews>
  <sheetFormatPr baseColWidth="10" defaultColWidth="9.140625" defaultRowHeight="12.75" x14ac:dyDescent="0.2"/>
  <cols>
    <col min="1" max="1" width="9.140625" style="805"/>
    <col min="2" max="2" width="16" style="805" customWidth="1"/>
    <col min="3" max="4" width="9.5703125" style="805" bestFit="1" customWidth="1"/>
    <col min="5" max="5" width="13" style="805" bestFit="1" customWidth="1"/>
    <col min="6" max="6" width="11.28515625" style="805" customWidth="1"/>
    <col min="7" max="7" width="18.140625" style="805" customWidth="1"/>
    <col min="8" max="8" width="13.85546875" style="805" bestFit="1" customWidth="1"/>
    <col min="9" max="16384" width="9.140625" style="805"/>
  </cols>
  <sheetData>
    <row r="2" spans="2:14" ht="15" x14ac:dyDescent="0.25">
      <c r="B2" s="805" t="s">
        <v>1233</v>
      </c>
      <c r="C2" s="814" t="s">
        <v>1260</v>
      </c>
      <c r="D2" s="814"/>
      <c r="E2" s="814"/>
      <c r="F2" s="814"/>
      <c r="G2" s="814"/>
      <c r="H2" s="814"/>
      <c r="I2" s="814"/>
      <c r="J2" s="814"/>
      <c r="K2" s="814"/>
      <c r="L2" s="814"/>
      <c r="M2" s="814"/>
      <c r="N2" s="814"/>
    </row>
    <row r="4" spans="2:14" x14ac:dyDescent="0.2">
      <c r="B4" s="7" t="s">
        <v>1247</v>
      </c>
    </row>
    <row r="5" spans="2:14" ht="15" x14ac:dyDescent="0.2">
      <c r="B5" s="6" t="s">
        <v>1248</v>
      </c>
    </row>
    <row r="6" spans="2:14" ht="15" x14ac:dyDescent="0.2">
      <c r="B6" s="805" t="s">
        <v>6</v>
      </c>
      <c r="C6" s="5" t="s">
        <v>1249</v>
      </c>
      <c r="D6" s="5" t="s">
        <v>1250</v>
      </c>
      <c r="E6" s="5" t="s">
        <v>1251</v>
      </c>
      <c r="F6" s="5" t="s">
        <v>1252</v>
      </c>
      <c r="G6" s="5" t="s">
        <v>1253</v>
      </c>
      <c r="H6" s="5" t="s">
        <v>1254</v>
      </c>
      <c r="I6" s="5" t="s">
        <v>7</v>
      </c>
    </row>
    <row r="7" spans="2:14" ht="15" x14ac:dyDescent="0.2">
      <c r="B7" s="6" t="s">
        <v>1245</v>
      </c>
      <c r="C7" s="807">
        <v>184.86</v>
      </c>
      <c r="D7" s="807">
        <v>160.43</v>
      </c>
      <c r="E7" s="807">
        <v>146.41</v>
      </c>
      <c r="F7" s="807">
        <v>40.4</v>
      </c>
      <c r="G7" s="807">
        <v>39.97</v>
      </c>
      <c r="H7" s="807">
        <v>25.33</v>
      </c>
      <c r="I7" s="809">
        <f>SUM(C7:H7)</f>
        <v>597.40000000000009</v>
      </c>
    </row>
    <row r="8" spans="2:14" ht="15" x14ac:dyDescent="0.2">
      <c r="B8" s="6" t="s">
        <v>1255</v>
      </c>
      <c r="C8" s="807">
        <v>190.69</v>
      </c>
      <c r="D8" s="807">
        <v>161.47</v>
      </c>
      <c r="E8" s="807">
        <v>141.88999999999999</v>
      </c>
      <c r="F8" s="807">
        <v>40.68</v>
      </c>
      <c r="G8" s="807">
        <v>45.18</v>
      </c>
      <c r="H8" s="807">
        <v>24.13</v>
      </c>
      <c r="I8" s="809">
        <f>SUM(C8:H8)</f>
        <v>604.03999999999985</v>
      </c>
    </row>
    <row r="9" spans="2:14" x14ac:dyDescent="0.2">
      <c r="B9" s="805" t="s">
        <v>1256</v>
      </c>
      <c r="C9" s="809">
        <f>(C8/C7-1)*100</f>
        <v>3.1537379638645335</v>
      </c>
      <c r="D9" s="809">
        <f t="shared" ref="D9:H9" si="0">(D8/D7-1)*100</f>
        <v>0.64825780714330428</v>
      </c>
      <c r="E9" s="809">
        <f t="shared" si="0"/>
        <v>-3.0872208182501248</v>
      </c>
      <c r="F9" s="809">
        <f t="shared" si="0"/>
        <v>0.69306930693069368</v>
      </c>
      <c r="G9" s="810">
        <f>(G8/G7-1)*100</f>
        <v>13.034776082061539</v>
      </c>
      <c r="H9" s="809">
        <f t="shared" si="0"/>
        <v>-4.7374654559810487</v>
      </c>
      <c r="I9" s="809"/>
    </row>
    <row r="11" spans="2:14" x14ac:dyDescent="0.2">
      <c r="I11" s="805" t="s">
        <v>1257</v>
      </c>
    </row>
    <row r="12" spans="2:14" x14ac:dyDescent="0.2">
      <c r="G12" s="805" t="s">
        <v>1258</v>
      </c>
      <c r="H12" s="805">
        <f>SUM(C8:E8)/I8*100</f>
        <v>81.790940997284949</v>
      </c>
      <c r="I12" s="805">
        <f>494/I8</f>
        <v>0.81782663399774869</v>
      </c>
    </row>
    <row r="15" spans="2:14" x14ac:dyDescent="0.2">
      <c r="B15" s="7" t="s">
        <v>1247</v>
      </c>
    </row>
    <row r="16" spans="2:14" ht="15" x14ac:dyDescent="0.2">
      <c r="B16" s="6" t="s">
        <v>1248</v>
      </c>
    </row>
    <row r="17" spans="2:9" ht="15" x14ac:dyDescent="0.2">
      <c r="B17" s="805" t="s">
        <v>6</v>
      </c>
      <c r="C17" s="5" t="s">
        <v>1249</v>
      </c>
      <c r="D17" s="5" t="s">
        <v>1250</v>
      </c>
      <c r="E17" s="5" t="s">
        <v>1251</v>
      </c>
      <c r="F17" s="5" t="s">
        <v>1252</v>
      </c>
      <c r="G17" s="5" t="s">
        <v>1253</v>
      </c>
      <c r="H17" s="5" t="s">
        <v>1254</v>
      </c>
      <c r="I17" s="5" t="s">
        <v>7</v>
      </c>
    </row>
    <row r="18" spans="2:9" ht="15" x14ac:dyDescent="0.2">
      <c r="B18" s="811">
        <v>44197</v>
      </c>
      <c r="C18" s="812">
        <f>C7/$I$7</f>
        <v>0.30944091061265483</v>
      </c>
      <c r="D18" s="812">
        <f t="shared" ref="D18:H18" si="1">D7/$I$7</f>
        <v>0.26854703716103112</v>
      </c>
      <c r="E18" s="812">
        <f t="shared" si="1"/>
        <v>0.24507867425510541</v>
      </c>
      <c r="F18" s="812">
        <f t="shared" si="1"/>
        <v>6.7626380984265141E-2</v>
      </c>
      <c r="G18" s="812">
        <f t="shared" si="1"/>
        <v>6.6906595246066278E-2</v>
      </c>
      <c r="H18" s="812">
        <f t="shared" si="1"/>
        <v>4.2400401740877128E-2</v>
      </c>
      <c r="I18" s="809">
        <f>SUM(C18:H18)</f>
        <v>0.99999999999999989</v>
      </c>
    </row>
    <row r="19" spans="2:9" ht="15" x14ac:dyDescent="0.2">
      <c r="B19" s="811">
        <v>44562</v>
      </c>
      <c r="C19" s="812">
        <f>C8/$I$8</f>
        <v>0.31569101384014309</v>
      </c>
      <c r="D19" s="812">
        <f t="shared" ref="D19:H19" si="2">D8/$I$8</f>
        <v>0.26731673399112649</v>
      </c>
      <c r="E19" s="812">
        <f t="shared" si="2"/>
        <v>0.23490166214158006</v>
      </c>
      <c r="F19" s="812">
        <f t="shared" si="2"/>
        <v>6.7346533342162784E-2</v>
      </c>
      <c r="G19" s="812">
        <f t="shared" si="2"/>
        <v>7.4796371101251591E-2</v>
      </c>
      <c r="H19" s="812">
        <f t="shared" si="2"/>
        <v>3.9947685583736188E-2</v>
      </c>
      <c r="I19" s="809">
        <f>SUM(C19:H19)</f>
        <v>1.0000000000000002</v>
      </c>
    </row>
    <row r="20" spans="2:9" x14ac:dyDescent="0.2">
      <c r="C20" s="809"/>
      <c r="D20" s="809"/>
      <c r="E20" s="809"/>
      <c r="F20" s="809"/>
      <c r="G20" s="809"/>
      <c r="H20" s="809"/>
      <c r="I20" s="809"/>
    </row>
    <row r="23" spans="2:9" x14ac:dyDescent="0.2">
      <c r="B23" s="805" t="s">
        <v>1247</v>
      </c>
    </row>
    <row r="24" spans="2:9" x14ac:dyDescent="0.2">
      <c r="B24" s="805" t="s">
        <v>1248</v>
      </c>
    </row>
    <row r="25" spans="2:9" x14ac:dyDescent="0.2">
      <c r="B25" s="805" t="s">
        <v>6</v>
      </c>
      <c r="C25" s="805" t="s">
        <v>1249</v>
      </c>
      <c r="D25" s="805" t="s">
        <v>1250</v>
      </c>
      <c r="E25" s="805" t="s">
        <v>1251</v>
      </c>
      <c r="F25" s="805" t="s">
        <v>1252</v>
      </c>
      <c r="G25" s="805" t="s">
        <v>1253</v>
      </c>
      <c r="H25" s="805" t="s">
        <v>1254</v>
      </c>
      <c r="I25" s="805" t="s">
        <v>7</v>
      </c>
    </row>
    <row r="26" spans="2:9" ht="15" x14ac:dyDescent="0.2">
      <c r="B26" s="811">
        <v>44197</v>
      </c>
      <c r="C26" s="813">
        <f>C18*100</f>
        <v>30.944091061265482</v>
      </c>
      <c r="D26" s="813">
        <f t="shared" ref="D26:H27" si="3">D18*100</f>
        <v>26.854703716103113</v>
      </c>
      <c r="E26" s="813">
        <f t="shared" si="3"/>
        <v>24.50786742551054</v>
      </c>
      <c r="F26" s="813">
        <f t="shared" si="3"/>
        <v>6.762638098426514</v>
      </c>
      <c r="G26" s="813">
        <f t="shared" si="3"/>
        <v>6.6906595246066276</v>
      </c>
      <c r="H26" s="813">
        <f t="shared" si="3"/>
        <v>4.2400401740877127</v>
      </c>
      <c r="I26" s="813">
        <f>SUM(C26:H26)</f>
        <v>99.999999999999986</v>
      </c>
    </row>
    <row r="27" spans="2:9" ht="15" x14ac:dyDescent="0.2">
      <c r="B27" s="811">
        <v>44562</v>
      </c>
      <c r="C27" s="813">
        <f>C19*100</f>
        <v>31.56910138401431</v>
      </c>
      <c r="D27" s="813">
        <f t="shared" si="3"/>
        <v>26.731673399112648</v>
      </c>
      <c r="E27" s="813">
        <f t="shared" si="3"/>
        <v>23.490166214158005</v>
      </c>
      <c r="F27" s="813">
        <f t="shared" si="3"/>
        <v>6.7346533342162784</v>
      </c>
      <c r="G27" s="813">
        <f t="shared" si="3"/>
        <v>7.4796371101251591</v>
      </c>
      <c r="H27" s="813">
        <f t="shared" si="3"/>
        <v>3.994768558373619</v>
      </c>
      <c r="I27" s="813">
        <f>SUM(C27:H27)</f>
        <v>100.00000000000001</v>
      </c>
    </row>
    <row r="28" spans="2:9" x14ac:dyDescent="0.2">
      <c r="C28" s="809"/>
      <c r="D28" s="809"/>
      <c r="E28" s="809"/>
      <c r="F28" s="809"/>
      <c r="G28" s="809"/>
      <c r="H28" s="809"/>
    </row>
  </sheetData>
  <mergeCells count="1">
    <mergeCell ref="C2:N2"/>
  </mergeCells>
  <hyperlinks>
    <hyperlink ref="C2" r:id="rId1" xr:uid="{FDC0C185-D2BA-458F-A53E-AF9C7213545E}"/>
  </hyperlinks>
  <pageMargins left="0.75" right="0.75" top="1" bottom="1" header="0.5" footer="0.5"/>
  <pageSetup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B68CA-89BC-4641-9616-ED7B9B57F730}">
  <dimension ref="A2:Y58"/>
  <sheetViews>
    <sheetView workbookViewId="0">
      <selection activeCell="F4" sqref="F4"/>
    </sheetView>
  </sheetViews>
  <sheetFormatPr baseColWidth="10" defaultRowHeight="15" x14ac:dyDescent="0.25"/>
  <cols>
    <col min="1" max="1" width="17.7109375" bestFit="1" customWidth="1"/>
    <col min="2" max="2" width="19.28515625" bestFit="1" customWidth="1"/>
  </cols>
  <sheetData>
    <row r="2" spans="1:25" x14ac:dyDescent="0.25">
      <c r="A2" t="s">
        <v>1233</v>
      </c>
      <c r="B2" s="814" t="s">
        <v>1262</v>
      </c>
      <c r="C2" s="814"/>
      <c r="D2" s="814"/>
      <c r="E2" s="814"/>
      <c r="F2" s="814"/>
      <c r="G2" s="814"/>
      <c r="H2" s="814"/>
      <c r="I2" s="814"/>
      <c r="J2" s="814"/>
      <c r="K2" s="814"/>
      <c r="L2" s="814"/>
      <c r="M2" s="814"/>
      <c r="N2" s="814"/>
      <c r="O2" s="814"/>
      <c r="P2" s="814"/>
      <c r="Q2" s="814"/>
      <c r="R2" s="814"/>
      <c r="S2" s="814"/>
      <c r="T2" s="814"/>
      <c r="U2" s="814"/>
      <c r="V2" s="814"/>
      <c r="W2" s="814"/>
      <c r="X2" s="814"/>
      <c r="Y2" s="814"/>
    </row>
    <row r="4" spans="1:25" x14ac:dyDescent="0.25">
      <c r="A4" t="s">
        <v>17</v>
      </c>
      <c r="B4" t="s">
        <v>18</v>
      </c>
    </row>
    <row r="5" spans="1:25" x14ac:dyDescent="0.25">
      <c r="A5">
        <v>1954</v>
      </c>
      <c r="B5">
        <v>3</v>
      </c>
    </row>
    <row r="6" spans="1:25" x14ac:dyDescent="0.25">
      <c r="A6">
        <v>1959</v>
      </c>
      <c r="B6">
        <v>2</v>
      </c>
    </row>
    <row r="7" spans="1:25" x14ac:dyDescent="0.25">
      <c r="A7">
        <v>1966</v>
      </c>
      <c r="B7">
        <v>1</v>
      </c>
    </row>
    <row r="8" spans="1:25" x14ac:dyDescent="0.25">
      <c r="A8">
        <v>1967</v>
      </c>
      <c r="B8">
        <v>1</v>
      </c>
    </row>
    <row r="9" spans="1:25" x14ac:dyDescent="0.25">
      <c r="A9">
        <v>1968</v>
      </c>
      <c r="B9">
        <v>1</v>
      </c>
    </row>
    <row r="10" spans="1:25" x14ac:dyDescent="0.25">
      <c r="A10">
        <v>1970</v>
      </c>
      <c r="B10">
        <v>1</v>
      </c>
    </row>
    <row r="11" spans="1:25" x14ac:dyDescent="0.25">
      <c r="A11">
        <v>1975</v>
      </c>
      <c r="B11">
        <v>1</v>
      </c>
    </row>
    <row r="12" spans="1:25" x14ac:dyDescent="0.25">
      <c r="A12">
        <v>1977</v>
      </c>
      <c r="B12">
        <v>5</v>
      </c>
    </row>
    <row r="13" spans="1:25" x14ac:dyDescent="0.25">
      <c r="A13">
        <v>1978</v>
      </c>
      <c r="B13">
        <v>1</v>
      </c>
    </row>
    <row r="14" spans="1:25" x14ac:dyDescent="0.25">
      <c r="A14">
        <v>1979</v>
      </c>
      <c r="B14">
        <v>1</v>
      </c>
    </row>
    <row r="15" spans="1:25" x14ac:dyDescent="0.25">
      <c r="A15">
        <v>1980</v>
      </c>
      <c r="B15">
        <v>7</v>
      </c>
    </row>
    <row r="16" spans="1:25" x14ac:dyDescent="0.25">
      <c r="A16">
        <v>1981</v>
      </c>
      <c r="B16">
        <v>8</v>
      </c>
    </row>
    <row r="17" spans="1:2" x14ac:dyDescent="0.25">
      <c r="A17">
        <v>1982</v>
      </c>
      <c r="B17">
        <v>5</v>
      </c>
    </row>
    <row r="18" spans="1:2" x14ac:dyDescent="0.25">
      <c r="A18">
        <v>1983</v>
      </c>
      <c r="B18">
        <v>5</v>
      </c>
    </row>
    <row r="19" spans="1:2" x14ac:dyDescent="0.25">
      <c r="A19">
        <v>1984</v>
      </c>
      <c r="B19">
        <v>7</v>
      </c>
    </row>
    <row r="20" spans="1:2" x14ac:dyDescent="0.25">
      <c r="A20">
        <v>1985</v>
      </c>
      <c r="B20">
        <v>5</v>
      </c>
    </row>
    <row r="21" spans="1:2" x14ac:dyDescent="0.25">
      <c r="A21">
        <v>1986</v>
      </c>
      <c r="B21">
        <v>7</v>
      </c>
    </row>
    <row r="22" spans="1:2" x14ac:dyDescent="0.25">
      <c r="A22">
        <v>1987</v>
      </c>
      <c r="B22">
        <v>6</v>
      </c>
    </row>
    <row r="23" spans="1:2" x14ac:dyDescent="0.25">
      <c r="A23">
        <v>1988</v>
      </c>
      <c r="B23">
        <v>5</v>
      </c>
    </row>
    <row r="24" spans="1:2" x14ac:dyDescent="0.25">
      <c r="A24">
        <v>1989</v>
      </c>
      <c r="B24">
        <v>8</v>
      </c>
    </row>
    <row r="25" spans="1:2" x14ac:dyDescent="0.25">
      <c r="A25">
        <v>1990</v>
      </c>
      <c r="B25">
        <v>13</v>
      </c>
    </row>
    <row r="26" spans="1:2" x14ac:dyDescent="0.25">
      <c r="A26">
        <v>1991</v>
      </c>
      <c r="B26">
        <v>10</v>
      </c>
    </row>
    <row r="27" spans="1:2" x14ac:dyDescent="0.25">
      <c r="A27">
        <v>1992</v>
      </c>
      <c r="B27">
        <v>15</v>
      </c>
    </row>
    <row r="28" spans="1:2" x14ac:dyDescent="0.25">
      <c r="A28">
        <v>1993</v>
      </c>
      <c r="B28">
        <v>9</v>
      </c>
    </row>
    <row r="29" spans="1:2" x14ac:dyDescent="0.25">
      <c r="A29">
        <v>1994</v>
      </c>
      <c r="B29">
        <v>7</v>
      </c>
    </row>
    <row r="30" spans="1:2" x14ac:dyDescent="0.25">
      <c r="A30">
        <v>1995</v>
      </c>
      <c r="B30">
        <v>20</v>
      </c>
    </row>
    <row r="31" spans="1:2" x14ac:dyDescent="0.25">
      <c r="A31">
        <v>1996</v>
      </c>
      <c r="B31">
        <v>19</v>
      </c>
    </row>
    <row r="32" spans="1:2" x14ac:dyDescent="0.25">
      <c r="A32">
        <v>1997</v>
      </c>
      <c r="B32">
        <v>9</v>
      </c>
    </row>
    <row r="33" spans="1:2" x14ac:dyDescent="0.25">
      <c r="A33">
        <v>1998</v>
      </c>
      <c r="B33">
        <v>16</v>
      </c>
    </row>
    <row r="34" spans="1:2" x14ac:dyDescent="0.25">
      <c r="A34">
        <v>1999</v>
      </c>
      <c r="B34">
        <v>14</v>
      </c>
    </row>
    <row r="35" spans="1:2" x14ac:dyDescent="0.25">
      <c r="A35">
        <v>2000</v>
      </c>
      <c r="B35">
        <v>11</v>
      </c>
    </row>
    <row r="36" spans="1:2" x14ac:dyDescent="0.25">
      <c r="A36">
        <v>2001</v>
      </c>
      <c r="B36">
        <v>27</v>
      </c>
    </row>
    <row r="37" spans="1:2" x14ac:dyDescent="0.25">
      <c r="A37">
        <v>2002</v>
      </c>
      <c r="B37">
        <v>24</v>
      </c>
    </row>
    <row r="38" spans="1:2" x14ac:dyDescent="0.25">
      <c r="A38">
        <v>2003</v>
      </c>
      <c r="B38">
        <v>41</v>
      </c>
    </row>
    <row r="39" spans="1:2" x14ac:dyDescent="0.25">
      <c r="A39">
        <v>2004</v>
      </c>
      <c r="B39">
        <v>37</v>
      </c>
    </row>
    <row r="40" spans="1:2" x14ac:dyDescent="0.25">
      <c r="A40">
        <v>2005</v>
      </c>
      <c r="B40">
        <v>38</v>
      </c>
    </row>
    <row r="41" spans="1:2" x14ac:dyDescent="0.25">
      <c r="A41">
        <v>2006</v>
      </c>
      <c r="B41">
        <v>64</v>
      </c>
    </row>
    <row r="42" spans="1:2" x14ac:dyDescent="0.25">
      <c r="A42">
        <v>2007</v>
      </c>
      <c r="B42">
        <v>70</v>
      </c>
    </row>
    <row r="43" spans="1:2" x14ac:dyDescent="0.25">
      <c r="A43">
        <v>2008</v>
      </c>
      <c r="B43">
        <v>68</v>
      </c>
    </row>
    <row r="44" spans="1:2" x14ac:dyDescent="0.25">
      <c r="A44">
        <v>2009</v>
      </c>
      <c r="B44">
        <v>78</v>
      </c>
    </row>
    <row r="45" spans="1:2" x14ac:dyDescent="0.25">
      <c r="A45">
        <v>2010</v>
      </c>
      <c r="B45">
        <v>91</v>
      </c>
    </row>
    <row r="46" spans="1:2" x14ac:dyDescent="0.25">
      <c r="A46">
        <v>2011</v>
      </c>
      <c r="B46">
        <v>97</v>
      </c>
    </row>
    <row r="47" spans="1:2" x14ac:dyDescent="0.25">
      <c r="A47">
        <v>2012</v>
      </c>
      <c r="B47">
        <v>109</v>
      </c>
    </row>
    <row r="48" spans="1:2" x14ac:dyDescent="0.25">
      <c r="A48">
        <v>2013</v>
      </c>
      <c r="B48">
        <v>144</v>
      </c>
    </row>
    <row r="49" spans="1:2" x14ac:dyDescent="0.25">
      <c r="A49">
        <v>2014</v>
      </c>
      <c r="B49">
        <v>162</v>
      </c>
    </row>
    <row r="50" spans="1:2" x14ac:dyDescent="0.25">
      <c r="A50">
        <v>2015</v>
      </c>
      <c r="B50">
        <v>192</v>
      </c>
    </row>
    <row r="51" spans="1:2" x14ac:dyDescent="0.25">
      <c r="A51">
        <v>2016</v>
      </c>
      <c r="B51">
        <v>224</v>
      </c>
    </row>
    <row r="52" spans="1:2" x14ac:dyDescent="0.25">
      <c r="A52">
        <v>2017</v>
      </c>
      <c r="B52">
        <v>267</v>
      </c>
    </row>
    <row r="53" spans="1:2" x14ac:dyDescent="0.25">
      <c r="A53">
        <v>2018</v>
      </c>
      <c r="B53">
        <v>304</v>
      </c>
    </row>
    <row r="54" spans="1:2" x14ac:dyDescent="0.25">
      <c r="A54">
        <v>2019</v>
      </c>
      <c r="B54">
        <v>453</v>
      </c>
    </row>
    <row r="55" spans="1:2" x14ac:dyDescent="0.25">
      <c r="A55">
        <v>2020</v>
      </c>
      <c r="B55">
        <v>770</v>
      </c>
    </row>
    <row r="56" spans="1:2" x14ac:dyDescent="0.25">
      <c r="A56">
        <v>2021</v>
      </c>
      <c r="B56">
        <v>1244</v>
      </c>
    </row>
    <row r="57" spans="1:2" x14ac:dyDescent="0.25">
      <c r="A57">
        <v>2022</v>
      </c>
      <c r="B57">
        <v>2081</v>
      </c>
    </row>
    <row r="58" spans="1:2" x14ac:dyDescent="0.25">
      <c r="A58">
        <v>2023</v>
      </c>
      <c r="B58">
        <v>2992</v>
      </c>
    </row>
  </sheetData>
  <mergeCells count="1">
    <mergeCell ref="B2:Y2"/>
  </mergeCells>
  <hyperlinks>
    <hyperlink ref="B2" r:id="rId1" display="https://www.lens.org/lens/search/scholar/analysis?q=(%22green%20hydrogen%22)%20OR%20(%22clean%20hydrogen%22)%20OR%20(%22renewable%20hydrogen%22)%20OR%20(%22low-carbon%20hydrogen%22)%20OR%20(renewable%20liquid%20and%20gaseous%20fuels%20of%20non-biologic%20origin)" xr:uid="{EFCEDD8B-D441-4569-B019-7AD6124822C6}"/>
  </hyperlinks>
  <pageMargins left="0.7" right="0.7" top="0.78740157499999996" bottom="0.78740157499999996"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978C-D215-4AF1-8338-4F83608D733D}">
  <dimension ref="A2:AA53"/>
  <sheetViews>
    <sheetView workbookViewId="0">
      <selection activeCell="B53" sqref="B53"/>
    </sheetView>
  </sheetViews>
  <sheetFormatPr baseColWidth="10" defaultRowHeight="15" x14ac:dyDescent="0.25"/>
  <cols>
    <col min="1" max="1" width="17.7109375" bestFit="1" customWidth="1"/>
    <col min="2" max="2" width="15.85546875" bestFit="1" customWidth="1"/>
  </cols>
  <sheetData>
    <row r="2" spans="1:27" x14ac:dyDescent="0.25">
      <c r="A2" t="s">
        <v>1233</v>
      </c>
      <c r="B2" s="814" t="s">
        <v>1261</v>
      </c>
      <c r="C2" s="814"/>
      <c r="D2" s="814"/>
      <c r="E2" s="814"/>
      <c r="F2" s="814"/>
      <c r="G2" s="814"/>
      <c r="H2" s="814"/>
      <c r="I2" s="814"/>
      <c r="J2" s="814"/>
      <c r="K2" s="814"/>
      <c r="L2" s="814"/>
      <c r="M2" s="814"/>
      <c r="N2" s="814"/>
      <c r="O2" s="814"/>
      <c r="P2" s="814"/>
      <c r="Q2" s="814"/>
      <c r="R2" s="814"/>
      <c r="S2" s="814"/>
      <c r="T2" s="814"/>
      <c r="U2" s="814"/>
      <c r="V2" s="814"/>
      <c r="W2" s="814"/>
      <c r="X2" s="814"/>
      <c r="Y2" s="814"/>
      <c r="Z2" s="814"/>
      <c r="AA2" s="814"/>
    </row>
    <row r="4" spans="1:27" x14ac:dyDescent="0.25">
      <c r="A4" t="s">
        <v>17</v>
      </c>
      <c r="B4" t="s">
        <v>18</v>
      </c>
    </row>
    <row r="5" spans="1:27" x14ac:dyDescent="0.25">
      <c r="A5">
        <v>1957</v>
      </c>
      <c r="B5">
        <v>1</v>
      </c>
    </row>
    <row r="6" spans="1:27" x14ac:dyDescent="0.25">
      <c r="A6">
        <v>1976</v>
      </c>
      <c r="B6">
        <v>2</v>
      </c>
    </row>
    <row r="7" spans="1:27" x14ac:dyDescent="0.25">
      <c r="A7">
        <v>1977</v>
      </c>
      <c r="B7">
        <v>2</v>
      </c>
    </row>
    <row r="8" spans="1:27" x14ac:dyDescent="0.25">
      <c r="A8">
        <v>1978</v>
      </c>
      <c r="B8">
        <v>1</v>
      </c>
    </row>
    <row r="9" spans="1:27" x14ac:dyDescent="0.25">
      <c r="A9">
        <v>1979</v>
      </c>
      <c r="B9">
        <v>4</v>
      </c>
    </row>
    <row r="10" spans="1:27" x14ac:dyDescent="0.25">
      <c r="A10">
        <v>1980</v>
      </c>
      <c r="B10">
        <v>1</v>
      </c>
    </row>
    <row r="11" spans="1:27" x14ac:dyDescent="0.25">
      <c r="A11">
        <v>1981</v>
      </c>
      <c r="B11">
        <v>4</v>
      </c>
    </row>
    <row r="12" spans="1:27" x14ac:dyDescent="0.25">
      <c r="A12">
        <v>1982</v>
      </c>
      <c r="B12">
        <v>4</v>
      </c>
    </row>
    <row r="13" spans="1:27" x14ac:dyDescent="0.25">
      <c r="A13">
        <v>1983</v>
      </c>
      <c r="B13">
        <v>5</v>
      </c>
    </row>
    <row r="14" spans="1:27" x14ac:dyDescent="0.25">
      <c r="A14">
        <v>1984</v>
      </c>
      <c r="B14">
        <v>2</v>
      </c>
    </row>
    <row r="15" spans="1:27" x14ac:dyDescent="0.25">
      <c r="A15">
        <v>1985</v>
      </c>
      <c r="B15">
        <v>1</v>
      </c>
    </row>
    <row r="16" spans="1:27" x14ac:dyDescent="0.25">
      <c r="A16">
        <v>1986</v>
      </c>
      <c r="B16">
        <v>3</v>
      </c>
    </row>
    <row r="17" spans="1:2" x14ac:dyDescent="0.25">
      <c r="A17">
        <v>1987</v>
      </c>
      <c r="B17">
        <v>5</v>
      </c>
    </row>
    <row r="18" spans="1:2" x14ac:dyDescent="0.25">
      <c r="A18">
        <v>1988</v>
      </c>
      <c r="B18">
        <v>9</v>
      </c>
    </row>
    <row r="19" spans="1:2" x14ac:dyDescent="0.25">
      <c r="A19">
        <v>1989</v>
      </c>
      <c r="B19">
        <v>6</v>
      </c>
    </row>
    <row r="20" spans="1:2" x14ac:dyDescent="0.25">
      <c r="A20">
        <v>1990</v>
      </c>
      <c r="B20">
        <v>3</v>
      </c>
    </row>
    <row r="21" spans="1:2" x14ac:dyDescent="0.25">
      <c r="A21">
        <v>1991</v>
      </c>
      <c r="B21">
        <v>8</v>
      </c>
    </row>
    <row r="22" spans="1:2" x14ac:dyDescent="0.25">
      <c r="A22">
        <v>1992</v>
      </c>
      <c r="B22">
        <v>15</v>
      </c>
    </row>
    <row r="23" spans="1:2" x14ac:dyDescent="0.25">
      <c r="A23">
        <v>1993</v>
      </c>
      <c r="B23">
        <v>8</v>
      </c>
    </row>
    <row r="24" spans="1:2" x14ac:dyDescent="0.25">
      <c r="A24">
        <v>1994</v>
      </c>
      <c r="B24">
        <v>14</v>
      </c>
    </row>
    <row r="25" spans="1:2" x14ac:dyDescent="0.25">
      <c r="A25">
        <v>1995</v>
      </c>
      <c r="B25">
        <v>14</v>
      </c>
    </row>
    <row r="26" spans="1:2" x14ac:dyDescent="0.25">
      <c r="A26">
        <v>1996</v>
      </c>
      <c r="B26">
        <v>14</v>
      </c>
    </row>
    <row r="27" spans="1:2" x14ac:dyDescent="0.25">
      <c r="A27">
        <v>1997</v>
      </c>
      <c r="B27">
        <v>9</v>
      </c>
    </row>
    <row r="28" spans="1:2" x14ac:dyDescent="0.25">
      <c r="A28">
        <v>1998</v>
      </c>
      <c r="B28">
        <v>17</v>
      </c>
    </row>
    <row r="29" spans="1:2" x14ac:dyDescent="0.25">
      <c r="A29">
        <v>1999</v>
      </c>
      <c r="B29">
        <v>34</v>
      </c>
    </row>
    <row r="30" spans="1:2" x14ac:dyDescent="0.25">
      <c r="A30">
        <v>2000</v>
      </c>
      <c r="B30">
        <v>29</v>
      </c>
    </row>
    <row r="31" spans="1:2" x14ac:dyDescent="0.25">
      <c r="A31">
        <v>2001</v>
      </c>
      <c r="B31">
        <v>35</v>
      </c>
    </row>
    <row r="32" spans="1:2" x14ac:dyDescent="0.25">
      <c r="A32">
        <v>2002</v>
      </c>
      <c r="B32">
        <v>43</v>
      </c>
    </row>
    <row r="33" spans="1:2" x14ac:dyDescent="0.25">
      <c r="A33">
        <v>2003</v>
      </c>
      <c r="B33">
        <v>43</v>
      </c>
    </row>
    <row r="34" spans="1:2" x14ac:dyDescent="0.25">
      <c r="A34">
        <v>2004</v>
      </c>
      <c r="B34">
        <v>42</v>
      </c>
    </row>
    <row r="35" spans="1:2" x14ac:dyDescent="0.25">
      <c r="A35">
        <v>2005</v>
      </c>
      <c r="B35">
        <v>58</v>
      </c>
    </row>
    <row r="36" spans="1:2" x14ac:dyDescent="0.25">
      <c r="A36">
        <v>2006</v>
      </c>
      <c r="B36">
        <v>88</v>
      </c>
    </row>
    <row r="37" spans="1:2" x14ac:dyDescent="0.25">
      <c r="A37">
        <v>2007</v>
      </c>
      <c r="B37">
        <v>75</v>
      </c>
    </row>
    <row r="38" spans="1:2" x14ac:dyDescent="0.25">
      <c r="A38">
        <v>2008</v>
      </c>
      <c r="B38">
        <v>112</v>
      </c>
    </row>
    <row r="39" spans="1:2" x14ac:dyDescent="0.25">
      <c r="A39">
        <v>2009</v>
      </c>
      <c r="B39">
        <v>233</v>
      </c>
    </row>
    <row r="40" spans="1:2" x14ac:dyDescent="0.25">
      <c r="A40">
        <v>2010</v>
      </c>
      <c r="B40">
        <v>287</v>
      </c>
    </row>
    <row r="41" spans="1:2" x14ac:dyDescent="0.25">
      <c r="A41">
        <v>2011</v>
      </c>
      <c r="B41">
        <v>387</v>
      </c>
    </row>
    <row r="42" spans="1:2" x14ac:dyDescent="0.25">
      <c r="A42">
        <v>2012</v>
      </c>
      <c r="B42">
        <v>416</v>
      </c>
    </row>
    <row r="43" spans="1:2" x14ac:dyDescent="0.25">
      <c r="A43">
        <v>2013</v>
      </c>
      <c r="B43">
        <v>501</v>
      </c>
    </row>
    <row r="44" spans="1:2" x14ac:dyDescent="0.25">
      <c r="A44">
        <v>2014</v>
      </c>
      <c r="B44">
        <v>517</v>
      </c>
    </row>
    <row r="45" spans="1:2" x14ac:dyDescent="0.25">
      <c r="A45">
        <v>2015</v>
      </c>
      <c r="B45">
        <v>486</v>
      </c>
    </row>
    <row r="46" spans="1:2" x14ac:dyDescent="0.25">
      <c r="A46">
        <v>2016</v>
      </c>
      <c r="B46">
        <v>493</v>
      </c>
    </row>
    <row r="47" spans="1:2" x14ac:dyDescent="0.25">
      <c r="A47">
        <v>2017</v>
      </c>
      <c r="B47">
        <v>411</v>
      </c>
    </row>
    <row r="48" spans="1:2" x14ac:dyDescent="0.25">
      <c r="A48">
        <v>2018</v>
      </c>
      <c r="B48">
        <v>429</v>
      </c>
    </row>
    <row r="49" spans="1:2" x14ac:dyDescent="0.25">
      <c r="A49">
        <v>2019</v>
      </c>
      <c r="B49">
        <v>399</v>
      </c>
    </row>
    <row r="50" spans="1:2" x14ac:dyDescent="0.25">
      <c r="A50">
        <v>2020</v>
      </c>
      <c r="B50">
        <v>376</v>
      </c>
    </row>
    <row r="51" spans="1:2" x14ac:dyDescent="0.25">
      <c r="A51">
        <v>2021</v>
      </c>
      <c r="B51">
        <v>494</v>
      </c>
    </row>
    <row r="52" spans="1:2" x14ac:dyDescent="0.25">
      <c r="A52">
        <v>2022</v>
      </c>
      <c r="B52">
        <v>739</v>
      </c>
    </row>
    <row r="53" spans="1:2" x14ac:dyDescent="0.25">
      <c r="A53">
        <v>2023</v>
      </c>
      <c r="B53">
        <v>1124</v>
      </c>
    </row>
  </sheetData>
  <mergeCells count="1">
    <mergeCell ref="B2:AA2"/>
  </mergeCells>
  <hyperlinks>
    <hyperlink ref="B2" r:id="rId1" display="https://www.lens.org/lens/search/patent/list?q=(%22green%20hydrogen%22)%20OR%20(%22clean%20hydrogen%22)%20OR%20(%22renewable%20hydrogen%22)%20OR%20(%22low-carbon%20hydrogen%22)%20OR%20(renewable%20liquid%20and%20gaseous%20fuels%20of%20non-biologic%20origin)&amp;f=false&amp;e=false&amp;l=en " xr:uid="{4C75E77B-150B-4911-B5C7-55E8CB8DE8A7}"/>
  </hyperlinks>
  <pageMargins left="0.7" right="0.7" top="0.78740157499999996" bottom="0.78740157499999996"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C541-C07C-4AF4-BDF8-6C5770A15F28}">
  <sheetPr>
    <pageSetUpPr fitToPage="1"/>
  </sheetPr>
  <dimension ref="B1:AP206"/>
  <sheetViews>
    <sheetView zoomScale="70" zoomScaleNormal="70" workbookViewId="0">
      <pane ySplit="2" topLeftCell="A3" activePane="bottomLeft" state="frozen"/>
      <selection pane="bottomLeft" activeCell="AI1" sqref="AI1"/>
    </sheetView>
  </sheetViews>
  <sheetFormatPr baseColWidth="10" defaultColWidth="9.140625" defaultRowHeight="15" outlineLevelCol="1" x14ac:dyDescent="0.25"/>
  <cols>
    <col min="2" max="2" width="6.7109375" customWidth="1"/>
    <col min="3" max="3" width="23.7109375" bestFit="1" customWidth="1"/>
    <col min="4" max="5" width="16.7109375" customWidth="1"/>
    <col min="6" max="6" width="19" customWidth="1"/>
    <col min="7" max="7" width="3.42578125" customWidth="1"/>
    <col min="8" max="8" width="6.7109375" customWidth="1"/>
    <col min="9" max="9" width="24.85546875" customWidth="1"/>
    <col min="10" max="11" width="16.7109375" customWidth="1"/>
    <col min="12" max="12" width="19" customWidth="1"/>
    <col min="13" max="13" width="3.42578125" customWidth="1"/>
    <col min="14" max="14" width="6.7109375" customWidth="1"/>
    <col min="15" max="15" width="21.28515625" customWidth="1"/>
    <col min="16" max="17" width="16.7109375" customWidth="1"/>
    <col min="18" max="18" width="19" customWidth="1"/>
    <col min="19" max="19" width="5" customWidth="1"/>
    <col min="20" max="20" width="4.7109375" hidden="1" customWidth="1" outlineLevel="1"/>
    <col min="21" max="21" width="11.5703125" hidden="1" customWidth="1" outlineLevel="1"/>
    <col min="22" max="22" width="24" hidden="1" customWidth="1" outlineLevel="1"/>
    <col min="23" max="23" width="20.42578125" hidden="1" customWidth="1" outlineLevel="1"/>
    <col min="24" max="24" width="15.5703125" hidden="1" customWidth="1" outlineLevel="1"/>
    <col min="25" max="25" width="30.28515625" hidden="1" customWidth="1" outlineLevel="1"/>
    <col min="26" max="27" width="9.140625" hidden="1" customWidth="1" outlineLevel="1"/>
    <col min="28" max="28" width="6.5703125" hidden="1" customWidth="1" outlineLevel="1"/>
    <col min="29" max="29" width="5" hidden="1" customWidth="1" outlineLevel="1"/>
    <col min="30" max="30" width="12.7109375" hidden="1" customWidth="1" outlineLevel="1"/>
    <col min="31" max="31" width="4.7109375" hidden="1" customWidth="1" outlineLevel="1"/>
    <col min="32" max="32" width="4" customWidth="1" collapsed="1"/>
    <col min="33" max="33" width="17.140625" customWidth="1"/>
    <col min="34" max="34" width="25.28515625" bestFit="1" customWidth="1"/>
    <col min="35" max="35" width="38.28515625" customWidth="1"/>
    <col min="36" max="36" width="11.5703125" bestFit="1" customWidth="1"/>
    <col min="37" max="37" width="8.140625" bestFit="1" customWidth="1"/>
    <col min="38" max="38" width="11.28515625" bestFit="1" customWidth="1"/>
    <col min="39" max="39" width="17.85546875" bestFit="1" customWidth="1"/>
  </cols>
  <sheetData>
    <row r="1" spans="2:42" ht="15.75" thickBot="1" x14ac:dyDescent="0.3">
      <c r="T1" s="381"/>
      <c r="U1" s="37"/>
      <c r="V1" s="37"/>
      <c r="W1" s="37"/>
      <c r="X1" s="37"/>
      <c r="Y1" s="37"/>
      <c r="Z1" s="37"/>
      <c r="AA1" s="37"/>
      <c r="AB1" s="37"/>
      <c r="AC1" s="37"/>
      <c r="AD1" s="37"/>
      <c r="AE1" s="382"/>
      <c r="AI1" t="s">
        <v>815</v>
      </c>
    </row>
    <row r="2" spans="2:42" ht="33" customHeight="1" thickBot="1" x14ac:dyDescent="0.3">
      <c r="B2" s="396" t="s">
        <v>146</v>
      </c>
      <c r="C2" s="397" t="s">
        <v>3</v>
      </c>
      <c r="D2" s="398" t="s">
        <v>809</v>
      </c>
      <c r="E2" s="399" t="s">
        <v>811</v>
      </c>
      <c r="F2" s="400" t="s">
        <v>818</v>
      </c>
      <c r="H2" s="618" t="s">
        <v>146</v>
      </c>
      <c r="I2" s="619" t="s">
        <v>3</v>
      </c>
      <c r="J2" s="399" t="s">
        <v>809</v>
      </c>
      <c r="K2" s="399" t="s">
        <v>811</v>
      </c>
      <c r="L2" s="400" t="s">
        <v>818</v>
      </c>
      <c r="N2" s="396" t="s">
        <v>146</v>
      </c>
      <c r="O2" s="397" t="s">
        <v>3</v>
      </c>
      <c r="P2" s="399" t="s">
        <v>809</v>
      </c>
      <c r="Q2" s="399" t="s">
        <v>811</v>
      </c>
      <c r="R2" s="400" t="s">
        <v>818</v>
      </c>
      <c r="T2" s="383"/>
      <c r="U2" s="384" t="s">
        <v>147</v>
      </c>
      <c r="AE2" s="385"/>
      <c r="AG2" t="s">
        <v>810</v>
      </c>
      <c r="AH2" t="s">
        <v>768</v>
      </c>
      <c r="AI2" t="s">
        <v>556</v>
      </c>
      <c r="AJ2" t="s">
        <v>557</v>
      </c>
      <c r="AK2" t="s">
        <v>558</v>
      </c>
      <c r="AL2" t="s">
        <v>559</v>
      </c>
      <c r="AM2" t="s">
        <v>767</v>
      </c>
      <c r="AP2" t="s">
        <v>808</v>
      </c>
    </row>
    <row r="3" spans="2:42" x14ac:dyDescent="0.25">
      <c r="B3" s="543">
        <v>182</v>
      </c>
      <c r="C3" s="84" t="s">
        <v>153</v>
      </c>
      <c r="D3" s="48">
        <v>0</v>
      </c>
      <c r="E3" s="395" t="str">
        <f t="shared" ref="E3:E34" si="0">IFERROR(VLOOKUP(C3,$AH$3:$AM$203,6,FALSE),"not assigned")</f>
        <v>not assigned</v>
      </c>
      <c r="F3" s="617" t="s">
        <v>65</v>
      </c>
      <c r="G3" s="422"/>
      <c r="H3" s="543">
        <v>124</v>
      </c>
      <c r="I3" s="84" t="s">
        <v>339</v>
      </c>
      <c r="J3" s="48">
        <v>0.57235585871658157</v>
      </c>
      <c r="K3" s="403">
        <f>IFERROR(VLOOKUP(I3,$AH$3:$AM$203,6,FALSE),"not assigned")</f>
        <v>97338580</v>
      </c>
      <c r="L3" s="404">
        <f>IFERROR(K3*J3, "-")</f>
        <v>55712306.542152673</v>
      </c>
      <c r="N3" s="543">
        <v>62</v>
      </c>
      <c r="O3" s="84" t="s">
        <v>284</v>
      </c>
      <c r="P3" s="48">
        <v>1.8304642625796104</v>
      </c>
      <c r="Q3" s="403">
        <f>IFERROR(VLOOKUP(O3,$AH$3:$AM$203,6,FALSE),"not assigned")</f>
        <v>1271770</v>
      </c>
      <c r="R3" s="404">
        <f>IFERROR(Q3*P3, "-")</f>
        <v>2327929.5352208712</v>
      </c>
      <c r="T3" s="383"/>
      <c r="U3" s="815" t="s">
        <v>148</v>
      </c>
      <c r="V3" s="816"/>
      <c r="W3" s="819" t="s">
        <v>149</v>
      </c>
      <c r="X3" s="821" t="s">
        <v>150</v>
      </c>
      <c r="Y3" s="823" t="s">
        <v>151</v>
      </c>
      <c r="AE3" s="385"/>
      <c r="AG3" s="22" t="s">
        <v>153</v>
      </c>
      <c r="AH3" s="22" t="s">
        <v>305</v>
      </c>
      <c r="AI3" t="s">
        <v>305</v>
      </c>
      <c r="AJ3" t="s">
        <v>560</v>
      </c>
      <c r="AK3" t="s">
        <v>561</v>
      </c>
      <c r="AL3" t="s">
        <v>562</v>
      </c>
      <c r="AM3" s="390">
        <v>38928350</v>
      </c>
      <c r="AP3" s="22" t="s">
        <v>305</v>
      </c>
    </row>
    <row r="4" spans="2:42" x14ac:dyDescent="0.25">
      <c r="B4" s="542">
        <v>182</v>
      </c>
      <c r="C4" s="22" t="s">
        <v>167</v>
      </c>
      <c r="D4" s="53">
        <v>0</v>
      </c>
      <c r="E4" s="401">
        <f t="shared" si="0"/>
        <v>11326620</v>
      </c>
      <c r="F4" s="616" t="s">
        <v>65</v>
      </c>
      <c r="G4" s="422"/>
      <c r="H4" s="542">
        <v>123</v>
      </c>
      <c r="I4" s="22" t="s">
        <v>237</v>
      </c>
      <c r="J4" s="53">
        <v>0.58462446322857509</v>
      </c>
      <c r="K4" s="401">
        <f t="shared" ref="K4:K64" si="1">IFERROR(VLOOKUP(I4,$AH$3:$AM$203,6,FALSE),"not assigned")</f>
        <v>33469199.999999996</v>
      </c>
      <c r="L4" s="405">
        <f t="shared" ref="L4:L64" si="2">IFERROR(K4*J4, "-")</f>
        <v>19566913.084689822</v>
      </c>
      <c r="N4" s="542">
        <v>61</v>
      </c>
      <c r="O4" s="22" t="s">
        <v>187</v>
      </c>
      <c r="P4" s="53">
        <v>1.906438862694156</v>
      </c>
      <c r="Q4" s="401">
        <f t="shared" ref="Q4:Q65" si="3">IFERROR(VLOOKUP(O4,$AH$3:$AM$203,6,FALSE),"not assigned")</f>
        <v>3473730</v>
      </c>
      <c r="R4" s="405">
        <f t="shared" ref="R4:R65" si="4">IFERROR(Q4*P4, "-")</f>
        <v>6622453.8705065707</v>
      </c>
      <c r="T4" s="383"/>
      <c r="U4" s="815"/>
      <c r="V4" s="816"/>
      <c r="W4" s="820"/>
      <c r="X4" s="822"/>
      <c r="Y4" s="824"/>
      <c r="AD4" s="384" t="s">
        <v>152</v>
      </c>
      <c r="AE4" s="385"/>
      <c r="AG4" s="22" t="s">
        <v>314</v>
      </c>
      <c r="AH4" s="22" t="s">
        <v>189</v>
      </c>
      <c r="AI4" t="s">
        <v>189</v>
      </c>
      <c r="AJ4" t="s">
        <v>560</v>
      </c>
      <c r="AK4" t="s">
        <v>561</v>
      </c>
      <c r="AL4" t="s">
        <v>563</v>
      </c>
      <c r="AM4" s="390">
        <v>2877800</v>
      </c>
      <c r="AP4" s="22" t="s">
        <v>189</v>
      </c>
    </row>
    <row r="5" spans="2:42" x14ac:dyDescent="0.25">
      <c r="B5" s="542">
        <v>182</v>
      </c>
      <c r="C5" s="22" t="s">
        <v>246</v>
      </c>
      <c r="D5" s="53">
        <v>0</v>
      </c>
      <c r="E5" s="401">
        <f t="shared" si="0"/>
        <v>5101410</v>
      </c>
      <c r="F5" s="616" t="s">
        <v>65</v>
      </c>
      <c r="G5" s="422"/>
      <c r="H5" s="542">
        <v>122</v>
      </c>
      <c r="I5" s="22" t="s">
        <v>259</v>
      </c>
      <c r="J5" s="53">
        <v>0.5919209155117755</v>
      </c>
      <c r="K5" s="401">
        <f t="shared" si="1"/>
        <v>555990</v>
      </c>
      <c r="L5" s="405">
        <f t="shared" si="2"/>
        <v>329102.10981539206</v>
      </c>
      <c r="N5" s="542">
        <v>60</v>
      </c>
      <c r="O5" s="22" t="s">
        <v>155</v>
      </c>
      <c r="P5" s="53">
        <v>1.9774647925281739</v>
      </c>
      <c r="Q5" s="401">
        <f t="shared" si="3"/>
        <v>128932750</v>
      </c>
      <c r="R5" s="405">
        <f t="shared" si="4"/>
        <v>254959973.72883689</v>
      </c>
      <c r="T5" s="383"/>
      <c r="U5" s="815"/>
      <c r="V5" s="816"/>
      <c r="W5" s="825">
        <f>'[1]Income data'!C2</f>
        <v>2016</v>
      </c>
      <c r="X5" s="825">
        <f>W5</f>
        <v>2016</v>
      </c>
      <c r="Y5" s="825">
        <f>X5</f>
        <v>2016</v>
      </c>
      <c r="AB5" s="15">
        <v>2010</v>
      </c>
      <c r="AC5" s="15">
        <v>2010</v>
      </c>
      <c r="AE5" s="385"/>
      <c r="AG5" s="22" t="s">
        <v>334</v>
      </c>
      <c r="AH5" s="22" t="s">
        <v>252</v>
      </c>
      <c r="AI5" t="s">
        <v>252</v>
      </c>
      <c r="AJ5" t="s">
        <v>560</v>
      </c>
      <c r="AK5" t="s">
        <v>561</v>
      </c>
      <c r="AL5" t="s">
        <v>564</v>
      </c>
      <c r="AM5" s="390">
        <v>43851040</v>
      </c>
      <c r="AP5" s="22" t="s">
        <v>252</v>
      </c>
    </row>
    <row r="6" spans="2:42" x14ac:dyDescent="0.25">
      <c r="B6" s="542">
        <v>182</v>
      </c>
      <c r="C6" s="22" t="s">
        <v>295</v>
      </c>
      <c r="D6" s="53">
        <v>0</v>
      </c>
      <c r="E6" s="401">
        <f t="shared" si="0"/>
        <v>15893220</v>
      </c>
      <c r="F6" s="616" t="s">
        <v>65</v>
      </c>
      <c r="G6" s="422"/>
      <c r="H6" s="542">
        <v>121</v>
      </c>
      <c r="I6" s="22" t="s">
        <v>315</v>
      </c>
      <c r="J6" s="53">
        <v>0.59647613015605072</v>
      </c>
      <c r="K6" s="401">
        <f t="shared" si="1"/>
        <v>1380004390</v>
      </c>
      <c r="L6" s="405">
        <f t="shared" si="2"/>
        <v>823139678.14556134</v>
      </c>
      <c r="N6" s="542">
        <v>59</v>
      </c>
      <c r="O6" s="22" t="s">
        <v>214</v>
      </c>
      <c r="P6" s="53">
        <v>1.9914935952862383</v>
      </c>
      <c r="Q6" s="401">
        <f t="shared" si="3"/>
        <v>19237690</v>
      </c>
      <c r="R6" s="405">
        <f t="shared" si="4"/>
        <v>38311736.423102111</v>
      </c>
      <c r="T6" s="383"/>
      <c r="U6" s="815"/>
      <c r="V6" s="816"/>
      <c r="W6" s="826"/>
      <c r="X6" s="826"/>
      <c r="Y6" s="826"/>
      <c r="AB6" s="140"/>
      <c r="AC6" s="140"/>
      <c r="AE6" s="385"/>
      <c r="AI6" t="s">
        <v>762</v>
      </c>
      <c r="AJ6" t="s">
        <v>560</v>
      </c>
      <c r="AK6" t="s">
        <v>561</v>
      </c>
      <c r="AL6" t="s">
        <v>565</v>
      </c>
      <c r="AM6" s="390">
        <v>77270</v>
      </c>
      <c r="AP6" s="22" t="s">
        <v>253</v>
      </c>
    </row>
    <row r="7" spans="2:42" x14ac:dyDescent="0.25">
      <c r="B7" s="542">
        <v>182</v>
      </c>
      <c r="C7" s="22" t="s">
        <v>319</v>
      </c>
      <c r="D7" s="53">
        <v>0</v>
      </c>
      <c r="E7" s="401">
        <f t="shared" si="0"/>
        <v>25778820</v>
      </c>
      <c r="F7" s="616" t="s">
        <v>65</v>
      </c>
      <c r="G7" s="422"/>
      <c r="H7" s="542">
        <v>120</v>
      </c>
      <c r="I7" s="22" t="s">
        <v>253</v>
      </c>
      <c r="J7" s="53">
        <v>0.60567869739339208</v>
      </c>
      <c r="K7" s="401">
        <f t="shared" si="1"/>
        <v>32866269.999999996</v>
      </c>
      <c r="L7" s="405">
        <f t="shared" si="2"/>
        <v>19906399.601779517</v>
      </c>
      <c r="N7" s="542">
        <v>58</v>
      </c>
      <c r="O7" s="22" t="s">
        <v>194</v>
      </c>
      <c r="P7" s="53">
        <v>2.0438554846540726</v>
      </c>
      <c r="Q7" s="401">
        <f t="shared" si="3"/>
        <v>4105270.0000000005</v>
      </c>
      <c r="R7" s="405">
        <f t="shared" si="4"/>
        <v>8390578.6054858249</v>
      </c>
      <c r="T7" s="383"/>
      <c r="U7" s="817"/>
      <c r="V7" s="818"/>
      <c r="W7" s="827"/>
      <c r="X7" s="827"/>
      <c r="Y7" s="827"/>
      <c r="Z7" s="140"/>
      <c r="AA7" s="140"/>
      <c r="AD7" s="140"/>
      <c r="AE7" s="385"/>
      <c r="AH7" s="22" t="s">
        <v>253</v>
      </c>
      <c r="AI7" t="s">
        <v>253</v>
      </c>
      <c r="AJ7" t="s">
        <v>560</v>
      </c>
      <c r="AK7" t="s">
        <v>561</v>
      </c>
      <c r="AL7" t="s">
        <v>566</v>
      </c>
      <c r="AM7" s="390">
        <v>32866269.999999996</v>
      </c>
      <c r="AP7" s="22" t="s">
        <v>157</v>
      </c>
    </row>
    <row r="8" spans="2:42" x14ac:dyDescent="0.25">
      <c r="B8" s="542">
        <v>181</v>
      </c>
      <c r="C8" s="22" t="s">
        <v>260</v>
      </c>
      <c r="D8" s="53">
        <v>5.8076313466479623E-2</v>
      </c>
      <c r="E8" s="401">
        <f t="shared" si="0"/>
        <v>4829770</v>
      </c>
      <c r="F8" s="405">
        <f t="shared" ref="F8:F64" si="5">IFERROR(E8*D8, "-")</f>
        <v>280495.23649099929</v>
      </c>
      <c r="G8" s="422"/>
      <c r="H8" s="542">
        <v>119</v>
      </c>
      <c r="I8" s="22" t="s">
        <v>321</v>
      </c>
      <c r="J8" s="53">
        <v>0.61222949169256846</v>
      </c>
      <c r="K8" s="401">
        <f t="shared" si="1"/>
        <v>7275560</v>
      </c>
      <c r="L8" s="405">
        <f t="shared" si="2"/>
        <v>4454312.4005787838</v>
      </c>
      <c r="N8" s="542">
        <v>57</v>
      </c>
      <c r="O8" s="22" t="s">
        <v>179</v>
      </c>
      <c r="P8" s="53">
        <v>2.0485435597254726</v>
      </c>
      <c r="Q8" s="401">
        <f t="shared" si="3"/>
        <v>4314770</v>
      </c>
      <c r="R8" s="405">
        <f t="shared" si="4"/>
        <v>8838994.2951966785</v>
      </c>
      <c r="T8" s="383"/>
      <c r="U8" s="141"/>
      <c r="V8" s="142"/>
      <c r="W8" s="143"/>
      <c r="X8" s="143"/>
      <c r="Y8" s="143"/>
      <c r="AE8" s="385"/>
      <c r="AH8" s="22" t="s">
        <v>157</v>
      </c>
      <c r="AI8" t="s">
        <v>157</v>
      </c>
      <c r="AJ8" t="s">
        <v>560</v>
      </c>
      <c r="AK8" t="s">
        <v>561</v>
      </c>
      <c r="AL8" t="s">
        <v>567</v>
      </c>
      <c r="AM8" s="390">
        <v>97930</v>
      </c>
      <c r="AP8" s="22" t="s">
        <v>158</v>
      </c>
    </row>
    <row r="9" spans="2:42" x14ac:dyDescent="0.25">
      <c r="B9" s="542">
        <v>180</v>
      </c>
      <c r="C9" s="22" t="s">
        <v>263</v>
      </c>
      <c r="D9" s="53">
        <v>6.8867502900185201E-2</v>
      </c>
      <c r="E9" s="401">
        <f t="shared" si="0"/>
        <v>5518090</v>
      </c>
      <c r="F9" s="405">
        <f t="shared" si="5"/>
        <v>380017.07907848293</v>
      </c>
      <c r="G9" s="422"/>
      <c r="H9" s="542">
        <v>118</v>
      </c>
      <c r="I9" s="22" t="s">
        <v>264</v>
      </c>
      <c r="J9" s="53">
        <v>0.62480061877336723</v>
      </c>
      <c r="K9" s="401">
        <f t="shared" si="1"/>
        <v>89561400</v>
      </c>
      <c r="L9" s="405">
        <f t="shared" si="2"/>
        <v>55958018.138209052</v>
      </c>
      <c r="N9" s="542">
        <v>56</v>
      </c>
      <c r="O9" s="22" t="s">
        <v>159</v>
      </c>
      <c r="P9" s="53">
        <v>2.1817957959031995</v>
      </c>
      <c r="Q9" s="401">
        <f t="shared" si="3"/>
        <v>393240</v>
      </c>
      <c r="R9" s="405">
        <f t="shared" si="4"/>
        <v>857969.37878097419</v>
      </c>
      <c r="T9" s="383"/>
      <c r="U9" s="144"/>
      <c r="V9" s="145"/>
      <c r="W9" s="146"/>
      <c r="X9" s="146"/>
      <c r="Y9" s="146"/>
      <c r="AE9" s="385"/>
      <c r="AH9" s="22" t="s">
        <v>158</v>
      </c>
      <c r="AI9" t="s">
        <v>158</v>
      </c>
      <c r="AJ9" t="s">
        <v>560</v>
      </c>
      <c r="AK9" t="s">
        <v>561</v>
      </c>
      <c r="AL9" t="s">
        <v>568</v>
      </c>
      <c r="AM9" s="390">
        <v>45195770</v>
      </c>
      <c r="AP9" s="22" t="s">
        <v>223</v>
      </c>
    </row>
    <row r="10" spans="2:42" x14ac:dyDescent="0.25">
      <c r="B10" s="542">
        <v>179</v>
      </c>
      <c r="C10" s="22" t="s">
        <v>257</v>
      </c>
      <c r="D10" s="53">
        <v>7.2489575765218514E-2</v>
      </c>
      <c r="E10" s="401">
        <f t="shared" si="0"/>
        <v>11890780</v>
      </c>
      <c r="F10" s="405">
        <f t="shared" si="5"/>
        <v>861957.597717545</v>
      </c>
      <c r="G10" s="422"/>
      <c r="H10" s="542">
        <v>117</v>
      </c>
      <c r="I10" s="22" t="s">
        <v>162</v>
      </c>
      <c r="J10" s="53">
        <v>0.64412873668477533</v>
      </c>
      <c r="K10" s="401">
        <f t="shared" si="1"/>
        <v>11673020</v>
      </c>
      <c r="L10" s="405">
        <f t="shared" si="2"/>
        <v>7518927.6258961158</v>
      </c>
      <c r="N10" s="542">
        <v>55</v>
      </c>
      <c r="O10" s="22" t="s">
        <v>228</v>
      </c>
      <c r="P10" s="53">
        <v>2.2426222578353725</v>
      </c>
      <c r="Q10" s="401">
        <f t="shared" si="3"/>
        <v>18776710</v>
      </c>
      <c r="R10" s="405">
        <f t="shared" si="4"/>
        <v>42109067.774920017</v>
      </c>
      <c r="T10" s="383"/>
      <c r="U10" s="147"/>
      <c r="V10" s="145" t="s">
        <v>153</v>
      </c>
      <c r="W10" s="148">
        <f>'[1]Income data'!C56</f>
        <v>0</v>
      </c>
      <c r="X10" s="149">
        <f>'[1]mortality values_starting value'!F$8*(W10/'[1]Income data'!C$26)^'[1]mortality values_starting value'!F$14</f>
        <v>0</v>
      </c>
      <c r="Y10" s="150">
        <f>X10/'[1]mortality values_starting value'!F$7</f>
        <v>0</v>
      </c>
      <c r="AB10" s="386">
        <v>83420</v>
      </c>
      <c r="AC10" s="387">
        <v>7.6961979939538621</v>
      </c>
      <c r="AD10" s="387">
        <f>W10/AB10</f>
        <v>0</v>
      </c>
      <c r="AE10" s="385"/>
      <c r="AH10" s="22" t="s">
        <v>223</v>
      </c>
      <c r="AI10" t="s">
        <v>223</v>
      </c>
      <c r="AJ10" t="s">
        <v>560</v>
      </c>
      <c r="AK10" t="s">
        <v>561</v>
      </c>
      <c r="AL10" t="s">
        <v>569</v>
      </c>
      <c r="AM10" s="390">
        <v>2963240</v>
      </c>
      <c r="AP10" s="22" t="s">
        <v>306</v>
      </c>
    </row>
    <row r="11" spans="2:42" x14ac:dyDescent="0.25">
      <c r="B11" s="542">
        <v>178</v>
      </c>
      <c r="C11" s="22" t="s">
        <v>278</v>
      </c>
      <c r="D11" s="53">
        <v>7.5817947779948006E-2</v>
      </c>
      <c r="E11" s="401">
        <f t="shared" si="0"/>
        <v>5057680</v>
      </c>
      <c r="F11" s="405">
        <f t="shared" si="5"/>
        <v>383462.91812768742</v>
      </c>
      <c r="G11" s="422"/>
      <c r="H11" s="542">
        <v>116</v>
      </c>
      <c r="I11" s="22" t="s">
        <v>329</v>
      </c>
      <c r="J11" s="53">
        <v>0.68964889325942802</v>
      </c>
      <c r="K11" s="401">
        <f t="shared" si="1"/>
        <v>109581080</v>
      </c>
      <c r="L11" s="405">
        <f t="shared" si="2"/>
        <v>75572470.544172838</v>
      </c>
      <c r="N11" s="542">
        <v>54</v>
      </c>
      <c r="O11" s="22" t="s">
        <v>157</v>
      </c>
      <c r="P11" s="53">
        <v>2.2585573111297088</v>
      </c>
      <c r="Q11" s="401">
        <f t="shared" si="3"/>
        <v>97930</v>
      </c>
      <c r="R11" s="405">
        <f t="shared" si="4"/>
        <v>221180.51747893239</v>
      </c>
      <c r="T11" s="383"/>
      <c r="U11" s="147"/>
      <c r="V11" s="145" t="s">
        <v>154</v>
      </c>
      <c r="W11" s="151">
        <f>'[1]Income data'!C68</f>
        <v>46440.983</v>
      </c>
      <c r="X11" s="149">
        <f>'[1]mortality values_starting value'!F$8*(W11/'[1]Income data'!C$26)^'[1]mortality values_starting value'!F$15</f>
        <v>4.0533973257194349</v>
      </c>
      <c r="Y11" s="150">
        <f>X11/'[1]mortality values_starting value'!F$7</f>
        <v>0.88078033361745978</v>
      </c>
      <c r="AB11" s="386">
        <v>39050.167316371873</v>
      </c>
      <c r="AC11" s="387">
        <v>4.1933238355939677</v>
      </c>
      <c r="AD11" s="387">
        <f>W11/AB11</f>
        <v>1.1892646355071956</v>
      </c>
      <c r="AE11" s="385"/>
      <c r="AH11" s="22" t="s">
        <v>306</v>
      </c>
      <c r="AI11" t="s">
        <v>306</v>
      </c>
      <c r="AJ11" t="s">
        <v>560</v>
      </c>
      <c r="AK11" t="s">
        <v>561</v>
      </c>
      <c r="AL11" t="s">
        <v>570</v>
      </c>
      <c r="AM11" s="390">
        <v>25499880</v>
      </c>
      <c r="AP11" s="22" t="s">
        <v>190</v>
      </c>
    </row>
    <row r="12" spans="2:42" x14ac:dyDescent="0.25">
      <c r="B12" s="542">
        <v>177</v>
      </c>
      <c r="C12" s="22" t="s">
        <v>288</v>
      </c>
      <c r="D12" s="53">
        <v>9.9886981965495864E-2</v>
      </c>
      <c r="E12" s="401">
        <f t="shared" si="0"/>
        <v>24206640</v>
      </c>
      <c r="F12" s="405">
        <f t="shared" si="5"/>
        <v>2417928.2131252508</v>
      </c>
      <c r="G12" s="422"/>
      <c r="H12" s="542">
        <v>115</v>
      </c>
      <c r="I12" s="22" t="s">
        <v>174</v>
      </c>
      <c r="J12" s="53">
        <v>0.70135370976175171</v>
      </c>
      <c r="K12" s="401">
        <f t="shared" si="1"/>
        <v>786550</v>
      </c>
      <c r="L12" s="405">
        <f t="shared" si="2"/>
        <v>551649.76041310583</v>
      </c>
      <c r="N12" s="542">
        <v>53</v>
      </c>
      <c r="O12" s="22" t="s">
        <v>230</v>
      </c>
      <c r="P12" s="53">
        <v>2.2902834187577956</v>
      </c>
      <c r="Q12" s="401">
        <f t="shared" si="3"/>
        <v>1886200</v>
      </c>
      <c r="R12" s="405">
        <f t="shared" si="4"/>
        <v>4319932.5844609542</v>
      </c>
      <c r="T12" s="383"/>
      <c r="U12" s="147"/>
      <c r="V12" s="145" t="s">
        <v>155</v>
      </c>
      <c r="W12" s="151">
        <f>'[1]Income data'!C162</f>
        <v>18934.916000000001</v>
      </c>
      <c r="X12" s="149">
        <f>'[1]mortality values_starting value'!F$8*(W12/'[1]Income data'!C$26)^'[1]mortality values_starting value'!F$15</f>
        <v>1.9774647925281739</v>
      </c>
      <c r="Y12" s="150">
        <f>X12/'[1]mortality values_starting value'!F$7</f>
        <v>0.42969192500037251</v>
      </c>
      <c r="AB12" s="386">
        <v>14563.884253985994</v>
      </c>
      <c r="AC12" s="387">
        <v>1.9049424443515226</v>
      </c>
      <c r="AD12" s="387">
        <f t="shared" ref="AD12:AD75" si="6">W12/AB12</f>
        <v>1.3001281574191101</v>
      </c>
      <c r="AE12" s="385"/>
      <c r="AH12" s="22" t="s">
        <v>190</v>
      </c>
      <c r="AI12" t="s">
        <v>190</v>
      </c>
      <c r="AJ12" t="s">
        <v>560</v>
      </c>
      <c r="AK12" t="s">
        <v>561</v>
      </c>
      <c r="AL12" t="s">
        <v>571</v>
      </c>
      <c r="AM12" s="390">
        <v>9006400</v>
      </c>
      <c r="AP12" s="22" t="s">
        <v>224</v>
      </c>
    </row>
    <row r="13" spans="2:42" x14ac:dyDescent="0.25">
      <c r="B13" s="542">
        <v>176</v>
      </c>
      <c r="C13" s="22" t="s">
        <v>281</v>
      </c>
      <c r="D13" s="53">
        <v>0.10106641899663099</v>
      </c>
      <c r="E13" s="401">
        <f t="shared" si="0"/>
        <v>19129950</v>
      </c>
      <c r="F13" s="405">
        <f t="shared" si="5"/>
        <v>1933395.542084601</v>
      </c>
      <c r="G13" s="422"/>
      <c r="H13" s="542">
        <v>114</v>
      </c>
      <c r="I13" s="22" t="s">
        <v>173</v>
      </c>
      <c r="J13" s="53">
        <v>0.70793667214556388</v>
      </c>
      <c r="K13" s="401">
        <f t="shared" si="1"/>
        <v>17915570</v>
      </c>
      <c r="L13" s="405">
        <f t="shared" si="2"/>
        <v>12683089.005390899</v>
      </c>
      <c r="N13" s="542">
        <v>52</v>
      </c>
      <c r="O13" s="22" t="s">
        <v>182</v>
      </c>
      <c r="P13" s="53">
        <v>2.3169390877378273</v>
      </c>
      <c r="Q13" s="401">
        <f t="shared" si="3"/>
        <v>53200</v>
      </c>
      <c r="R13" s="405">
        <f t="shared" si="4"/>
        <v>123261.15946765241</v>
      </c>
      <c r="T13" s="383"/>
      <c r="U13" s="147"/>
      <c r="V13" s="145" t="s">
        <v>156</v>
      </c>
      <c r="W13" s="151">
        <f>'[1]Income data'!C241</f>
        <v>57607.612999999998</v>
      </c>
      <c r="X13" s="149">
        <f>'[1]mortality values_starting value'!F$8*(W13/'[1]Income data'!C$26)^'[1]mortality values_starting value'!F$15</f>
        <v>4.8159498736821735</v>
      </c>
      <c r="Y13" s="150">
        <f>X13/'[1]mortality values_starting value'!F$7</f>
        <v>1.0464786931969159</v>
      </c>
      <c r="AB13" s="386">
        <v>47153.009427342709</v>
      </c>
      <c r="AC13" s="387">
        <v>4.8760440023494604</v>
      </c>
      <c r="AD13" s="387">
        <f t="shared" si="6"/>
        <v>1.2217165712141154</v>
      </c>
      <c r="AE13" s="385"/>
      <c r="AH13" s="22" t="s">
        <v>224</v>
      </c>
      <c r="AI13" t="s">
        <v>224</v>
      </c>
      <c r="AJ13" t="s">
        <v>560</v>
      </c>
      <c r="AK13" t="s">
        <v>561</v>
      </c>
      <c r="AL13" t="s">
        <v>572</v>
      </c>
      <c r="AM13" s="390">
        <v>10139180</v>
      </c>
      <c r="AP13" s="22" t="s">
        <v>159</v>
      </c>
    </row>
    <row r="14" spans="2:42" x14ac:dyDescent="0.25">
      <c r="B14" s="542">
        <v>175</v>
      </c>
      <c r="C14" s="22" t="s">
        <v>286</v>
      </c>
      <c r="D14" s="53">
        <v>0.10872090829940668</v>
      </c>
      <c r="E14" s="401">
        <f t="shared" si="0"/>
        <v>31255440</v>
      </c>
      <c r="F14" s="405">
        <f t="shared" si="5"/>
        <v>3398119.8260976076</v>
      </c>
      <c r="G14" s="422"/>
      <c r="H14" s="542">
        <v>113</v>
      </c>
      <c r="I14" s="22" t="s">
        <v>285</v>
      </c>
      <c r="J14" s="53">
        <v>0.72713977115740391</v>
      </c>
      <c r="K14" s="401">
        <f t="shared" si="1"/>
        <v>36910560</v>
      </c>
      <c r="L14" s="405">
        <f t="shared" si="2"/>
        <v>26839136.151691627</v>
      </c>
      <c r="N14" s="541">
        <v>51</v>
      </c>
      <c r="O14" s="187" t="s">
        <v>164</v>
      </c>
      <c r="P14" s="393">
        <v>2.3974951868799779</v>
      </c>
      <c r="Q14" s="407">
        <f t="shared" si="3"/>
        <v>19116200</v>
      </c>
      <c r="R14" s="408">
        <f t="shared" si="4"/>
        <v>45830997.491435036</v>
      </c>
      <c r="T14" s="383"/>
      <c r="U14" s="144"/>
      <c r="V14" s="145"/>
      <c r="W14" s="152"/>
      <c r="X14" s="153"/>
      <c r="Y14" s="150">
        <f>X14/'[1]mortality values_starting value'!F$7</f>
        <v>0</v>
      </c>
      <c r="AB14" s="386"/>
      <c r="AC14" s="387"/>
      <c r="AD14" s="387" t="e">
        <f t="shared" si="6"/>
        <v>#DIV/0!</v>
      </c>
      <c r="AE14" s="385"/>
      <c r="AH14" s="22" t="s">
        <v>159</v>
      </c>
      <c r="AI14" t="s">
        <v>763</v>
      </c>
      <c r="AJ14" t="s">
        <v>560</v>
      </c>
      <c r="AK14" t="s">
        <v>561</v>
      </c>
      <c r="AL14" t="s">
        <v>573</v>
      </c>
      <c r="AM14" s="390">
        <v>393240</v>
      </c>
      <c r="AP14" s="22" t="s">
        <v>238</v>
      </c>
    </row>
    <row r="15" spans="2:42" x14ac:dyDescent="0.25">
      <c r="B15" s="542">
        <v>174</v>
      </c>
      <c r="C15" s="22" t="s">
        <v>269</v>
      </c>
      <c r="D15" s="53">
        <v>0.12563873667808781</v>
      </c>
      <c r="E15" s="401">
        <f t="shared" si="0"/>
        <v>3546420</v>
      </c>
      <c r="F15" s="405">
        <f t="shared" si="5"/>
        <v>445567.72852990415</v>
      </c>
      <c r="G15" s="422"/>
      <c r="H15" s="542">
        <v>112</v>
      </c>
      <c r="I15" s="22" t="s">
        <v>308</v>
      </c>
      <c r="J15" s="53">
        <v>0.73293430358870149</v>
      </c>
      <c r="K15" s="401">
        <f t="shared" si="1"/>
        <v>771610</v>
      </c>
      <c r="L15" s="405">
        <f t="shared" si="2"/>
        <v>565539.4379920779</v>
      </c>
      <c r="N15" s="542">
        <v>50</v>
      </c>
      <c r="O15" s="22" t="s">
        <v>233</v>
      </c>
      <c r="P15" s="53">
        <v>2.399320572299231</v>
      </c>
      <c r="Q15" s="401">
        <f t="shared" si="3"/>
        <v>145934460</v>
      </c>
      <c r="R15" s="405">
        <f t="shared" si="4"/>
        <v>350143552.08537924</v>
      </c>
      <c r="T15" s="383"/>
      <c r="U15" s="147"/>
      <c r="V15" s="145" t="s">
        <v>157</v>
      </c>
      <c r="W15" s="151">
        <f>'[1]Income data'!C41</f>
        <v>25346.215</v>
      </c>
      <c r="X15" s="149">
        <f>'[1]mortality values_starting value'!F$8*(W15/'[1]Income data'!C$26)^'[1]mortality values_starting value'!F$14</f>
        <v>2.2585573111297088</v>
      </c>
      <c r="Y15" s="150">
        <f>X15/'[1]mortality values_starting value'!F$7</f>
        <v>0.4907717408724297</v>
      </c>
      <c r="AB15" s="386">
        <v>20954.183760999222</v>
      </c>
      <c r="AC15" s="387">
        <v>2.5484533144188362</v>
      </c>
      <c r="AD15" s="387">
        <f t="shared" si="6"/>
        <v>1.2096016379877037</v>
      </c>
      <c r="AE15" s="385"/>
      <c r="AH15" s="22" t="s">
        <v>238</v>
      </c>
      <c r="AI15" t="s">
        <v>238</v>
      </c>
      <c r="AJ15" t="s">
        <v>560</v>
      </c>
      <c r="AK15" t="s">
        <v>561</v>
      </c>
      <c r="AL15" t="s">
        <v>574</v>
      </c>
      <c r="AM15" s="390">
        <v>1701580</v>
      </c>
      <c r="AP15" s="22" t="s">
        <v>307</v>
      </c>
    </row>
    <row r="16" spans="2:42" x14ac:dyDescent="0.25">
      <c r="B16" s="542">
        <v>173</v>
      </c>
      <c r="C16" s="22" t="s">
        <v>280</v>
      </c>
      <c r="D16" s="53">
        <v>0.13410268548455281</v>
      </c>
      <c r="E16" s="401">
        <f t="shared" si="0"/>
        <v>27691020</v>
      </c>
      <c r="F16" s="405">
        <f t="shared" si="5"/>
        <v>3713440.1458064616</v>
      </c>
      <c r="G16" s="422"/>
      <c r="H16" s="542">
        <v>111</v>
      </c>
      <c r="I16" s="22" t="s">
        <v>161</v>
      </c>
      <c r="J16" s="53">
        <v>0.73407096865134591</v>
      </c>
      <c r="K16" s="401">
        <f t="shared" si="1"/>
        <v>397630</v>
      </c>
      <c r="L16" s="405">
        <f t="shared" si="2"/>
        <v>291888.6392648347</v>
      </c>
      <c r="N16" s="542">
        <v>49</v>
      </c>
      <c r="O16" s="22" t="s">
        <v>322</v>
      </c>
      <c r="P16" s="53">
        <v>2.4319528219014499</v>
      </c>
      <c r="Q16" s="401">
        <f t="shared" si="3"/>
        <v>32366000</v>
      </c>
      <c r="R16" s="405">
        <f t="shared" si="4"/>
        <v>78712585.033662334</v>
      </c>
      <c r="T16" s="383"/>
      <c r="U16" s="147"/>
      <c r="V16" s="145" t="s">
        <v>158</v>
      </c>
      <c r="W16" s="151">
        <f>'[1]Income data'!C42</f>
        <v>20053.067999999999</v>
      </c>
      <c r="X16" s="149">
        <f>'[1]mortality values_starting value'!F$8*(W16/'[1]Income data'!C$26)^'[1]mortality values_starting value'!F$14</f>
        <v>1.7868941513350696</v>
      </c>
      <c r="Y16" s="150">
        <f>X16/'[1]mortality values_starting value'!F$7</f>
        <v>0.38828200156091203</v>
      </c>
      <c r="AB16" s="386">
        <v>16011.672803226424</v>
      </c>
      <c r="AC16" s="387">
        <v>2.0549887511530982</v>
      </c>
      <c r="AD16" s="387">
        <f t="shared" si="6"/>
        <v>1.2524030590956878</v>
      </c>
      <c r="AE16" s="385"/>
      <c r="AH16" s="22" t="s">
        <v>307</v>
      </c>
      <c r="AI16" t="s">
        <v>307</v>
      </c>
      <c r="AJ16" t="s">
        <v>560</v>
      </c>
      <c r="AK16" t="s">
        <v>561</v>
      </c>
      <c r="AL16" t="s">
        <v>575</v>
      </c>
      <c r="AM16" s="390">
        <v>164689380</v>
      </c>
      <c r="AP16" s="22" t="s">
        <v>160</v>
      </c>
    </row>
    <row r="17" spans="2:42" x14ac:dyDescent="0.25">
      <c r="B17" s="542">
        <v>172</v>
      </c>
      <c r="C17" s="22" t="s">
        <v>262</v>
      </c>
      <c r="D17" s="53">
        <v>0.13622470977130502</v>
      </c>
      <c r="E17" s="401">
        <f t="shared" si="0"/>
        <v>869600</v>
      </c>
      <c r="F17" s="405">
        <f t="shared" si="5"/>
        <v>118461.00761712684</v>
      </c>
      <c r="G17" s="422"/>
      <c r="H17" s="542">
        <v>110</v>
      </c>
      <c r="I17" s="22" t="s">
        <v>236</v>
      </c>
      <c r="J17" s="53">
        <v>0.741366618960137</v>
      </c>
      <c r="K17" s="401">
        <f t="shared" si="1"/>
        <v>43733760</v>
      </c>
      <c r="L17" s="405">
        <f t="shared" si="2"/>
        <v>32422749.785614081</v>
      </c>
      <c r="N17" s="542">
        <v>48</v>
      </c>
      <c r="O17" s="22" t="s">
        <v>293</v>
      </c>
      <c r="P17" s="53">
        <v>2.4333959302966779</v>
      </c>
      <c r="Q17" s="401">
        <f t="shared" si="3"/>
        <v>98350</v>
      </c>
      <c r="R17" s="405">
        <f t="shared" si="4"/>
        <v>239324.48974467826</v>
      </c>
      <c r="T17" s="383"/>
      <c r="U17" s="147"/>
      <c r="V17" s="145" t="s">
        <v>159</v>
      </c>
      <c r="W17" s="151">
        <f>'[1]Income data'!C48</f>
        <v>24484.774000000001</v>
      </c>
      <c r="X17" s="149">
        <f>'[1]mortality values_starting value'!F$8*(W17/'[1]Income data'!C$26)^'[1]mortality values_starting value'!F$14</f>
        <v>2.1817957959031995</v>
      </c>
      <c r="Y17" s="150">
        <f>X17/'[1]mortality values_starting value'!F$7</f>
        <v>0.47409189738381075</v>
      </c>
      <c r="AB17" s="386">
        <v>31745.542988506713</v>
      </c>
      <c r="AC17" s="387">
        <v>3.5530906793296224</v>
      </c>
      <c r="AD17" s="387">
        <f t="shared" si="6"/>
        <v>0.77128225555519936</v>
      </c>
      <c r="AE17" s="385"/>
      <c r="AH17" s="22" t="s">
        <v>160</v>
      </c>
      <c r="AI17" t="s">
        <v>160</v>
      </c>
      <c r="AJ17" t="s">
        <v>560</v>
      </c>
      <c r="AK17" t="s">
        <v>561</v>
      </c>
      <c r="AL17" t="s">
        <v>576</v>
      </c>
      <c r="AM17" s="390">
        <v>287380</v>
      </c>
      <c r="AP17" s="22" t="s">
        <v>225</v>
      </c>
    </row>
    <row r="18" spans="2:42" x14ac:dyDescent="0.25">
      <c r="B18" s="542">
        <v>171</v>
      </c>
      <c r="C18" s="22" t="s">
        <v>300</v>
      </c>
      <c r="D18" s="53">
        <v>0.13810730014277617</v>
      </c>
      <c r="E18" s="401">
        <f t="shared" si="0"/>
        <v>8278719.9999999991</v>
      </c>
      <c r="F18" s="405">
        <f t="shared" si="5"/>
        <v>1143351.6678380037</v>
      </c>
      <c r="G18" s="422"/>
      <c r="H18" s="542">
        <v>109</v>
      </c>
      <c r="I18" s="22" t="s">
        <v>171</v>
      </c>
      <c r="J18" s="53">
        <v>0.76840224559359582</v>
      </c>
      <c r="K18" s="401">
        <f t="shared" si="1"/>
        <v>6486200</v>
      </c>
      <c r="L18" s="405">
        <f t="shared" si="2"/>
        <v>4984010.6453691814</v>
      </c>
      <c r="N18" s="542">
        <v>47</v>
      </c>
      <c r="O18" s="22" t="s">
        <v>221</v>
      </c>
      <c r="P18" s="53">
        <v>2.46865329368178</v>
      </c>
      <c r="Q18" s="401">
        <f t="shared" si="3"/>
        <v>84339070</v>
      </c>
      <c r="R18" s="405">
        <f t="shared" si="4"/>
        <v>208203922.94155821</v>
      </c>
      <c r="T18" s="383"/>
      <c r="U18" s="147"/>
      <c r="V18" s="145" t="s">
        <v>160</v>
      </c>
      <c r="W18" s="151">
        <f>'[1]Income data'!C51</f>
        <v>17095.68</v>
      </c>
      <c r="X18" s="149">
        <f>'[1]mortality values_starting value'!F$8*(W18/'[1]Income data'!C$26)^'[1]mortality values_starting value'!F$14</f>
        <v>1.5233664297700442</v>
      </c>
      <c r="Y18" s="150">
        <f>X18/'[1]mortality values_starting value'!F$7</f>
        <v>0.33101891682833035</v>
      </c>
      <c r="AB18" s="386">
        <v>25300</v>
      </c>
      <c r="AC18" s="387">
        <v>2.9631695384593844</v>
      </c>
      <c r="AD18" s="387">
        <f t="shared" si="6"/>
        <v>0.67571857707509886</v>
      </c>
      <c r="AE18" s="385"/>
      <c r="AH18" s="22" t="s">
        <v>225</v>
      </c>
      <c r="AI18" t="s">
        <v>225</v>
      </c>
      <c r="AJ18" t="s">
        <v>560</v>
      </c>
      <c r="AK18" t="s">
        <v>561</v>
      </c>
      <c r="AL18" t="s">
        <v>577</v>
      </c>
      <c r="AM18" s="390">
        <v>9449320</v>
      </c>
      <c r="AP18" s="22" t="s">
        <v>191</v>
      </c>
    </row>
    <row r="19" spans="2:42" x14ac:dyDescent="0.25">
      <c r="B19" s="542">
        <v>170</v>
      </c>
      <c r="C19" s="22" t="s">
        <v>272</v>
      </c>
      <c r="D19" s="53">
        <v>0.14811291108853317</v>
      </c>
      <c r="E19" s="401">
        <f t="shared" si="0"/>
        <v>2416670</v>
      </c>
      <c r="F19" s="405">
        <f t="shared" si="5"/>
        <v>357940.02884032542</v>
      </c>
      <c r="G19" s="422"/>
      <c r="H19" s="542">
        <v>108</v>
      </c>
      <c r="I19" s="22" t="s">
        <v>223</v>
      </c>
      <c r="J19" s="53">
        <v>0.76962748427432337</v>
      </c>
      <c r="K19" s="401">
        <f t="shared" si="1"/>
        <v>2963240</v>
      </c>
      <c r="L19" s="405">
        <f t="shared" si="2"/>
        <v>2280590.946501046</v>
      </c>
      <c r="N19" s="542">
        <v>46</v>
      </c>
      <c r="O19" s="22" t="s">
        <v>201</v>
      </c>
      <c r="P19" s="53">
        <v>2.6132885515566797</v>
      </c>
      <c r="Q19" s="401">
        <f t="shared" si="3"/>
        <v>10423050</v>
      </c>
      <c r="R19" s="405">
        <f t="shared" si="4"/>
        <v>27238437.237302851</v>
      </c>
      <c r="T19" s="383"/>
      <c r="U19" s="147"/>
      <c r="V19" s="145" t="s">
        <v>161</v>
      </c>
      <c r="W19" s="151">
        <f>'[1]Income data'!C54</f>
        <v>8237.9670000000006</v>
      </c>
      <c r="X19" s="149">
        <f>'[1]mortality values_starting value'!F$8*(W19/'[1]Income data'!C$26)^'[1]mortality values_starting value'!F$14</f>
        <v>0.73407096865134591</v>
      </c>
      <c r="Y19" s="150">
        <f>X19/'[1]mortality values_starting value'!F$7</f>
        <v>0.15950947334107388</v>
      </c>
      <c r="AB19" s="386">
        <v>6669.8206135630635</v>
      </c>
      <c r="AC19" s="387">
        <v>1.0198854743268779</v>
      </c>
      <c r="AD19" s="387">
        <f t="shared" si="6"/>
        <v>1.2351107289524572</v>
      </c>
      <c r="AE19" s="385"/>
      <c r="AH19" s="22" t="s">
        <v>191</v>
      </c>
      <c r="AI19" t="s">
        <v>191</v>
      </c>
      <c r="AJ19" t="s">
        <v>560</v>
      </c>
      <c r="AK19" t="s">
        <v>561</v>
      </c>
      <c r="AL19" t="s">
        <v>578</v>
      </c>
      <c r="AM19" s="390">
        <v>11589620</v>
      </c>
      <c r="AP19" s="22" t="s">
        <v>161</v>
      </c>
    </row>
    <row r="20" spans="2:42" x14ac:dyDescent="0.25">
      <c r="B20" s="542">
        <v>169</v>
      </c>
      <c r="C20" s="22" t="s">
        <v>294</v>
      </c>
      <c r="D20" s="53">
        <v>0.15076780281606719</v>
      </c>
      <c r="E20" s="401">
        <f t="shared" si="0"/>
        <v>7976980</v>
      </c>
      <c r="F20" s="405">
        <f t="shared" si="5"/>
        <v>1202671.7477077118</v>
      </c>
      <c r="G20" s="422"/>
      <c r="H20" s="542">
        <v>107</v>
      </c>
      <c r="I20" s="22" t="s">
        <v>177</v>
      </c>
      <c r="J20" s="53">
        <v>0.79786036959245521</v>
      </c>
      <c r="K20" s="401">
        <f t="shared" si="1"/>
        <v>2961170</v>
      </c>
      <c r="L20" s="405">
        <f t="shared" si="2"/>
        <v>2362600.1906260904</v>
      </c>
      <c r="N20" s="542">
        <v>45</v>
      </c>
      <c r="O20" s="22" t="s">
        <v>202</v>
      </c>
      <c r="P20" s="53">
        <v>2.6634748883027206</v>
      </c>
      <c r="Q20" s="401">
        <f t="shared" si="3"/>
        <v>9660350</v>
      </c>
      <c r="R20" s="405">
        <f t="shared" si="4"/>
        <v>25730099.637215186</v>
      </c>
      <c r="T20" s="383"/>
      <c r="U20" s="147"/>
      <c r="V20" s="145" t="s">
        <v>162</v>
      </c>
      <c r="W20" s="151">
        <f>'[1]Income data'!C58</f>
        <v>7228.6080000000002</v>
      </c>
      <c r="X20" s="149">
        <f>'[1]mortality values_starting value'!F$8*(W20/'[1]Income data'!C$26)^'[1]mortality values_starting value'!F$14</f>
        <v>0.64412873668477533</v>
      </c>
      <c r="Y20" s="150">
        <f>X20/'[1]mortality values_starting value'!F$7</f>
        <v>0.13996553458748662</v>
      </c>
      <c r="AB20" s="386">
        <v>4849.3179667888026</v>
      </c>
      <c r="AC20" s="387">
        <v>0.79032298492852238</v>
      </c>
      <c r="AD20" s="387">
        <f t="shared" si="6"/>
        <v>1.4906442616273219</v>
      </c>
      <c r="AE20" s="385"/>
      <c r="AH20" s="22" t="s">
        <v>161</v>
      </c>
      <c r="AI20" t="s">
        <v>161</v>
      </c>
      <c r="AJ20" t="s">
        <v>560</v>
      </c>
      <c r="AK20" t="s">
        <v>561</v>
      </c>
      <c r="AL20" t="s">
        <v>579</v>
      </c>
      <c r="AM20" s="390">
        <v>397630</v>
      </c>
      <c r="AP20" s="22" t="s">
        <v>254</v>
      </c>
    </row>
    <row r="21" spans="2:42" x14ac:dyDescent="0.25">
      <c r="B21" s="542">
        <v>168</v>
      </c>
      <c r="C21" s="22" t="s">
        <v>275</v>
      </c>
      <c r="D21" s="53">
        <v>0.1539506610296601</v>
      </c>
      <c r="E21" s="401">
        <f t="shared" si="0"/>
        <v>1968000</v>
      </c>
      <c r="F21" s="405">
        <f t="shared" si="5"/>
        <v>302974.90090637107</v>
      </c>
      <c r="G21" s="422"/>
      <c r="H21" s="542">
        <v>106</v>
      </c>
      <c r="I21" s="22" t="s">
        <v>313</v>
      </c>
      <c r="J21" s="53">
        <v>0.83541896977387509</v>
      </c>
      <c r="K21" s="401">
        <f t="shared" si="1"/>
        <v>896450</v>
      </c>
      <c r="L21" s="405">
        <f t="shared" si="2"/>
        <v>748911.33545379026</v>
      </c>
      <c r="N21" s="542">
        <v>44</v>
      </c>
      <c r="O21" s="22" t="s">
        <v>231</v>
      </c>
      <c r="P21" s="53">
        <v>2.6707337517968828</v>
      </c>
      <c r="Q21" s="401">
        <f t="shared" si="3"/>
        <v>2722290</v>
      </c>
      <c r="R21" s="405">
        <f t="shared" si="4"/>
        <v>7270511.7851791363</v>
      </c>
      <c r="T21" s="383"/>
      <c r="U21" s="147"/>
      <c r="V21" s="145" t="s">
        <v>163</v>
      </c>
      <c r="W21" s="151">
        <f>'[1]Income data'!C61</f>
        <v>15237.734</v>
      </c>
      <c r="X21" s="149">
        <f>'[1]mortality values_starting value'!F$8*(W21/'[1]Income data'!C$26)^'[1]mortality values_starting value'!F$14</f>
        <v>1.3578080802498418</v>
      </c>
      <c r="Y21" s="150">
        <f>X21/'[1]mortality values_starting value'!F$7</f>
        <v>0.29504402302793581</v>
      </c>
      <c r="AB21" s="386">
        <v>11210.390805382263</v>
      </c>
      <c r="AC21" s="387">
        <v>1.5451003316681213</v>
      </c>
      <c r="AD21" s="387">
        <f t="shared" si="6"/>
        <v>1.3592509185927892</v>
      </c>
      <c r="AE21" s="385"/>
      <c r="AH21" s="22" t="s">
        <v>254</v>
      </c>
      <c r="AI21" t="s">
        <v>254</v>
      </c>
      <c r="AJ21" t="s">
        <v>560</v>
      </c>
      <c r="AK21" t="s">
        <v>561</v>
      </c>
      <c r="AL21" t="s">
        <v>580</v>
      </c>
      <c r="AM21" s="390">
        <v>12123200</v>
      </c>
      <c r="AP21" s="22" t="s">
        <v>153</v>
      </c>
    </row>
    <row r="22" spans="2:42" x14ac:dyDescent="0.25">
      <c r="B22" s="542">
        <v>167</v>
      </c>
      <c r="C22" s="22" t="s">
        <v>175</v>
      </c>
      <c r="D22" s="53">
        <v>0.15893404090018237</v>
      </c>
      <c r="E22" s="401">
        <f t="shared" si="0"/>
        <v>11402530</v>
      </c>
      <c r="F22" s="405">
        <f t="shared" si="5"/>
        <v>1812250.1693855566</v>
      </c>
      <c r="G22" s="422"/>
      <c r="H22" s="542">
        <v>105</v>
      </c>
      <c r="I22" s="22" t="s">
        <v>180</v>
      </c>
      <c r="J22" s="53">
        <v>0.83704368081865343</v>
      </c>
      <c r="K22" s="401">
        <f t="shared" si="1"/>
        <v>7132540</v>
      </c>
      <c r="L22" s="405">
        <f t="shared" si="2"/>
        <v>5970247.5351862786</v>
      </c>
      <c r="N22" s="542">
        <v>43</v>
      </c>
      <c r="O22" s="22" t="s">
        <v>212</v>
      </c>
      <c r="P22" s="53">
        <v>2.6801664310217097</v>
      </c>
      <c r="Q22" s="401">
        <f t="shared" si="3"/>
        <v>37846610</v>
      </c>
      <c r="R22" s="405">
        <f t="shared" si="4"/>
        <v>101435213.64997055</v>
      </c>
      <c r="T22" s="383"/>
      <c r="U22" s="147"/>
      <c r="V22" s="145" t="s">
        <v>164</v>
      </c>
      <c r="W22" s="151">
        <f>'[1]Income data'!C74</f>
        <v>24089.324000000001</v>
      </c>
      <c r="X22" s="149">
        <f>'[1]mortality values_starting value'!F$8*(W22/'[1]Income data'!C$26)^'[1]mortality values_starting value'!F$15</f>
        <v>2.3974951868799779</v>
      </c>
      <c r="Y22" s="150">
        <f>X22/'[1]mortality values_starting value'!F$7</f>
        <v>0.52096215615171715</v>
      </c>
      <c r="AB22" s="386">
        <v>15779.259483052343</v>
      </c>
      <c r="AC22" s="387">
        <v>2.0310909820780703</v>
      </c>
      <c r="AD22" s="387">
        <f t="shared" si="6"/>
        <v>1.526644772264063</v>
      </c>
      <c r="AE22" s="385"/>
      <c r="AH22" s="22" t="s">
        <v>308</v>
      </c>
      <c r="AI22" t="s">
        <v>308</v>
      </c>
      <c r="AJ22" t="s">
        <v>560</v>
      </c>
      <c r="AK22" t="s">
        <v>561</v>
      </c>
      <c r="AL22" t="s">
        <v>581</v>
      </c>
      <c r="AM22" s="390">
        <v>771610</v>
      </c>
      <c r="AP22" s="22" t="s">
        <v>308</v>
      </c>
    </row>
    <row r="23" spans="2:42" x14ac:dyDescent="0.25">
      <c r="B23" s="542">
        <v>166</v>
      </c>
      <c r="C23" s="22" t="s">
        <v>256</v>
      </c>
      <c r="D23" s="53">
        <v>0.15948072012245601</v>
      </c>
      <c r="E23" s="401">
        <f t="shared" si="0"/>
        <v>20903270</v>
      </c>
      <c r="F23" s="405">
        <f t="shared" si="5"/>
        <v>3333668.5525141312</v>
      </c>
      <c r="G23" s="422"/>
      <c r="H23" s="542">
        <v>104</v>
      </c>
      <c r="I23" s="22" t="s">
        <v>298</v>
      </c>
      <c r="J23" s="53">
        <v>0.87454863782292436</v>
      </c>
      <c r="K23" s="401">
        <f t="shared" si="1"/>
        <v>1160160</v>
      </c>
      <c r="L23" s="405">
        <f t="shared" si="2"/>
        <v>1014616.3476566439</v>
      </c>
      <c r="N23" s="542">
        <v>42</v>
      </c>
      <c r="O23" s="22" t="s">
        <v>213</v>
      </c>
      <c r="P23" s="53">
        <v>2.7746535174277147</v>
      </c>
      <c r="Q23" s="401">
        <f t="shared" si="3"/>
        <v>10196710</v>
      </c>
      <c r="R23" s="405">
        <f t="shared" si="4"/>
        <v>28292337.267690353</v>
      </c>
      <c r="T23" s="383"/>
      <c r="U23" s="147"/>
      <c r="V23" s="145" t="s">
        <v>165</v>
      </c>
      <c r="W23" s="151">
        <f>'[1]Income data'!C76</f>
        <v>14126.47</v>
      </c>
      <c r="X23" s="149">
        <f>'[1]mortality values_starting value'!F$8*(W23/'[1]Income data'!C$26)^'[1]mortality values_starting value'!F$14</f>
        <v>1.2587852702643965</v>
      </c>
      <c r="Y23" s="150">
        <f>X23/'[1]mortality values_starting value'!F$7</f>
        <v>0.27352692598410266</v>
      </c>
      <c r="AB23" s="386">
        <v>9452.7960687775685</v>
      </c>
      <c r="AC23" s="387">
        <v>1.3480571817834013</v>
      </c>
      <c r="AD23" s="387">
        <f t="shared" si="6"/>
        <v>1.4944223801314724</v>
      </c>
      <c r="AE23" s="385"/>
      <c r="AH23" s="22" t="s">
        <v>162</v>
      </c>
      <c r="AI23" t="s">
        <v>764</v>
      </c>
      <c r="AJ23" t="s">
        <v>560</v>
      </c>
      <c r="AK23" t="s">
        <v>561</v>
      </c>
      <c r="AL23" t="s">
        <v>582</v>
      </c>
      <c r="AM23" s="390">
        <v>11673020</v>
      </c>
      <c r="AP23" s="22" t="s">
        <v>162</v>
      </c>
    </row>
    <row r="24" spans="2:42" x14ac:dyDescent="0.25">
      <c r="B24" s="542">
        <v>165</v>
      </c>
      <c r="C24" s="22" t="s">
        <v>318</v>
      </c>
      <c r="D24" s="53">
        <v>0.17023243459357526</v>
      </c>
      <c r="E24" s="401">
        <f t="shared" si="0"/>
        <v>119450</v>
      </c>
      <c r="F24" s="405">
        <f t="shared" si="5"/>
        <v>20334.264312202566</v>
      </c>
      <c r="G24" s="422"/>
      <c r="H24" s="542">
        <v>103</v>
      </c>
      <c r="I24" s="22" t="s">
        <v>227</v>
      </c>
      <c r="J24" s="53">
        <v>0.8949309065410963</v>
      </c>
      <c r="K24" s="401">
        <f t="shared" si="1"/>
        <v>3989170</v>
      </c>
      <c r="L24" s="405">
        <f t="shared" si="2"/>
        <v>3570031.5244465452</v>
      </c>
      <c r="N24" s="542">
        <v>41</v>
      </c>
      <c r="O24" s="22" t="s">
        <v>186</v>
      </c>
      <c r="P24" s="53">
        <v>2.8314573540370689</v>
      </c>
      <c r="Q24" s="401">
        <f t="shared" si="3"/>
        <v>1399490</v>
      </c>
      <c r="R24" s="405">
        <f t="shared" si="4"/>
        <v>3962596.2524013375</v>
      </c>
      <c r="T24" s="383"/>
      <c r="U24" s="147"/>
      <c r="V24" s="145" t="s">
        <v>166</v>
      </c>
      <c r="W24" s="151">
        <f>'[1]Income data'!C80</f>
        <v>16433.732</v>
      </c>
      <c r="X24" s="149">
        <f>'[1]mortality values_starting value'!F$8*(W24/'[1]Income data'!C$26)^'[1]mortality values_starting value'!F$14</f>
        <v>1.4643813901896694</v>
      </c>
      <c r="Y24" s="150">
        <f>X24/'[1]mortality values_starting value'!F$7</f>
        <v>0.31820180104488799</v>
      </c>
      <c r="AB24" s="386">
        <v>11568.608435905091</v>
      </c>
      <c r="AC24" s="387">
        <v>1.5844735028374852</v>
      </c>
      <c r="AD24" s="387">
        <f t="shared" si="6"/>
        <v>1.4205452705093893</v>
      </c>
      <c r="AE24" s="385"/>
      <c r="AH24" s="22" t="s">
        <v>192</v>
      </c>
      <c r="AI24" t="s">
        <v>192</v>
      </c>
      <c r="AJ24" t="s">
        <v>560</v>
      </c>
      <c r="AK24" t="s">
        <v>561</v>
      </c>
      <c r="AL24" t="s">
        <v>583</v>
      </c>
      <c r="AM24" s="390">
        <v>3280820</v>
      </c>
      <c r="AP24" s="22" t="s">
        <v>192</v>
      </c>
    </row>
    <row r="25" spans="2:42" x14ac:dyDescent="0.25">
      <c r="B25" s="542">
        <v>164</v>
      </c>
      <c r="C25" s="22" t="s">
        <v>274</v>
      </c>
      <c r="D25" s="53">
        <v>0.17165085999865298</v>
      </c>
      <c r="E25" s="401">
        <f t="shared" si="0"/>
        <v>13132800</v>
      </c>
      <c r="F25" s="405">
        <f t="shared" si="5"/>
        <v>2254256.4141903101</v>
      </c>
      <c r="G25" s="422"/>
      <c r="H25" s="542">
        <v>102</v>
      </c>
      <c r="I25" s="22" t="s">
        <v>192</v>
      </c>
      <c r="J25" s="53">
        <v>0.97200127102341705</v>
      </c>
      <c r="K25" s="401">
        <f t="shared" si="1"/>
        <v>3280820</v>
      </c>
      <c r="L25" s="405">
        <f t="shared" si="2"/>
        <v>3188961.2099990472</v>
      </c>
      <c r="N25" s="542">
        <v>40</v>
      </c>
      <c r="O25" s="22" t="s">
        <v>226</v>
      </c>
      <c r="P25" s="53">
        <v>2.833498985043144</v>
      </c>
      <c r="Q25" s="401">
        <f t="shared" si="3"/>
        <v>1326540</v>
      </c>
      <c r="R25" s="405">
        <f t="shared" si="4"/>
        <v>3758749.7436191323</v>
      </c>
      <c r="T25" s="383"/>
      <c r="U25" s="147"/>
      <c r="V25" s="145" t="s">
        <v>167</v>
      </c>
      <c r="W25" s="151">
        <f>'[1]Income data'!C83</f>
        <v>0</v>
      </c>
      <c r="X25" s="149">
        <f>'[1]mortality values_starting value'!F$8*(W25/'[1]Income data'!C$26)^'[1]mortality values_starting value'!F$14</f>
        <v>0</v>
      </c>
      <c r="Y25" s="150">
        <f>X25/'[1]mortality values_starting value'!F$7</f>
        <v>0</v>
      </c>
      <c r="AB25" s="386">
        <v>10200</v>
      </c>
      <c r="AC25" s="387">
        <v>1.4326503853084094</v>
      </c>
      <c r="AD25" s="387">
        <f t="shared" si="6"/>
        <v>0</v>
      </c>
      <c r="AE25" s="385"/>
      <c r="AH25" s="22" t="s">
        <v>255</v>
      </c>
      <c r="AI25" t="s">
        <v>255</v>
      </c>
      <c r="AJ25" t="s">
        <v>560</v>
      </c>
      <c r="AK25" t="s">
        <v>561</v>
      </c>
      <c r="AL25" t="s">
        <v>584</v>
      </c>
      <c r="AM25" s="390">
        <v>2351630</v>
      </c>
      <c r="AP25" s="22" t="s">
        <v>255</v>
      </c>
    </row>
    <row r="26" spans="2:42" x14ac:dyDescent="0.25">
      <c r="B26" s="542">
        <v>163</v>
      </c>
      <c r="C26" s="22" t="s">
        <v>270</v>
      </c>
      <c r="D26" s="53">
        <v>0.1733492635808104</v>
      </c>
      <c r="E26" s="401">
        <f t="shared" si="0"/>
        <v>114963590</v>
      </c>
      <c r="F26" s="405">
        <f t="shared" si="5"/>
        <v>19928853.665106218</v>
      </c>
      <c r="G26" s="422"/>
      <c r="H26" s="542">
        <v>101</v>
      </c>
      <c r="I26" s="22" t="s">
        <v>170</v>
      </c>
      <c r="J26" s="53">
        <v>0.99668951856113763</v>
      </c>
      <c r="K26" s="401">
        <f t="shared" si="1"/>
        <v>17643050</v>
      </c>
      <c r="L26" s="405">
        <f t="shared" si="2"/>
        <v>17584643.01045008</v>
      </c>
      <c r="N26" s="542">
        <v>39</v>
      </c>
      <c r="O26" s="22" t="s">
        <v>216</v>
      </c>
      <c r="P26" s="53">
        <v>2.95851221686973</v>
      </c>
      <c r="Q26" s="401">
        <f t="shared" si="3"/>
        <v>5459640</v>
      </c>
      <c r="R26" s="405">
        <f t="shared" si="4"/>
        <v>16152411.639710652</v>
      </c>
      <c r="T26" s="383"/>
      <c r="U26" s="147"/>
      <c r="V26" s="145" t="s">
        <v>168</v>
      </c>
      <c r="W26" s="151">
        <f>'[1]Income data'!C89</f>
        <v>11380.833000000001</v>
      </c>
      <c r="X26" s="149">
        <f>'[1]mortality values_starting value'!F$8*(W26/'[1]Income data'!C$26)^'[1]mortality values_starting value'!F$14</f>
        <v>1.0141263134908411</v>
      </c>
      <c r="Y26" s="150">
        <f>X26/'[1]mortality values_starting value'!F$7</f>
        <v>0.22036391721558415</v>
      </c>
      <c r="AB26" s="386">
        <v>12265.80956438089</v>
      </c>
      <c r="AC26" s="387">
        <v>1.6604165658321719</v>
      </c>
      <c r="AD26" s="387">
        <f t="shared" si="6"/>
        <v>0.92785013009244788</v>
      </c>
      <c r="AE26" s="385"/>
      <c r="AH26" s="22" t="s">
        <v>163</v>
      </c>
      <c r="AI26" t="s">
        <v>163</v>
      </c>
      <c r="AJ26" t="s">
        <v>560</v>
      </c>
      <c r="AK26" t="s">
        <v>561</v>
      </c>
      <c r="AL26" t="s">
        <v>585</v>
      </c>
      <c r="AM26" s="390">
        <v>212559420</v>
      </c>
      <c r="AP26" s="22" t="s">
        <v>163</v>
      </c>
    </row>
    <row r="27" spans="2:42" x14ac:dyDescent="0.25">
      <c r="B27" s="542">
        <v>162</v>
      </c>
      <c r="C27" s="22" t="s">
        <v>290</v>
      </c>
      <c r="D27" s="53">
        <v>0.17610511497563638</v>
      </c>
      <c r="E27" s="401">
        <f t="shared" si="0"/>
        <v>12952220</v>
      </c>
      <c r="F27" s="405">
        <f t="shared" si="5"/>
        <v>2280952.1922897371</v>
      </c>
      <c r="G27" s="422"/>
      <c r="H27" s="542">
        <v>100</v>
      </c>
      <c r="I27" s="22" t="s">
        <v>184</v>
      </c>
      <c r="J27" s="53">
        <v>0.9971159016220309</v>
      </c>
      <c r="K27" s="401">
        <f t="shared" si="1"/>
        <v>110940</v>
      </c>
      <c r="L27" s="405">
        <f t="shared" si="2"/>
        <v>110620.03812594811</v>
      </c>
      <c r="N27" s="542">
        <v>38</v>
      </c>
      <c r="O27" s="22" t="s">
        <v>217</v>
      </c>
      <c r="P27" s="53">
        <v>3.0251894368375907</v>
      </c>
      <c r="Q27" s="401">
        <f t="shared" si="3"/>
        <v>2078940</v>
      </c>
      <c r="R27" s="405">
        <f t="shared" si="4"/>
        <v>6289187.3278191406</v>
      </c>
      <c r="T27" s="383"/>
      <c r="U27" s="147"/>
      <c r="V27" s="145" t="s">
        <v>169</v>
      </c>
      <c r="W27" s="151">
        <f>'[1]Income data'!C90</f>
        <v>16070.815000000001</v>
      </c>
      <c r="X27" s="149">
        <f>'[1]mortality values_starting value'!F$8*(W27/'[1]Income data'!C$26)^'[1]mortality values_starting value'!F$14</f>
        <v>1.432042485004684</v>
      </c>
      <c r="Y27" s="150">
        <f>X27/'[1]mortality values_starting value'!F$7</f>
        <v>0.31117473969145915</v>
      </c>
      <c r="AB27" s="386">
        <v>9350.0879035476719</v>
      </c>
      <c r="AC27" s="387">
        <v>1.3363266779482879</v>
      </c>
      <c r="AD27" s="387">
        <f t="shared" si="6"/>
        <v>1.718787584221781</v>
      </c>
      <c r="AE27" s="385"/>
      <c r="AH27" s="22" t="s">
        <v>309</v>
      </c>
      <c r="AI27" t="s">
        <v>765</v>
      </c>
      <c r="AJ27" t="s">
        <v>560</v>
      </c>
      <c r="AK27" t="s">
        <v>561</v>
      </c>
      <c r="AL27" t="s">
        <v>586</v>
      </c>
      <c r="AM27" s="390">
        <v>437480</v>
      </c>
      <c r="AP27" s="22" t="s">
        <v>309</v>
      </c>
    </row>
    <row r="28" spans="2:42" x14ac:dyDescent="0.25">
      <c r="B28" s="542">
        <v>161</v>
      </c>
      <c r="C28" s="22" t="s">
        <v>305</v>
      </c>
      <c r="D28" s="53">
        <v>0.17782606294951916</v>
      </c>
      <c r="E28" s="401">
        <f t="shared" si="0"/>
        <v>38928350</v>
      </c>
      <c r="F28" s="405">
        <f t="shared" si="5"/>
        <v>6922475.2176209148</v>
      </c>
      <c r="G28" s="422"/>
      <c r="H28" s="541">
        <v>99</v>
      </c>
      <c r="I28" s="187" t="s">
        <v>287</v>
      </c>
      <c r="J28" s="393">
        <v>1.0100359766791005</v>
      </c>
      <c r="K28" s="407">
        <f t="shared" si="1"/>
        <v>2540910</v>
      </c>
      <c r="L28" s="408">
        <f t="shared" si="2"/>
        <v>2566410.513503693</v>
      </c>
      <c r="N28" s="542">
        <v>37</v>
      </c>
      <c r="O28" s="22" t="s">
        <v>195</v>
      </c>
      <c r="P28" s="53">
        <v>3.1153399880820856</v>
      </c>
      <c r="Q28" s="401">
        <f t="shared" si="3"/>
        <v>1207360</v>
      </c>
      <c r="R28" s="405">
        <f t="shared" si="4"/>
        <v>3761336.8880107868</v>
      </c>
      <c r="T28" s="383"/>
      <c r="U28" s="147"/>
      <c r="V28" s="145" t="s">
        <v>170</v>
      </c>
      <c r="W28" s="151">
        <f>'[1]Income data'!C91</f>
        <v>11185.152</v>
      </c>
      <c r="X28" s="149">
        <f>'[1]mortality values_starting value'!F$8*(W28/'[1]Income data'!C$26)^'[1]mortality values_starting value'!F$14</f>
        <v>0.99668951856113763</v>
      </c>
      <c r="Y28" s="150">
        <f>X28/'[1]mortality values_starting value'!F$7</f>
        <v>0.21657500021059312</v>
      </c>
      <c r="AB28" s="386">
        <v>8027.5595189031292</v>
      </c>
      <c r="AC28" s="387">
        <v>1.1828424738690924</v>
      </c>
      <c r="AD28" s="387">
        <f t="shared" si="6"/>
        <v>1.393344013664606</v>
      </c>
      <c r="AE28" s="385"/>
      <c r="AH28" s="22" t="s">
        <v>193</v>
      </c>
      <c r="AI28" t="s">
        <v>193</v>
      </c>
      <c r="AJ28" t="s">
        <v>560</v>
      </c>
      <c r="AK28" t="s">
        <v>561</v>
      </c>
      <c r="AL28" t="s">
        <v>587</v>
      </c>
      <c r="AM28" s="390">
        <v>6948440</v>
      </c>
      <c r="AP28" s="22" t="s">
        <v>193</v>
      </c>
    </row>
    <row r="29" spans="2:42" x14ac:dyDescent="0.25">
      <c r="B29" s="542">
        <v>160</v>
      </c>
      <c r="C29" s="22" t="s">
        <v>282</v>
      </c>
      <c r="D29" s="53">
        <v>0.18635176378549281</v>
      </c>
      <c r="E29" s="401">
        <f t="shared" si="0"/>
        <v>20250830</v>
      </c>
      <c r="F29" s="405">
        <f t="shared" si="5"/>
        <v>3773777.8886201712</v>
      </c>
      <c r="G29" s="422"/>
      <c r="H29" s="542">
        <v>98</v>
      </c>
      <c r="I29" s="22" t="s">
        <v>168</v>
      </c>
      <c r="J29" s="53">
        <v>1.0141263134908411</v>
      </c>
      <c r="K29" s="401">
        <f t="shared" si="1"/>
        <v>71990</v>
      </c>
      <c r="L29" s="405">
        <f t="shared" si="2"/>
        <v>73006.953308205659</v>
      </c>
      <c r="N29" s="542">
        <v>36</v>
      </c>
      <c r="O29" s="22" t="s">
        <v>196</v>
      </c>
      <c r="P29" s="53">
        <v>3.1234618268911758</v>
      </c>
      <c r="Q29" s="401">
        <f t="shared" si="3"/>
        <v>10708980</v>
      </c>
      <c r="R29" s="405">
        <f t="shared" si="4"/>
        <v>33449090.234941065</v>
      </c>
      <c r="T29" s="383"/>
      <c r="U29" s="147"/>
      <c r="V29" s="145" t="s">
        <v>171</v>
      </c>
      <c r="W29" s="151">
        <f>'[1]Income data'!C93</f>
        <v>8623.2430000000004</v>
      </c>
      <c r="X29" s="149">
        <f>'[1]mortality values_starting value'!F$8*(W29/'[1]Income data'!C$26)^'[1]mortality values_starting value'!F$14</f>
        <v>0.76840224559359582</v>
      </c>
      <c r="Y29" s="150">
        <f>X29/'[1]mortality values_starting value'!F$7</f>
        <v>0.16696946581870281</v>
      </c>
      <c r="AB29" s="386">
        <v>6667.8482722878798</v>
      </c>
      <c r="AC29" s="387">
        <v>1.0196441938697587</v>
      </c>
      <c r="AD29" s="387">
        <f t="shared" si="6"/>
        <v>1.2932572319977496</v>
      </c>
      <c r="AE29" s="385"/>
      <c r="AH29" s="22" t="s">
        <v>256</v>
      </c>
      <c r="AI29" t="s">
        <v>256</v>
      </c>
      <c r="AJ29" t="s">
        <v>560</v>
      </c>
      <c r="AK29" t="s">
        <v>561</v>
      </c>
      <c r="AL29" t="s">
        <v>588</v>
      </c>
      <c r="AM29" s="390">
        <v>20903270</v>
      </c>
      <c r="AP29" s="22" t="s">
        <v>256</v>
      </c>
    </row>
    <row r="30" spans="2:42" x14ac:dyDescent="0.25">
      <c r="B30" s="542">
        <v>159</v>
      </c>
      <c r="C30" s="22" t="s">
        <v>332</v>
      </c>
      <c r="D30" s="53">
        <v>0.18651991108662247</v>
      </c>
      <c r="E30" s="401">
        <f t="shared" si="0"/>
        <v>686880</v>
      </c>
      <c r="F30" s="405">
        <f t="shared" si="5"/>
        <v>128116.79652717925</v>
      </c>
      <c r="G30" s="422"/>
      <c r="H30" s="542">
        <v>97</v>
      </c>
      <c r="I30" s="22" t="s">
        <v>301</v>
      </c>
      <c r="J30" s="53">
        <v>1.0364201327674833</v>
      </c>
      <c r="K30" s="401">
        <f t="shared" si="1"/>
        <v>11818620</v>
      </c>
      <c r="L30" s="405">
        <f t="shared" si="2"/>
        <v>12249055.709528433</v>
      </c>
      <c r="N30" s="542">
        <v>35</v>
      </c>
      <c r="O30" s="22" t="s">
        <v>241</v>
      </c>
      <c r="P30" s="53">
        <v>3.2488526779187188</v>
      </c>
      <c r="Q30" s="401">
        <f t="shared" si="3"/>
        <v>8655530</v>
      </c>
      <c r="R30" s="405">
        <f t="shared" si="4"/>
        <v>28120541.819305807</v>
      </c>
      <c r="T30" s="383"/>
      <c r="U30" s="147"/>
      <c r="V30" s="145" t="s">
        <v>172</v>
      </c>
      <c r="W30" s="151">
        <f>'[1]Income data'!C111</f>
        <v>14222.832</v>
      </c>
      <c r="X30" s="149">
        <f>'[1]mortality values_starting value'!F$8*(W30/'[1]Income data'!C$26)^'[1]mortality values_starting value'!F$14</f>
        <v>1.2673719211554695</v>
      </c>
      <c r="Y30" s="150">
        <f>X30/'[1]mortality values_starting value'!F$7</f>
        <v>0.27539275670060009</v>
      </c>
      <c r="AB30" s="386">
        <v>10564.536069331256</v>
      </c>
      <c r="AC30" s="387">
        <v>1.4734670472216223</v>
      </c>
      <c r="AD30" s="387">
        <f t="shared" si="6"/>
        <v>1.3462807932748453</v>
      </c>
      <c r="AE30" s="385"/>
      <c r="AH30" s="22" t="s">
        <v>257</v>
      </c>
      <c r="AI30" t="s">
        <v>257</v>
      </c>
      <c r="AJ30" t="s">
        <v>560</v>
      </c>
      <c r="AK30" t="s">
        <v>561</v>
      </c>
      <c r="AL30" t="s">
        <v>589</v>
      </c>
      <c r="AM30" s="390">
        <v>11890780</v>
      </c>
      <c r="AP30" s="22" t="s">
        <v>310</v>
      </c>
    </row>
    <row r="31" spans="2:42" x14ac:dyDescent="0.25">
      <c r="B31" s="542">
        <v>158</v>
      </c>
      <c r="C31" s="22" t="s">
        <v>254</v>
      </c>
      <c r="D31" s="53">
        <v>0.18880954802489822</v>
      </c>
      <c r="E31" s="401">
        <f t="shared" si="0"/>
        <v>12123200</v>
      </c>
      <c r="F31" s="405">
        <f t="shared" si="5"/>
        <v>2288975.9126154459</v>
      </c>
      <c r="G31" s="422"/>
      <c r="H31" s="542">
        <v>96</v>
      </c>
      <c r="I31" s="22" t="s">
        <v>316</v>
      </c>
      <c r="J31" s="53">
        <v>1.0440989486273382</v>
      </c>
      <c r="K31" s="401">
        <f t="shared" si="1"/>
        <v>273523610</v>
      </c>
      <c r="L31" s="405">
        <f t="shared" si="2"/>
        <v>285585713.62575412</v>
      </c>
      <c r="N31" s="542">
        <v>34</v>
      </c>
      <c r="O31" s="22" t="s">
        <v>218</v>
      </c>
      <c r="P31" s="53">
        <v>3.331724240616313</v>
      </c>
      <c r="Q31" s="401">
        <f t="shared" si="3"/>
        <v>46754780</v>
      </c>
      <c r="R31" s="405">
        <f t="shared" si="4"/>
        <v>155774033.89068279</v>
      </c>
      <c r="T31" s="383"/>
      <c r="U31" s="147"/>
      <c r="V31" s="145" t="s">
        <v>173</v>
      </c>
      <c r="W31" s="151">
        <f>'[1]Income data'!C113</f>
        <v>7944.68</v>
      </c>
      <c r="X31" s="149">
        <f>'[1]mortality values_starting value'!F$8*(W31/'[1]Income data'!C$26)^'[1]mortality values_starting value'!F$14</f>
        <v>0.70793667214556388</v>
      </c>
      <c r="Y31" s="150">
        <f>X31/'[1]mortality values_starting value'!F$7</f>
        <v>0.15383063839213762</v>
      </c>
      <c r="AB31" s="386">
        <v>4784.9099086880824</v>
      </c>
      <c r="AC31" s="387">
        <v>0.78191419179209953</v>
      </c>
      <c r="AD31" s="387">
        <f t="shared" si="6"/>
        <v>1.6603614595908365</v>
      </c>
      <c r="AE31" s="385"/>
      <c r="AH31" s="22" t="s">
        <v>259</v>
      </c>
      <c r="AI31" t="s">
        <v>766</v>
      </c>
      <c r="AJ31" t="s">
        <v>560</v>
      </c>
      <c r="AK31" t="s">
        <v>561</v>
      </c>
      <c r="AL31" t="s">
        <v>590</v>
      </c>
      <c r="AM31" s="390">
        <v>555990</v>
      </c>
      <c r="AP31" s="22" t="s">
        <v>257</v>
      </c>
    </row>
    <row r="32" spans="2:42" x14ac:dyDescent="0.25">
      <c r="B32" s="542">
        <v>157</v>
      </c>
      <c r="C32" s="22" t="s">
        <v>304</v>
      </c>
      <c r="D32" s="53">
        <v>0.19897706869304663</v>
      </c>
      <c r="E32" s="401">
        <f t="shared" si="0"/>
        <v>14862920</v>
      </c>
      <c r="F32" s="405">
        <f t="shared" si="5"/>
        <v>2957380.2538192566</v>
      </c>
      <c r="G32" s="422"/>
      <c r="H32" s="542">
        <v>95</v>
      </c>
      <c r="I32" s="22" t="s">
        <v>189</v>
      </c>
      <c r="J32" s="53">
        <v>1.0533056148449933</v>
      </c>
      <c r="K32" s="401">
        <f t="shared" si="1"/>
        <v>2877800</v>
      </c>
      <c r="L32" s="405">
        <f t="shared" si="2"/>
        <v>3031202.8984009218</v>
      </c>
      <c r="N32" s="542">
        <v>33</v>
      </c>
      <c r="O32" s="22" t="s">
        <v>205</v>
      </c>
      <c r="P32" s="53">
        <v>3.3666462310216536</v>
      </c>
      <c r="Q32" s="401">
        <f t="shared" si="3"/>
        <v>60461830</v>
      </c>
      <c r="R32" s="405">
        <f t="shared" si="4"/>
        <v>203553592.09017193</v>
      </c>
      <c r="T32" s="383"/>
      <c r="U32" s="147"/>
      <c r="V32" s="145" t="s">
        <v>174</v>
      </c>
      <c r="W32" s="151">
        <f>'[1]Income data'!C116</f>
        <v>7870.8040000000001</v>
      </c>
      <c r="X32" s="149">
        <f>'[1]mortality values_starting value'!F$8*(W32/'[1]Income data'!C$26)^'[1]mortality values_starting value'!F$14</f>
        <v>0.70135370976175171</v>
      </c>
      <c r="Y32" s="150">
        <f>X32/'[1]mortality values_starting value'!F$7</f>
        <v>0.15240019786566489</v>
      </c>
      <c r="AB32" s="386">
        <v>3431.7160796827638</v>
      </c>
      <c r="AC32" s="387">
        <v>0.59933434151592657</v>
      </c>
      <c r="AD32" s="387">
        <f t="shared" si="6"/>
        <v>2.2935475480033292</v>
      </c>
      <c r="AE32" s="385"/>
      <c r="AH32" s="22" t="s">
        <v>311</v>
      </c>
      <c r="AI32" t="s">
        <v>311</v>
      </c>
      <c r="AJ32" t="s">
        <v>560</v>
      </c>
      <c r="AK32" t="s">
        <v>561</v>
      </c>
      <c r="AL32" t="s">
        <v>591</v>
      </c>
      <c r="AM32" s="390">
        <v>16718970.000000002</v>
      </c>
      <c r="AP32" s="22" t="s">
        <v>311</v>
      </c>
    </row>
    <row r="33" spans="2:42" x14ac:dyDescent="0.25">
      <c r="B33" s="542">
        <v>156</v>
      </c>
      <c r="C33" s="22" t="s">
        <v>302</v>
      </c>
      <c r="D33" s="53">
        <v>0.20323965178623038</v>
      </c>
      <c r="E33" s="401">
        <f t="shared" si="0"/>
        <v>45741010</v>
      </c>
      <c r="F33" s="405">
        <f t="shared" si="5"/>
        <v>9296386.9447504822</v>
      </c>
      <c r="G33" s="422"/>
      <c r="H33" s="542">
        <v>94</v>
      </c>
      <c r="I33" s="22" t="s">
        <v>242</v>
      </c>
      <c r="J33" s="53">
        <v>1.0928679035336739</v>
      </c>
      <c r="K33" s="401">
        <f t="shared" si="1"/>
        <v>10203130</v>
      </c>
      <c r="L33" s="405">
        <f t="shared" si="2"/>
        <v>11150673.292581534</v>
      </c>
      <c r="N33" s="542">
        <v>32</v>
      </c>
      <c r="O33" s="22" t="s">
        <v>268</v>
      </c>
      <c r="P33" s="53">
        <v>3.3847689046748326</v>
      </c>
      <c r="Q33" s="401">
        <f t="shared" si="3"/>
        <v>1402980</v>
      </c>
      <c r="R33" s="405">
        <f t="shared" si="4"/>
        <v>4748763.0778806964</v>
      </c>
      <c r="T33" s="383"/>
      <c r="U33" s="147"/>
      <c r="V33" s="145" t="s">
        <v>175</v>
      </c>
      <c r="W33" s="151">
        <f>'[1]Income data'!C117</f>
        <v>1783.606</v>
      </c>
      <c r="X33" s="149">
        <f>'[1]mortality values_starting value'!F$8*(W33/'[1]Income data'!C$26)^'[1]mortality values_starting value'!F$14</f>
        <v>0.15893404090018237</v>
      </c>
      <c r="Y33" s="150">
        <f>X33/'[1]mortality values_starting value'!F$7</f>
        <v>3.4535468970436453E-2</v>
      </c>
      <c r="AB33" s="386">
        <v>1110.7318954067553</v>
      </c>
      <c r="AC33" s="387">
        <v>0.24307902068451914</v>
      </c>
      <c r="AD33" s="387">
        <f t="shared" si="6"/>
        <v>1.6057934478840503</v>
      </c>
      <c r="AE33" s="385"/>
      <c r="AH33" s="22" t="s">
        <v>258</v>
      </c>
      <c r="AI33" t="s">
        <v>258</v>
      </c>
      <c r="AJ33" t="s">
        <v>560</v>
      </c>
      <c r="AK33" t="s">
        <v>561</v>
      </c>
      <c r="AL33" t="s">
        <v>592</v>
      </c>
      <c r="AM33" s="390">
        <v>26545860</v>
      </c>
      <c r="AP33" s="22" t="s">
        <v>258</v>
      </c>
    </row>
    <row r="34" spans="2:42" x14ac:dyDescent="0.25">
      <c r="B34" s="542">
        <v>155</v>
      </c>
      <c r="C34" s="22" t="s">
        <v>251</v>
      </c>
      <c r="D34" s="53">
        <v>0.21156396793722629</v>
      </c>
      <c r="E34" s="401">
        <f t="shared" si="0"/>
        <v>29825960</v>
      </c>
      <c r="F34" s="405">
        <f t="shared" si="5"/>
        <v>6310098.4451369941</v>
      </c>
      <c r="G34" s="422"/>
      <c r="H34" s="542">
        <v>93</v>
      </c>
      <c r="I34" s="22" t="s">
        <v>324</v>
      </c>
      <c r="J34" s="53">
        <v>1.0935073444626122</v>
      </c>
      <c r="K34" s="401">
        <f t="shared" si="1"/>
        <v>3278290</v>
      </c>
      <c r="L34" s="405">
        <f t="shared" si="2"/>
        <v>3584834.1922783372</v>
      </c>
      <c r="N34" s="542">
        <v>31</v>
      </c>
      <c r="O34" s="22" t="s">
        <v>326</v>
      </c>
      <c r="P34" s="53">
        <v>3.3915707836269346</v>
      </c>
      <c r="Q34" s="401">
        <f t="shared" si="3"/>
        <v>4822230</v>
      </c>
      <c r="R34" s="405">
        <f t="shared" si="4"/>
        <v>16354934.379929313</v>
      </c>
      <c r="T34" s="383"/>
      <c r="U34" s="147"/>
      <c r="V34" s="145" t="s">
        <v>176</v>
      </c>
      <c r="W34" s="151">
        <f>'[1]Income data'!C118</f>
        <v>5270.5630000000001</v>
      </c>
      <c r="X34" s="149">
        <f>'[1]mortality values_starting value'!F$8*(W34/'[1]Income data'!C$26)^'[1]mortality values_starting value'!F$14</f>
        <v>0.46965073867714496</v>
      </c>
      <c r="Y34" s="150">
        <f>X34/'[1]mortality values_starting value'!F$7</f>
        <v>0.10205245157463612</v>
      </c>
      <c r="AB34" s="386">
        <v>3922.9282161709184</v>
      </c>
      <c r="AC34" s="387">
        <v>0.66703461622324367</v>
      </c>
      <c r="AD34" s="387">
        <f t="shared" si="6"/>
        <v>1.3435277704735769</v>
      </c>
      <c r="AE34" s="385"/>
      <c r="AH34" s="22" t="s">
        <v>154</v>
      </c>
      <c r="AI34" t="s">
        <v>154</v>
      </c>
      <c r="AJ34" t="s">
        <v>560</v>
      </c>
      <c r="AK34" t="s">
        <v>561</v>
      </c>
      <c r="AL34" t="s">
        <v>593</v>
      </c>
      <c r="AM34" s="390">
        <v>37742150</v>
      </c>
      <c r="AP34" s="22" t="s">
        <v>154</v>
      </c>
    </row>
    <row r="35" spans="2:42" x14ac:dyDescent="0.25">
      <c r="B35" s="542">
        <v>154</v>
      </c>
      <c r="C35" s="22" t="s">
        <v>261</v>
      </c>
      <c r="D35" s="53">
        <v>0.21769301280542944</v>
      </c>
      <c r="E35" s="401">
        <f t="shared" ref="E35:E64" si="7">IFERROR(VLOOKUP(C35,$AH$3:$AM$203,6,FALSE),"not assigned")</f>
        <v>16425860</v>
      </c>
      <c r="F35" s="405">
        <f t="shared" si="5"/>
        <v>3575794.9513201914</v>
      </c>
      <c r="G35" s="422"/>
      <c r="H35" s="542">
        <v>92</v>
      </c>
      <c r="I35" s="22" t="s">
        <v>333</v>
      </c>
      <c r="J35" s="53">
        <v>1.0946810785646153</v>
      </c>
      <c r="K35" s="401">
        <f t="shared" si="1"/>
        <v>21413250</v>
      </c>
      <c r="L35" s="405">
        <f t="shared" si="2"/>
        <v>23440679.605573747</v>
      </c>
      <c r="N35" s="542">
        <v>30</v>
      </c>
      <c r="O35" s="22" t="s">
        <v>320</v>
      </c>
      <c r="P35" s="53">
        <v>3.4328282411710855</v>
      </c>
      <c r="Q35" s="401">
        <f t="shared" si="3"/>
        <v>51269180</v>
      </c>
      <c r="R35" s="405">
        <f t="shared" si="4"/>
        <v>175998289.00568381</v>
      </c>
      <c r="T35" s="383"/>
      <c r="U35" s="147"/>
      <c r="V35" s="145" t="s">
        <v>177</v>
      </c>
      <c r="W35" s="151">
        <f>'[1]Income data'!C130</f>
        <v>8953.8310000000001</v>
      </c>
      <c r="X35" s="149">
        <f>'[1]mortality values_starting value'!F$8*(W35/'[1]Income data'!C$26)^'[1]mortality values_starting value'!F$14</f>
        <v>0.79786036959245521</v>
      </c>
      <c r="Y35" s="150">
        <f>X35/'[1]mortality values_starting value'!F$7</f>
        <v>0.17337054969933491</v>
      </c>
      <c r="AB35" s="386">
        <v>7673.4130161358207</v>
      </c>
      <c r="AC35" s="387">
        <v>1.1409088345055327</v>
      </c>
      <c r="AD35" s="387">
        <f t="shared" si="6"/>
        <v>1.1668642077745182</v>
      </c>
      <c r="AE35" s="385"/>
      <c r="AH35" s="22" t="s">
        <v>260</v>
      </c>
      <c r="AI35" t="s">
        <v>260</v>
      </c>
      <c r="AJ35" t="s">
        <v>560</v>
      </c>
      <c r="AK35" t="s">
        <v>561</v>
      </c>
      <c r="AL35" t="s">
        <v>594</v>
      </c>
      <c r="AM35" s="390">
        <v>4829770</v>
      </c>
      <c r="AP35" s="22" t="s">
        <v>259</v>
      </c>
    </row>
    <row r="36" spans="2:42" x14ac:dyDescent="0.25">
      <c r="B36" s="542">
        <v>153</v>
      </c>
      <c r="C36" s="22" t="s">
        <v>325</v>
      </c>
      <c r="D36" s="53">
        <v>0.22179448815063102</v>
      </c>
      <c r="E36" s="401">
        <f t="shared" si="7"/>
        <v>29136810</v>
      </c>
      <c r="F36" s="405">
        <f t="shared" si="5"/>
        <v>6462383.860292187</v>
      </c>
      <c r="G36" s="422"/>
      <c r="H36" s="542">
        <v>91</v>
      </c>
      <c r="I36" s="22" t="s">
        <v>267</v>
      </c>
      <c r="J36" s="53">
        <v>1.1183665907660283</v>
      </c>
      <c r="K36" s="401">
        <f t="shared" si="1"/>
        <v>102334400</v>
      </c>
      <c r="L36" s="405">
        <f t="shared" si="2"/>
        <v>114447374.04608704</v>
      </c>
      <c r="N36" s="542">
        <v>29</v>
      </c>
      <c r="O36" s="22" t="s">
        <v>208</v>
      </c>
      <c r="P36" s="53">
        <v>3.5534979045759538</v>
      </c>
      <c r="Q36" s="401">
        <f t="shared" si="3"/>
        <v>441540</v>
      </c>
      <c r="R36" s="405">
        <f t="shared" si="4"/>
        <v>1569011.4647864667</v>
      </c>
      <c r="T36" s="383"/>
      <c r="U36" s="147"/>
      <c r="V36" s="145" t="s">
        <v>178</v>
      </c>
      <c r="W36" s="151">
        <f>'[1]Income data'!C176</f>
        <v>5539.8280000000004</v>
      </c>
      <c r="X36" s="149">
        <f>'[1]mortality values_starting value'!F$8*(W36/'[1]Income data'!C$26)^'[1]mortality values_starting value'!F$14</f>
        <v>0.49364447637649539</v>
      </c>
      <c r="Y36" s="150">
        <f>X36/'[1]mortality values_starting value'!F$7</f>
        <v>0.10726615519097547</v>
      </c>
      <c r="AB36" s="386">
        <v>2913.2788160904806</v>
      </c>
      <c r="AC36" s="387">
        <v>0.52573358819775673</v>
      </c>
      <c r="AD36" s="387">
        <f t="shared" si="6"/>
        <v>1.9015783760217835</v>
      </c>
      <c r="AE36" s="385"/>
      <c r="AH36" s="22" t="s">
        <v>261</v>
      </c>
      <c r="AI36" t="s">
        <v>261</v>
      </c>
      <c r="AJ36" t="s">
        <v>560</v>
      </c>
      <c r="AK36" t="s">
        <v>561</v>
      </c>
      <c r="AL36" t="s">
        <v>595</v>
      </c>
      <c r="AM36" s="390">
        <v>16425860</v>
      </c>
      <c r="AP36" s="22" t="s">
        <v>260</v>
      </c>
    </row>
    <row r="37" spans="2:42" x14ac:dyDescent="0.25">
      <c r="B37" s="542">
        <v>152</v>
      </c>
      <c r="C37" s="22" t="s">
        <v>292</v>
      </c>
      <c r="D37" s="53">
        <v>0.22640530635394446</v>
      </c>
      <c r="E37" s="401">
        <f t="shared" si="7"/>
        <v>16743930</v>
      </c>
      <c r="F37" s="405">
        <f t="shared" si="5"/>
        <v>3790914.6012190012</v>
      </c>
      <c r="G37" s="422"/>
      <c r="H37" s="542">
        <v>90</v>
      </c>
      <c r="I37" s="22" t="s">
        <v>181</v>
      </c>
      <c r="J37" s="53">
        <v>1.1506711001596859</v>
      </c>
      <c r="K37" s="401">
        <f t="shared" si="1"/>
        <v>32971850</v>
      </c>
      <c r="L37" s="405">
        <f t="shared" si="2"/>
        <v>37939754.913800135</v>
      </c>
      <c r="N37" s="542">
        <v>28</v>
      </c>
      <c r="O37" s="22" t="s">
        <v>317</v>
      </c>
      <c r="P37" s="53">
        <v>3.6845746512379476</v>
      </c>
      <c r="Q37" s="401">
        <f t="shared" si="3"/>
        <v>126476460</v>
      </c>
      <c r="R37" s="405">
        <f t="shared" si="4"/>
        <v>466011958.4943102</v>
      </c>
      <c r="T37" s="383"/>
      <c r="U37" s="147"/>
      <c r="V37" s="145" t="s">
        <v>179</v>
      </c>
      <c r="W37" s="151">
        <f>'[1]Income data'!C184</f>
        <v>22989.377</v>
      </c>
      <c r="X37" s="149">
        <f>'[1]mortality values_starting value'!F$8*(W37/'[1]Income data'!C$26)^'[1]mortality values_starting value'!F$14</f>
        <v>2.0485435597254726</v>
      </c>
      <c r="Y37" s="150">
        <f>X37/'[1]mortality values_starting value'!F$7</f>
        <v>0.44513693945477045</v>
      </c>
      <c r="AB37" s="386">
        <v>13607.827472254341</v>
      </c>
      <c r="AC37" s="387">
        <v>1.8042267563546388</v>
      </c>
      <c r="AD37" s="387">
        <f t="shared" si="6"/>
        <v>1.6894230211893968</v>
      </c>
      <c r="AE37" s="385"/>
      <c r="AH37" s="187" t="s">
        <v>164</v>
      </c>
      <c r="AI37" t="s">
        <v>164</v>
      </c>
      <c r="AJ37" t="s">
        <v>560</v>
      </c>
      <c r="AK37" t="s">
        <v>561</v>
      </c>
      <c r="AL37" t="s">
        <v>596</v>
      </c>
      <c r="AM37" s="390">
        <v>19116200</v>
      </c>
      <c r="AP37" s="22" t="s">
        <v>261</v>
      </c>
    </row>
    <row r="38" spans="2:42" x14ac:dyDescent="0.25">
      <c r="B38" s="542">
        <v>151</v>
      </c>
      <c r="C38" s="22" t="s">
        <v>338</v>
      </c>
      <c r="D38" s="53">
        <v>0.24003450500528548</v>
      </c>
      <c r="E38" s="401">
        <f t="shared" si="7"/>
        <v>307140</v>
      </c>
      <c r="F38" s="405">
        <f t="shared" si="5"/>
        <v>73724.197867323383</v>
      </c>
      <c r="G38" s="422"/>
      <c r="H38" s="542">
        <v>89</v>
      </c>
      <c r="I38" s="22" t="s">
        <v>183</v>
      </c>
      <c r="J38" s="53">
        <v>1.1779017847911166</v>
      </c>
      <c r="K38" s="401">
        <f t="shared" si="1"/>
        <v>183630</v>
      </c>
      <c r="L38" s="405">
        <f t="shared" si="2"/>
        <v>216298.10474119274</v>
      </c>
      <c r="N38" s="542">
        <v>27</v>
      </c>
      <c r="O38" s="22" t="s">
        <v>198</v>
      </c>
      <c r="P38" s="53">
        <v>3.7587828643877428</v>
      </c>
      <c r="Q38" s="401">
        <f t="shared" si="3"/>
        <v>5540720</v>
      </c>
      <c r="R38" s="405">
        <f t="shared" si="4"/>
        <v>20826363.392370455</v>
      </c>
      <c r="T38" s="383"/>
      <c r="U38" s="147"/>
      <c r="V38" s="145" t="s">
        <v>180</v>
      </c>
      <c r="W38" s="151">
        <f>'[1]Income data'!C186</f>
        <v>9393.5580000000009</v>
      </c>
      <c r="X38" s="149">
        <f>'[1]mortality values_starting value'!F$8*(W38/'[1]Income data'!C$26)^'[1]mortality values_starting value'!F$14</f>
        <v>0.83704368081865343</v>
      </c>
      <c r="Y38" s="150">
        <f>X38/'[1]mortality values_starting value'!F$7</f>
        <v>0.18188486180860294</v>
      </c>
      <c r="AB38" s="386">
        <v>5181.283652653593</v>
      </c>
      <c r="AC38" s="387">
        <v>0.83331649487673753</v>
      </c>
      <c r="AD38" s="387">
        <f t="shared" si="6"/>
        <v>1.8129789121252013</v>
      </c>
      <c r="AE38" s="385"/>
      <c r="AH38" s="22" t="s">
        <v>312</v>
      </c>
      <c r="AI38" t="s">
        <v>312</v>
      </c>
      <c r="AJ38" t="s">
        <v>560</v>
      </c>
      <c r="AK38" t="s">
        <v>561</v>
      </c>
      <c r="AL38" t="s">
        <v>597</v>
      </c>
      <c r="AM38" s="390">
        <v>1471286870</v>
      </c>
      <c r="AP38" s="187" t="s">
        <v>164</v>
      </c>
    </row>
    <row r="39" spans="2:42" x14ac:dyDescent="0.25">
      <c r="B39" s="542">
        <v>150</v>
      </c>
      <c r="C39" s="22" t="s">
        <v>234</v>
      </c>
      <c r="D39" s="53">
        <v>0.26792931355580435</v>
      </c>
      <c r="E39" s="401">
        <f t="shared" si="7"/>
        <v>9537650</v>
      </c>
      <c r="F39" s="405">
        <f t="shared" si="5"/>
        <v>2555416.0174355172</v>
      </c>
      <c r="G39" s="422"/>
      <c r="H39" s="542">
        <v>88</v>
      </c>
      <c r="I39" s="22" t="s">
        <v>296</v>
      </c>
      <c r="J39" s="53">
        <v>1.1843065306395504</v>
      </c>
      <c r="K39" s="401">
        <f t="shared" si="1"/>
        <v>59308690</v>
      </c>
      <c r="L39" s="405">
        <f t="shared" si="2"/>
        <v>70239668.890676603</v>
      </c>
      <c r="N39" s="542">
        <v>26</v>
      </c>
      <c r="O39" s="22" t="s">
        <v>199</v>
      </c>
      <c r="P39" s="53">
        <v>3.7641718321488513</v>
      </c>
      <c r="Q39" s="401">
        <f t="shared" si="3"/>
        <v>65273510</v>
      </c>
      <c r="R39" s="405">
        <f t="shared" si="4"/>
        <v>245700707.72748637</v>
      </c>
      <c r="T39" s="383"/>
      <c r="U39" s="147"/>
      <c r="V39" s="145" t="s">
        <v>181</v>
      </c>
      <c r="W39" s="151">
        <f>'[1]Income data'!C187</f>
        <v>12913.18</v>
      </c>
      <c r="X39" s="149">
        <f>'[1]mortality values_starting value'!F$8*(W39/'[1]Income data'!C$26)^'[1]mortality values_starting value'!F$14</f>
        <v>1.1506711001596859</v>
      </c>
      <c r="Y39" s="150">
        <f>X39/'[1]mortality values_starting value'!F$7</f>
        <v>0.25003432776053708</v>
      </c>
      <c r="AB39" s="386">
        <v>9537.7045082840305</v>
      </c>
      <c r="AC39" s="387">
        <v>1.3577355021467374</v>
      </c>
      <c r="AD39" s="387">
        <f t="shared" si="6"/>
        <v>1.3539085834315983</v>
      </c>
      <c r="AE39" s="385"/>
      <c r="AH39" s="22" t="s">
        <v>165</v>
      </c>
      <c r="AI39" t="s">
        <v>165</v>
      </c>
      <c r="AJ39" t="s">
        <v>560</v>
      </c>
      <c r="AK39" t="s">
        <v>561</v>
      </c>
      <c r="AL39" t="s">
        <v>598</v>
      </c>
      <c r="AM39" s="390">
        <v>50882890</v>
      </c>
      <c r="AP39" s="22" t="s">
        <v>312</v>
      </c>
    </row>
    <row r="40" spans="2:42" x14ac:dyDescent="0.25">
      <c r="B40" s="542">
        <v>149</v>
      </c>
      <c r="C40" s="22" t="s">
        <v>291</v>
      </c>
      <c r="D40" s="53">
        <v>0.2739177455775938</v>
      </c>
      <c r="E40" s="401">
        <f t="shared" si="7"/>
        <v>219160</v>
      </c>
      <c r="F40" s="405">
        <f t="shared" si="5"/>
        <v>60031.813120785453</v>
      </c>
      <c r="G40" s="422"/>
      <c r="H40" s="542">
        <v>87</v>
      </c>
      <c r="I40" s="22" t="s">
        <v>185</v>
      </c>
      <c r="J40" s="53">
        <v>1.2461360843411018</v>
      </c>
      <c r="K40" s="401">
        <f t="shared" si="1"/>
        <v>586630</v>
      </c>
      <c r="L40" s="405">
        <f t="shared" si="2"/>
        <v>731020.81115702051</v>
      </c>
      <c r="N40" s="542">
        <v>25</v>
      </c>
      <c r="O40" s="22" t="s">
        <v>222</v>
      </c>
      <c r="P40" s="53">
        <v>3.7701625980857525</v>
      </c>
      <c r="Q40" s="401">
        <f t="shared" si="3"/>
        <v>67886010</v>
      </c>
      <c r="R40" s="405">
        <f t="shared" si="4"/>
        <v>255941295.83527538</v>
      </c>
      <c r="T40" s="383"/>
      <c r="U40" s="147"/>
      <c r="V40" s="145" t="s">
        <v>182</v>
      </c>
      <c r="W40" s="151">
        <f>'[1]Income data'!C214</f>
        <v>26001.393</v>
      </c>
      <c r="X40" s="149">
        <f>'[1]mortality values_starting value'!F$8*(W40/'[1]Income data'!C$26)^'[1]mortality values_starting value'!F$14</f>
        <v>2.3169390877378273</v>
      </c>
      <c r="Y40" s="150">
        <f>X40/'[1]mortality values_starting value'!F$7</f>
        <v>0.50345777102096734</v>
      </c>
      <c r="AB40" s="386">
        <v>16785.44575837001</v>
      </c>
      <c r="AC40" s="387">
        <v>2.1340588258540465</v>
      </c>
      <c r="AD40" s="387">
        <f t="shared" si="6"/>
        <v>1.5490439380815662</v>
      </c>
      <c r="AE40" s="385"/>
      <c r="AH40" s="22" t="s">
        <v>262</v>
      </c>
      <c r="AI40" t="s">
        <v>262</v>
      </c>
      <c r="AJ40" t="s">
        <v>560</v>
      </c>
      <c r="AK40" t="s">
        <v>561</v>
      </c>
      <c r="AL40" t="s">
        <v>599</v>
      </c>
      <c r="AM40" s="390">
        <v>869600</v>
      </c>
      <c r="AP40" s="22" t="s">
        <v>165</v>
      </c>
    </row>
    <row r="41" spans="2:42" x14ac:dyDescent="0.25">
      <c r="B41" s="542">
        <v>148</v>
      </c>
      <c r="C41" s="22" t="s">
        <v>299</v>
      </c>
      <c r="D41" s="53">
        <v>0.27536005199841224</v>
      </c>
      <c r="E41" s="401">
        <f t="shared" si="7"/>
        <v>59734220</v>
      </c>
      <c r="F41" s="405">
        <f t="shared" si="5"/>
        <v>16448417.925284596</v>
      </c>
      <c r="G41" s="422"/>
      <c r="H41" s="542">
        <v>86</v>
      </c>
      <c r="I41" s="22" t="s">
        <v>188</v>
      </c>
      <c r="J41" s="53">
        <v>1.2489451333717383</v>
      </c>
      <c r="K41" s="401">
        <f t="shared" si="1"/>
        <v>28435940</v>
      </c>
      <c r="L41" s="405">
        <f t="shared" si="2"/>
        <v>35514928.875850745</v>
      </c>
      <c r="N41" s="542">
        <v>24</v>
      </c>
      <c r="O41" s="22" t="s">
        <v>191</v>
      </c>
      <c r="P41" s="53">
        <v>3.9526713786448777</v>
      </c>
      <c r="Q41" s="401">
        <f t="shared" si="3"/>
        <v>11589620</v>
      </c>
      <c r="R41" s="405">
        <f t="shared" si="4"/>
        <v>45809959.263370246</v>
      </c>
      <c r="T41" s="383"/>
      <c r="U41" s="147"/>
      <c r="V41" s="145" t="s">
        <v>183</v>
      </c>
      <c r="W41" s="151">
        <f>'[1]Income data'!C215</f>
        <v>13218.771000000001</v>
      </c>
      <c r="X41" s="149">
        <f>'[1]mortality values_starting value'!F$8*(W41/'[1]Income data'!C$26)^'[1]mortality values_starting value'!F$14</f>
        <v>1.1779017847911166</v>
      </c>
      <c r="Y41" s="150">
        <f>X41/'[1]mortality values_starting value'!F$7</f>
        <v>0.25595140165361924</v>
      </c>
      <c r="AB41" s="386">
        <v>10838.092673630448</v>
      </c>
      <c r="AC41" s="387">
        <v>1.5039118165758814</v>
      </c>
      <c r="AD41" s="387">
        <f t="shared" si="6"/>
        <v>1.2196584212794053</v>
      </c>
      <c r="AE41" s="385"/>
      <c r="AH41" s="22" t="s">
        <v>263</v>
      </c>
      <c r="AI41" t="s">
        <v>769</v>
      </c>
      <c r="AJ41" t="s">
        <v>560</v>
      </c>
      <c r="AK41" t="s">
        <v>561</v>
      </c>
      <c r="AL41" t="s">
        <v>600</v>
      </c>
      <c r="AM41" s="390">
        <v>5518090</v>
      </c>
      <c r="AP41" s="22" t="s">
        <v>262</v>
      </c>
    </row>
    <row r="42" spans="2:42" x14ac:dyDescent="0.25">
      <c r="B42" s="542">
        <v>147</v>
      </c>
      <c r="C42" s="22" t="s">
        <v>258</v>
      </c>
      <c r="D42" s="53">
        <v>0.29004946081872018</v>
      </c>
      <c r="E42" s="401">
        <f t="shared" si="7"/>
        <v>26545860</v>
      </c>
      <c r="F42" s="405">
        <f t="shared" si="5"/>
        <v>7699612.3799692318</v>
      </c>
      <c r="G42" s="422"/>
      <c r="H42" s="542">
        <v>85</v>
      </c>
      <c r="I42" s="22" t="s">
        <v>165</v>
      </c>
      <c r="J42" s="53">
        <v>1.2587852702643965</v>
      </c>
      <c r="K42" s="401">
        <f t="shared" si="1"/>
        <v>50882890</v>
      </c>
      <c r="L42" s="405">
        <f t="shared" si="2"/>
        <v>64050632.440483555</v>
      </c>
      <c r="N42" s="542">
        <v>23</v>
      </c>
      <c r="O42" s="22" t="s">
        <v>154</v>
      </c>
      <c r="P42" s="53">
        <v>4.0533973257194349</v>
      </c>
      <c r="Q42" s="401">
        <f t="shared" si="3"/>
        <v>37742150</v>
      </c>
      <c r="R42" s="405">
        <f t="shared" si="4"/>
        <v>152983929.87690178</v>
      </c>
      <c r="T42" s="383"/>
      <c r="U42" s="147"/>
      <c r="V42" s="145" t="s">
        <v>184</v>
      </c>
      <c r="W42" s="151">
        <f>'[1]Income data'!C217</f>
        <v>11189.937</v>
      </c>
      <c r="X42" s="149">
        <f>'[1]mortality values_starting value'!F$8*(W42/'[1]Income data'!C$26)^'[1]mortality values_starting value'!F$14</f>
        <v>0.9971159016220309</v>
      </c>
      <c r="Y42" s="150">
        <f>X42/'[1]mortality values_starting value'!F$7</f>
        <v>0.21666765084028577</v>
      </c>
      <c r="AB42" s="386">
        <v>11076.673785260993</v>
      </c>
      <c r="AC42" s="387">
        <v>1.5303387528267083</v>
      </c>
      <c r="AD42" s="387">
        <f t="shared" si="6"/>
        <v>1.0102253814578992</v>
      </c>
      <c r="AE42" s="385"/>
      <c r="AI42" t="s">
        <v>770</v>
      </c>
      <c r="AJ42" t="s">
        <v>560</v>
      </c>
      <c r="AK42" t="s">
        <v>561</v>
      </c>
      <c r="AL42" t="s">
        <v>601</v>
      </c>
      <c r="AM42" s="390">
        <v>17560</v>
      </c>
      <c r="AP42" s="22" t="s">
        <v>263</v>
      </c>
    </row>
    <row r="43" spans="2:42" x14ac:dyDescent="0.25">
      <c r="B43" s="542">
        <v>146</v>
      </c>
      <c r="C43" s="22" t="s">
        <v>276</v>
      </c>
      <c r="D43" s="53">
        <v>0.29976778670944698</v>
      </c>
      <c r="E43" s="401">
        <f t="shared" si="7"/>
        <v>53771300</v>
      </c>
      <c r="F43" s="405">
        <f t="shared" si="5"/>
        <v>16118903.589489687</v>
      </c>
      <c r="G43" s="422"/>
      <c r="H43" s="542">
        <v>84</v>
      </c>
      <c r="I43" s="22" t="s">
        <v>172</v>
      </c>
      <c r="J43" s="53">
        <v>1.2673719211554695</v>
      </c>
      <c r="K43" s="401">
        <f t="shared" si="1"/>
        <v>112520</v>
      </c>
      <c r="L43" s="405">
        <f t="shared" si="2"/>
        <v>142604.68856841343</v>
      </c>
      <c r="N43" s="542">
        <v>22</v>
      </c>
      <c r="O43" s="22" t="s">
        <v>245</v>
      </c>
      <c r="P43" s="53">
        <v>4.1049682110784538</v>
      </c>
      <c r="Q43" s="401">
        <f t="shared" si="3"/>
        <v>5106630</v>
      </c>
      <c r="R43" s="405">
        <f t="shared" si="4"/>
        <v>20962553.815739565</v>
      </c>
      <c r="T43" s="383"/>
      <c r="U43" s="147"/>
      <c r="V43" s="145" t="s">
        <v>185</v>
      </c>
      <c r="W43" s="151">
        <f>'[1]Income data'!C219</f>
        <v>13984.517</v>
      </c>
      <c r="X43" s="149">
        <f>'[1]mortality values_starting value'!F$8*(W43/'[1]Income data'!C$26)^'[1]mortality values_starting value'!F$14</f>
        <v>1.2461360843411018</v>
      </c>
      <c r="Y43" s="150">
        <f>X43/'[1]mortality values_starting value'!F$7</f>
        <v>0.27077832936200086</v>
      </c>
      <c r="AB43" s="386">
        <v>7879</v>
      </c>
      <c r="AC43" s="387">
        <v>1.1652979002435135</v>
      </c>
      <c r="AD43" s="387">
        <f t="shared" si="6"/>
        <v>1.7749101408808223</v>
      </c>
      <c r="AE43" s="385"/>
      <c r="AH43" s="22" t="s">
        <v>166</v>
      </c>
      <c r="AI43" t="s">
        <v>166</v>
      </c>
      <c r="AJ43" t="s">
        <v>560</v>
      </c>
      <c r="AK43" t="s">
        <v>561</v>
      </c>
      <c r="AL43" t="s">
        <v>602</v>
      </c>
      <c r="AM43" s="390">
        <v>5094120</v>
      </c>
      <c r="AP43" s="22" t="s">
        <v>264</v>
      </c>
    </row>
    <row r="44" spans="2:42" x14ac:dyDescent="0.25">
      <c r="B44" s="542">
        <v>145</v>
      </c>
      <c r="C44" s="22" t="s">
        <v>266</v>
      </c>
      <c r="D44" s="53">
        <v>0.3001791104731007</v>
      </c>
      <c r="E44" s="401">
        <f t="shared" si="7"/>
        <v>988000</v>
      </c>
      <c r="F44" s="405">
        <f t="shared" si="5"/>
        <v>296576.96114742348</v>
      </c>
      <c r="G44" s="422"/>
      <c r="H44" s="542">
        <v>83</v>
      </c>
      <c r="I44" s="22" t="s">
        <v>215</v>
      </c>
      <c r="J44" s="53">
        <v>1.2842377994140879</v>
      </c>
      <c r="K44" s="401">
        <f t="shared" si="1"/>
        <v>8737370</v>
      </c>
      <c r="L44" s="405">
        <f t="shared" si="2"/>
        <v>11220860.821466669</v>
      </c>
      <c r="N44" s="542">
        <v>21</v>
      </c>
      <c r="O44" s="22" t="s">
        <v>190</v>
      </c>
      <c r="P44" s="53">
        <v>4.1428533194433808</v>
      </c>
      <c r="Q44" s="401">
        <f t="shared" si="3"/>
        <v>9006400</v>
      </c>
      <c r="R44" s="405">
        <f t="shared" si="4"/>
        <v>37312194.136234865</v>
      </c>
      <c r="T44" s="383"/>
      <c r="U44" s="147"/>
      <c r="V44" s="145" t="s">
        <v>186</v>
      </c>
      <c r="W44" s="151">
        <f>'[1]Income data'!C231</f>
        <v>31775.473000000002</v>
      </c>
      <c r="X44" s="149">
        <f>'[1]mortality values_starting value'!F$8*(W44/'[1]Income data'!C$26)^'[1]mortality values_starting value'!F$14</f>
        <v>2.8314573540370689</v>
      </c>
      <c r="Y44" s="150">
        <f>X44/'[1]mortality values_starting value'!F$7</f>
        <v>0.61525968280687615</v>
      </c>
      <c r="AB44" s="386">
        <v>25738.626826634878</v>
      </c>
      <c r="AC44" s="387">
        <v>3.0041968204339309</v>
      </c>
      <c r="AD44" s="387">
        <f t="shared" si="6"/>
        <v>1.2345442207941748</v>
      </c>
      <c r="AE44" s="385"/>
      <c r="AH44" s="22" t="s">
        <v>194</v>
      </c>
      <c r="AI44" t="s">
        <v>194</v>
      </c>
      <c r="AJ44" t="s">
        <v>560</v>
      </c>
      <c r="AK44" t="s">
        <v>561</v>
      </c>
      <c r="AL44" t="s">
        <v>603</v>
      </c>
      <c r="AM44" s="390">
        <v>4105270.0000000005</v>
      </c>
      <c r="AP44" s="22" t="s">
        <v>166</v>
      </c>
    </row>
    <row r="45" spans="2:42" x14ac:dyDescent="0.25">
      <c r="B45" s="542">
        <v>144</v>
      </c>
      <c r="C45" s="22" t="s">
        <v>229</v>
      </c>
      <c r="D45" s="53">
        <v>0.31368231003392905</v>
      </c>
      <c r="E45" s="401">
        <f t="shared" si="7"/>
        <v>6524190</v>
      </c>
      <c r="F45" s="405">
        <f t="shared" si="5"/>
        <v>2046522.9903002596</v>
      </c>
      <c r="G45" s="422"/>
      <c r="H45" s="542">
        <v>82</v>
      </c>
      <c r="I45" s="22" t="s">
        <v>207</v>
      </c>
      <c r="J45" s="53">
        <v>1.3003685344642697</v>
      </c>
      <c r="K45" s="401">
        <f t="shared" si="1"/>
        <v>2083370</v>
      </c>
      <c r="L45" s="405">
        <f t="shared" si="2"/>
        <v>2709148.7936468255</v>
      </c>
      <c r="N45" s="542">
        <v>20</v>
      </c>
      <c r="O45" s="22" t="s">
        <v>197</v>
      </c>
      <c r="P45" s="53">
        <v>4.1778405033876345</v>
      </c>
      <c r="Q45" s="401">
        <f t="shared" si="3"/>
        <v>5792200</v>
      </c>
      <c r="R45" s="405">
        <f t="shared" si="4"/>
        <v>24198887.763721857</v>
      </c>
      <c r="T45" s="383"/>
      <c r="U45" s="147"/>
      <c r="V45" s="145" t="s">
        <v>187</v>
      </c>
      <c r="W45" s="151">
        <f>'[1]Income data'!C242</f>
        <v>21394.634999999998</v>
      </c>
      <c r="X45" s="149">
        <f>'[1]mortality values_starting value'!F$8*(W45/'[1]Income data'!C$26)^'[1]mortality values_starting value'!F$14</f>
        <v>1.906438862694156</v>
      </c>
      <c r="Y45" s="150">
        <f>X45/'[1]mortality values_starting value'!F$7</f>
        <v>0.41425839180643792</v>
      </c>
      <c r="AB45" s="386">
        <v>14108.074648786262</v>
      </c>
      <c r="AC45" s="387">
        <v>1.8570956925431643</v>
      </c>
      <c r="AD45" s="387">
        <f t="shared" si="6"/>
        <v>1.5164815563150291</v>
      </c>
      <c r="AE45" s="385"/>
      <c r="AH45" s="22" t="s">
        <v>167</v>
      </c>
      <c r="AI45" t="s">
        <v>167</v>
      </c>
      <c r="AJ45" t="s">
        <v>560</v>
      </c>
      <c r="AK45" t="s">
        <v>561</v>
      </c>
      <c r="AL45" t="s">
        <v>604</v>
      </c>
      <c r="AM45" s="390">
        <v>11326620</v>
      </c>
      <c r="AP45" s="22" t="s">
        <v>265</v>
      </c>
    </row>
    <row r="46" spans="2:42" x14ac:dyDescent="0.25">
      <c r="B46" s="542">
        <v>143</v>
      </c>
      <c r="C46" s="22" t="s">
        <v>265</v>
      </c>
      <c r="D46" s="53">
        <v>0.32201072516523871</v>
      </c>
      <c r="E46" s="401">
        <f t="shared" si="7"/>
        <v>26378270</v>
      </c>
      <c r="F46" s="405">
        <f t="shared" si="5"/>
        <v>8494085.8513044622</v>
      </c>
      <c r="G46" s="422"/>
      <c r="H46" s="542">
        <v>81</v>
      </c>
      <c r="I46" s="22" t="s">
        <v>252</v>
      </c>
      <c r="J46" s="53">
        <v>1.3326374005508514</v>
      </c>
      <c r="K46" s="401">
        <f t="shared" si="1"/>
        <v>43851040</v>
      </c>
      <c r="L46" s="405">
        <f t="shared" si="2"/>
        <v>58437535.957051411</v>
      </c>
      <c r="N46" s="541">
        <v>19</v>
      </c>
      <c r="O46" s="187" t="s">
        <v>200</v>
      </c>
      <c r="P46" s="393">
        <v>4.1929832975126811</v>
      </c>
      <c r="Q46" s="407">
        <f t="shared" si="3"/>
        <v>83783940</v>
      </c>
      <c r="R46" s="408">
        <f t="shared" si="4"/>
        <v>351304661.0198046</v>
      </c>
      <c r="T46" s="383"/>
      <c r="U46" s="147"/>
      <c r="V46" s="145" t="s">
        <v>188</v>
      </c>
      <c r="W46" s="151">
        <f>'[1]Income data'!C245</f>
        <v>14016.040999999999</v>
      </c>
      <c r="X46" s="149">
        <f>'[1]mortality values_starting value'!F$8*(W46/'[1]Income data'!C$26)^'[1]mortality values_starting value'!F$14</f>
        <v>1.2489451333717383</v>
      </c>
      <c r="Y46" s="150">
        <f>X46/'[1]mortality values_starting value'!F$7</f>
        <v>0.27138871984275953</v>
      </c>
      <c r="AB46" s="386">
        <v>12232.804578902254</v>
      </c>
      <c r="AC46" s="387">
        <v>1.6568413081897049</v>
      </c>
      <c r="AD46" s="387">
        <f t="shared" si="6"/>
        <v>1.145774945524207</v>
      </c>
      <c r="AE46" s="385"/>
      <c r="AH46" s="22" t="s">
        <v>195</v>
      </c>
      <c r="AI46" t="s">
        <v>195</v>
      </c>
      <c r="AJ46" t="s">
        <v>560</v>
      </c>
      <c r="AK46" t="s">
        <v>561</v>
      </c>
      <c r="AL46" t="s">
        <v>605</v>
      </c>
      <c r="AM46" s="390">
        <v>1207360</v>
      </c>
      <c r="AP46" s="22" t="s">
        <v>194</v>
      </c>
    </row>
    <row r="47" spans="2:42" x14ac:dyDescent="0.25">
      <c r="B47" s="542">
        <v>142</v>
      </c>
      <c r="C47" s="22" t="s">
        <v>277</v>
      </c>
      <c r="D47" s="53">
        <v>0.3246184786191651</v>
      </c>
      <c r="E47" s="401">
        <f t="shared" si="7"/>
        <v>2142250</v>
      </c>
      <c r="F47" s="405">
        <f t="shared" si="5"/>
        <v>695413.93582190643</v>
      </c>
      <c r="G47" s="422"/>
      <c r="H47" s="542">
        <v>80</v>
      </c>
      <c r="I47" s="22" t="s">
        <v>163</v>
      </c>
      <c r="J47" s="53">
        <v>1.3578080802498418</v>
      </c>
      <c r="K47" s="401">
        <f t="shared" si="1"/>
        <v>212559420</v>
      </c>
      <c r="L47" s="405">
        <f t="shared" si="2"/>
        <v>288614898.00921983</v>
      </c>
      <c r="N47" s="542">
        <v>18</v>
      </c>
      <c r="O47" s="22" t="s">
        <v>306</v>
      </c>
      <c r="P47" s="53">
        <v>4.2112296616991882</v>
      </c>
      <c r="Q47" s="401">
        <f t="shared" si="3"/>
        <v>25499880</v>
      </c>
      <c r="R47" s="405">
        <f t="shared" si="4"/>
        <v>107385851.02576989</v>
      </c>
      <c r="T47" s="383"/>
      <c r="U47" s="144"/>
      <c r="V47" s="145"/>
      <c r="W47" s="152"/>
      <c r="X47" s="149"/>
      <c r="Y47" s="150">
        <f>X47/'[1]mortality values_starting value'!F$7</f>
        <v>0</v>
      </c>
      <c r="AB47" s="386"/>
      <c r="AC47" s="387">
        <v>0</v>
      </c>
      <c r="AD47" s="387" t="e">
        <f t="shared" si="6"/>
        <v>#DIV/0!</v>
      </c>
      <c r="AE47" s="385"/>
      <c r="AH47" s="22" t="s">
        <v>196</v>
      </c>
      <c r="AI47" t="s">
        <v>771</v>
      </c>
      <c r="AJ47" t="s">
        <v>560</v>
      </c>
      <c r="AK47" t="s">
        <v>561</v>
      </c>
      <c r="AL47" t="s">
        <v>606</v>
      </c>
      <c r="AM47" s="390">
        <v>10708980</v>
      </c>
      <c r="AP47" s="22" t="s">
        <v>167</v>
      </c>
    </row>
    <row r="48" spans="2:42" x14ac:dyDescent="0.25">
      <c r="B48" s="542">
        <v>141</v>
      </c>
      <c r="C48" s="22" t="s">
        <v>328</v>
      </c>
      <c r="D48" s="53">
        <v>0.33120562909155876</v>
      </c>
      <c r="E48" s="401">
        <f t="shared" si="7"/>
        <v>8947020</v>
      </c>
      <c r="F48" s="405">
        <f t="shared" si="5"/>
        <v>2963303.3875947581</v>
      </c>
      <c r="G48" s="422"/>
      <c r="H48" s="542">
        <v>79</v>
      </c>
      <c r="I48" s="22" t="s">
        <v>312</v>
      </c>
      <c r="J48" s="53">
        <v>1.3717806130565895</v>
      </c>
      <c r="K48" s="401">
        <f t="shared" si="1"/>
        <v>1471286870</v>
      </c>
      <c r="L48" s="405">
        <f t="shared" si="2"/>
        <v>2018282804.5107107</v>
      </c>
      <c r="N48" s="542">
        <v>17</v>
      </c>
      <c r="O48" s="22" t="s">
        <v>203</v>
      </c>
      <c r="P48" s="53">
        <v>4.2395894416386151</v>
      </c>
      <c r="Q48" s="401">
        <f t="shared" si="3"/>
        <v>341240</v>
      </c>
      <c r="R48" s="405">
        <f t="shared" si="4"/>
        <v>1446717.5010647611</v>
      </c>
      <c r="T48" s="383"/>
      <c r="U48" s="147"/>
      <c r="V48" s="145" t="s">
        <v>189</v>
      </c>
      <c r="W48" s="151">
        <f>'[1]Income data'!C36</f>
        <v>11820.514999999999</v>
      </c>
      <c r="X48" s="149">
        <f>'[1]mortality values_starting value'!F$8*(W48/'[1]Income data'!C$26)^'[1]mortality values_starting value'!F$14</f>
        <v>1.0533056148449933</v>
      </c>
      <c r="Y48" s="150">
        <f>X48/'[1]mortality values_starting value'!F$7</f>
        <v>0.22887735800231587</v>
      </c>
      <c r="AB48" s="386">
        <v>8592.1687557041168</v>
      </c>
      <c r="AC48" s="387">
        <v>1.2489421484337346</v>
      </c>
      <c r="AD48" s="387">
        <f t="shared" si="6"/>
        <v>1.3757312427264266</v>
      </c>
      <c r="AE48" s="385"/>
      <c r="AH48" s="22" t="s">
        <v>265</v>
      </c>
      <c r="AI48" t="s">
        <v>772</v>
      </c>
      <c r="AJ48" t="s">
        <v>560</v>
      </c>
      <c r="AK48" t="s">
        <v>561</v>
      </c>
      <c r="AL48" t="s">
        <v>607</v>
      </c>
      <c r="AM48" s="390">
        <v>26378270</v>
      </c>
      <c r="AP48" s="22" t="s">
        <v>195</v>
      </c>
    </row>
    <row r="49" spans="2:42" x14ac:dyDescent="0.25">
      <c r="B49" s="542">
        <v>140</v>
      </c>
      <c r="C49" s="22" t="s">
        <v>311</v>
      </c>
      <c r="D49" s="53">
        <v>0.33333246522476617</v>
      </c>
      <c r="E49" s="401">
        <f t="shared" si="7"/>
        <v>16718970.000000002</v>
      </c>
      <c r="F49" s="405">
        <f t="shared" si="5"/>
        <v>5572975.4861189099</v>
      </c>
      <c r="G49" s="422"/>
      <c r="H49" s="542">
        <v>78</v>
      </c>
      <c r="I49" s="22" t="s">
        <v>169</v>
      </c>
      <c r="J49" s="53">
        <v>1.432042485004684</v>
      </c>
      <c r="K49" s="401">
        <f t="shared" si="1"/>
        <v>10847910</v>
      </c>
      <c r="L49" s="405">
        <f t="shared" si="2"/>
        <v>15534667.993507162</v>
      </c>
      <c r="N49" s="542">
        <v>16</v>
      </c>
      <c r="O49" s="22" t="s">
        <v>219</v>
      </c>
      <c r="P49" s="53">
        <v>4.2834871695654213</v>
      </c>
      <c r="Q49" s="401">
        <f t="shared" si="3"/>
        <v>10099260</v>
      </c>
      <c r="R49" s="405">
        <f t="shared" si="4"/>
        <v>43260050.632105276</v>
      </c>
      <c r="T49" s="383"/>
      <c r="U49" s="147"/>
      <c r="V49" s="145" t="s">
        <v>190</v>
      </c>
      <c r="W49" s="151">
        <f>'[1]Income data'!C46</f>
        <v>47725.652999999998</v>
      </c>
      <c r="X49" s="149">
        <f>'[1]mortality values_starting value'!F$8*(W49/'[1]Income data'!C$26)^'[1]mortality values_starting value'!F$15</f>
        <v>4.1428533194433808</v>
      </c>
      <c r="Y49" s="150">
        <f>X49/'[1]mortality values_starting value'!F$7</f>
        <v>0.90021861554859861</v>
      </c>
      <c r="AB49" s="386">
        <v>40006.186910271346</v>
      </c>
      <c r="AC49" s="387">
        <v>4.2752529097344922</v>
      </c>
      <c r="AD49" s="387">
        <f t="shared" si="6"/>
        <v>1.1929568070819248</v>
      </c>
      <c r="AE49" s="385"/>
      <c r="AH49" s="22" t="s">
        <v>319</v>
      </c>
      <c r="AI49" t="s">
        <v>773</v>
      </c>
      <c r="AJ49" t="s">
        <v>560</v>
      </c>
      <c r="AK49" t="s">
        <v>561</v>
      </c>
      <c r="AL49" t="s">
        <v>608</v>
      </c>
      <c r="AM49" s="390">
        <v>25778820</v>
      </c>
      <c r="AP49" s="22" t="s">
        <v>196</v>
      </c>
    </row>
    <row r="50" spans="2:42" x14ac:dyDescent="0.25">
      <c r="B50" s="542">
        <v>139</v>
      </c>
      <c r="C50" s="22" t="s">
        <v>303</v>
      </c>
      <c r="D50" s="53">
        <v>0.34718541473627496</v>
      </c>
      <c r="E50" s="401">
        <f t="shared" si="7"/>
        <v>18383960</v>
      </c>
      <c r="F50" s="405">
        <f t="shared" si="5"/>
        <v>6382642.7770950897</v>
      </c>
      <c r="G50" s="422"/>
      <c r="H50" s="542">
        <v>77</v>
      </c>
      <c r="I50" s="22" t="s">
        <v>166</v>
      </c>
      <c r="J50" s="53">
        <v>1.4643813901896694</v>
      </c>
      <c r="K50" s="401">
        <f t="shared" si="1"/>
        <v>5094120</v>
      </c>
      <c r="L50" s="405">
        <f t="shared" si="2"/>
        <v>7459734.5273929983</v>
      </c>
      <c r="N50" s="542">
        <v>15</v>
      </c>
      <c r="O50" s="22" t="s">
        <v>334</v>
      </c>
      <c r="P50" s="53">
        <v>4.2878423465008382</v>
      </c>
      <c r="Q50" s="401" t="str">
        <f t="shared" si="3"/>
        <v>not assigned</v>
      </c>
      <c r="R50" s="405" t="str">
        <f t="shared" si="4"/>
        <v>-</v>
      </c>
      <c r="T50" s="383"/>
      <c r="U50" s="147"/>
      <c r="V50" s="145" t="s">
        <v>191</v>
      </c>
      <c r="W50" s="151">
        <f>'[1]Income data'!C53</f>
        <v>45002.932999999997</v>
      </c>
      <c r="X50" s="149">
        <f>'[1]mortality values_starting value'!F$8*(W50/'[1]Income data'!C$26)^'[1]mortality values_starting value'!F$15</f>
        <v>3.9526713786448777</v>
      </c>
      <c r="Y50" s="150">
        <f>X50/'[1]mortality values_starting value'!F$7</f>
        <v>0.85889315450838577</v>
      </c>
      <c r="AB50" s="386">
        <v>37631.062106227822</v>
      </c>
      <c r="AC50" s="387">
        <v>4.0709640235767086</v>
      </c>
      <c r="AD50" s="387">
        <f t="shared" si="6"/>
        <v>1.1958985604222994</v>
      </c>
      <c r="AE50" s="385"/>
      <c r="AH50" s="22" t="s">
        <v>264</v>
      </c>
      <c r="AI50" t="s">
        <v>774</v>
      </c>
      <c r="AJ50" t="s">
        <v>560</v>
      </c>
      <c r="AK50" t="s">
        <v>561</v>
      </c>
      <c r="AL50" t="s">
        <v>609</v>
      </c>
      <c r="AM50" s="390">
        <v>89561400</v>
      </c>
      <c r="AP50" s="22" t="s">
        <v>197</v>
      </c>
    </row>
    <row r="51" spans="2:42" x14ac:dyDescent="0.25">
      <c r="B51" s="542">
        <v>138</v>
      </c>
      <c r="C51" s="22" t="s">
        <v>307</v>
      </c>
      <c r="D51" s="53">
        <v>0.34743518521060801</v>
      </c>
      <c r="E51" s="401">
        <f t="shared" si="7"/>
        <v>164689380</v>
      </c>
      <c r="F51" s="405">
        <f t="shared" si="5"/>
        <v>57218885.242520206</v>
      </c>
      <c r="G51" s="422"/>
      <c r="H51" s="542">
        <v>76</v>
      </c>
      <c r="I51" s="22" t="s">
        <v>209</v>
      </c>
      <c r="J51" s="53">
        <v>1.4841353565123647</v>
      </c>
      <c r="K51" s="401">
        <f t="shared" si="1"/>
        <v>628070</v>
      </c>
      <c r="L51" s="405">
        <f t="shared" si="2"/>
        <v>932140.89336472086</v>
      </c>
      <c r="N51" s="542">
        <v>14</v>
      </c>
      <c r="O51" s="22" t="s">
        <v>210</v>
      </c>
      <c r="P51" s="53">
        <v>4.3857423652631899</v>
      </c>
      <c r="Q51" s="401">
        <f t="shared" si="3"/>
        <v>17134870</v>
      </c>
      <c r="R51" s="405">
        <f t="shared" si="4"/>
        <v>75149125.282277271</v>
      </c>
      <c r="T51" s="383"/>
      <c r="U51" s="147"/>
      <c r="V51" s="145" t="s">
        <v>192</v>
      </c>
      <c r="W51" s="151">
        <f>'[1]Income data'!C59</f>
        <v>10908.093000000001</v>
      </c>
      <c r="X51" s="149">
        <f>'[1]mortality values_starting value'!F$8*(W51/'[1]Income data'!C$26)^'[1]mortality values_starting value'!F$14</f>
        <v>0.97200127102341705</v>
      </c>
      <c r="Y51" s="150">
        <f>X51/'[1]mortality values_starting value'!F$7</f>
        <v>0.2112103835309676</v>
      </c>
      <c r="AB51" s="386">
        <v>8689.508855708089</v>
      </c>
      <c r="AC51" s="387">
        <v>1.2602487276290735</v>
      </c>
      <c r="AD51" s="387">
        <f t="shared" si="6"/>
        <v>1.2553175537458066</v>
      </c>
      <c r="AE51" s="385"/>
      <c r="AH51" s="22" t="s">
        <v>197</v>
      </c>
      <c r="AI51" t="s">
        <v>197</v>
      </c>
      <c r="AJ51" t="s">
        <v>560</v>
      </c>
      <c r="AK51" t="s">
        <v>561</v>
      </c>
      <c r="AL51" t="s">
        <v>610</v>
      </c>
      <c r="AM51" s="390">
        <v>5792200</v>
      </c>
      <c r="AP51" s="22" t="s">
        <v>266</v>
      </c>
    </row>
    <row r="52" spans="2:42" x14ac:dyDescent="0.25">
      <c r="B52" s="542">
        <v>137</v>
      </c>
      <c r="C52" s="22" t="s">
        <v>283</v>
      </c>
      <c r="D52" s="53">
        <v>0.38638244863569732</v>
      </c>
      <c r="E52" s="401">
        <f t="shared" si="7"/>
        <v>4649660</v>
      </c>
      <c r="F52" s="405">
        <f t="shared" si="5"/>
        <v>1796547.0161234564</v>
      </c>
      <c r="G52" s="422"/>
      <c r="H52" s="542">
        <v>75</v>
      </c>
      <c r="I52" s="22" t="s">
        <v>335</v>
      </c>
      <c r="J52" s="53">
        <v>1.504551397263991</v>
      </c>
      <c r="K52" s="401">
        <f t="shared" si="1"/>
        <v>69799980</v>
      </c>
      <c r="L52" s="405">
        <f t="shared" si="2"/>
        <v>105017657.43799862</v>
      </c>
      <c r="N52" s="542">
        <v>13</v>
      </c>
      <c r="O52" s="22" t="s">
        <v>238</v>
      </c>
      <c r="P52" s="53">
        <v>4.5195024565086861</v>
      </c>
      <c r="Q52" s="401">
        <f t="shared" si="3"/>
        <v>1701580</v>
      </c>
      <c r="R52" s="405">
        <f t="shared" si="4"/>
        <v>7690294.9899460496</v>
      </c>
      <c r="T52" s="383"/>
      <c r="U52" s="147"/>
      <c r="V52" s="145" t="s">
        <v>193</v>
      </c>
      <c r="W52" s="151">
        <f>'[1]Income data'!C63</f>
        <v>20355.313999999998</v>
      </c>
      <c r="X52" s="149">
        <f>'[1]mortality values_starting value'!F$8*(W52/'[1]Income data'!C$26)^'[1]mortality values_starting value'!F$14</f>
        <v>1.8138267688110794</v>
      </c>
      <c r="Y52" s="150">
        <f>X52/'[1]mortality values_starting value'!F$7</f>
        <v>0.39413430714546288</v>
      </c>
      <c r="AB52" s="386">
        <v>13930.649786386202</v>
      </c>
      <c r="AC52" s="387">
        <v>1.838388027220089</v>
      </c>
      <c r="AD52" s="387">
        <f t="shared" si="6"/>
        <v>1.4611891270062889</v>
      </c>
      <c r="AE52" s="385"/>
      <c r="AH52" s="22" t="s">
        <v>266</v>
      </c>
      <c r="AI52" t="s">
        <v>266</v>
      </c>
      <c r="AJ52" t="s">
        <v>560</v>
      </c>
      <c r="AK52" t="s">
        <v>561</v>
      </c>
      <c r="AL52" t="s">
        <v>611</v>
      </c>
      <c r="AM52" s="390">
        <v>988000</v>
      </c>
      <c r="AP52" s="22" t="s">
        <v>168</v>
      </c>
    </row>
    <row r="53" spans="2:42" x14ac:dyDescent="0.25">
      <c r="B53" s="542">
        <v>136</v>
      </c>
      <c r="C53" s="22" t="s">
        <v>273</v>
      </c>
      <c r="D53" s="53">
        <v>0.3905756163883512</v>
      </c>
      <c r="E53" s="401">
        <f t="shared" si="7"/>
        <v>31072940</v>
      </c>
      <c r="F53" s="405">
        <f t="shared" si="5"/>
        <v>12136332.693498254</v>
      </c>
      <c r="G53" s="422"/>
      <c r="H53" s="542">
        <v>74</v>
      </c>
      <c r="I53" s="22" t="s">
        <v>160</v>
      </c>
      <c r="J53" s="53">
        <v>1.5233664297700442</v>
      </c>
      <c r="K53" s="401">
        <f t="shared" si="1"/>
        <v>287380</v>
      </c>
      <c r="L53" s="405">
        <f t="shared" si="2"/>
        <v>437785.04458731529</v>
      </c>
      <c r="N53" s="542">
        <v>12</v>
      </c>
      <c r="O53" s="22" t="s">
        <v>156</v>
      </c>
      <c r="P53" s="53">
        <v>4.8159498736821735</v>
      </c>
      <c r="Q53" s="401">
        <f t="shared" si="3"/>
        <v>331002650</v>
      </c>
      <c r="R53" s="405">
        <f t="shared" si="4"/>
        <v>1594092170.4559648</v>
      </c>
      <c r="T53" s="383"/>
      <c r="U53" s="147"/>
      <c r="V53" s="145" t="s">
        <v>194</v>
      </c>
      <c r="W53" s="151">
        <f>'[1]Income data'!C82</f>
        <v>22936.766</v>
      </c>
      <c r="X53" s="149">
        <f>'[1]mortality values_starting value'!F$8*(W53/'[1]Income data'!C$26)^'[1]mortality values_starting value'!F$14</f>
        <v>2.0438554846540726</v>
      </c>
      <c r="Y53" s="150">
        <f>X53/'[1]mortality values_starting value'!F$7</f>
        <v>0.44411824723350429</v>
      </c>
      <c r="AB53" s="386">
        <v>19329.630643553512</v>
      </c>
      <c r="AC53" s="387">
        <v>2.3891253030353377</v>
      </c>
      <c r="AD53" s="387">
        <f t="shared" si="6"/>
        <v>1.1866117062950439</v>
      </c>
      <c r="AE53" s="385"/>
      <c r="AH53" s="22" t="s">
        <v>168</v>
      </c>
      <c r="AI53" t="s">
        <v>168</v>
      </c>
      <c r="AJ53" t="s">
        <v>560</v>
      </c>
      <c r="AK53" t="s">
        <v>561</v>
      </c>
      <c r="AL53" t="s">
        <v>612</v>
      </c>
      <c r="AM53" s="390">
        <v>71990</v>
      </c>
      <c r="AP53" s="22" t="s">
        <v>169</v>
      </c>
    </row>
    <row r="54" spans="2:42" x14ac:dyDescent="0.25">
      <c r="B54" s="542">
        <v>135</v>
      </c>
      <c r="C54" s="22" t="s">
        <v>297</v>
      </c>
      <c r="D54" s="53">
        <v>0.39824258084860331</v>
      </c>
      <c r="E54" s="401">
        <f t="shared" si="7"/>
        <v>55042990</v>
      </c>
      <c r="F54" s="405">
        <f t="shared" si="5"/>
        <v>21920462.395223863</v>
      </c>
      <c r="G54" s="422"/>
      <c r="H54" s="542">
        <v>73</v>
      </c>
      <c r="I54" s="22" t="s">
        <v>240</v>
      </c>
      <c r="J54" s="53">
        <v>1.5343935778965909</v>
      </c>
      <c r="K54" s="401">
        <f t="shared" si="1"/>
        <v>40222490</v>
      </c>
      <c r="L54" s="405">
        <f t="shared" si="2"/>
        <v>61717130.343009852</v>
      </c>
      <c r="N54" s="542">
        <v>11</v>
      </c>
      <c r="O54" s="22" t="s">
        <v>248</v>
      </c>
      <c r="P54" s="53">
        <v>4.9304076786290061</v>
      </c>
      <c r="Q54" s="401">
        <f t="shared" si="3"/>
        <v>34813870</v>
      </c>
      <c r="R54" s="405">
        <f t="shared" si="4"/>
        <v>171646571.970792</v>
      </c>
      <c r="T54" s="383"/>
      <c r="U54" s="147"/>
      <c r="V54" s="145" t="s">
        <v>195</v>
      </c>
      <c r="W54" s="151">
        <f>'[1]Income data'!C85</f>
        <v>34961.29</v>
      </c>
      <c r="X54" s="149">
        <f>'[1]mortality values_starting value'!F$8*(W54/'[1]Income data'!C$26)^'[1]mortality values_starting value'!F$14</f>
        <v>3.1153399880820856</v>
      </c>
      <c r="Y54" s="150">
        <f>X54/'[1]mortality values_starting value'!F$7</f>
        <v>0.67694577499819464</v>
      </c>
      <c r="AB54" s="386">
        <v>31705.643719327534</v>
      </c>
      <c r="AC54" s="387">
        <v>3.5495176789063385</v>
      </c>
      <c r="AD54" s="387">
        <f t="shared" si="6"/>
        <v>1.1026834941278245</v>
      </c>
      <c r="AE54" s="385"/>
      <c r="AH54" s="22" t="s">
        <v>169</v>
      </c>
      <c r="AI54" t="s">
        <v>169</v>
      </c>
      <c r="AJ54" t="s">
        <v>560</v>
      </c>
      <c r="AK54" t="s">
        <v>561</v>
      </c>
      <c r="AL54" t="s">
        <v>613</v>
      </c>
      <c r="AM54" s="390">
        <v>10847910</v>
      </c>
      <c r="AP54" s="22" t="s">
        <v>170</v>
      </c>
    </row>
    <row r="55" spans="2:42" x14ac:dyDescent="0.25">
      <c r="B55" s="542">
        <v>134</v>
      </c>
      <c r="C55" s="22" t="s">
        <v>327</v>
      </c>
      <c r="D55" s="53">
        <v>0.45403986126066226</v>
      </c>
      <c r="E55" s="401">
        <f t="shared" si="7"/>
        <v>220892340</v>
      </c>
      <c r="F55" s="405">
        <f t="shared" si="5"/>
        <v>100293927.40714304</v>
      </c>
      <c r="G55" s="422"/>
      <c r="H55" s="542">
        <v>72</v>
      </c>
      <c r="I55" s="22" t="s">
        <v>255</v>
      </c>
      <c r="J55" s="53">
        <v>1.5392233351136171</v>
      </c>
      <c r="K55" s="401">
        <f t="shared" si="1"/>
        <v>2351630</v>
      </c>
      <c r="L55" s="405">
        <f t="shared" si="2"/>
        <v>3619683.7715532351</v>
      </c>
      <c r="N55" s="542">
        <v>10</v>
      </c>
      <c r="O55" s="22" t="s">
        <v>220</v>
      </c>
      <c r="P55" s="53">
        <v>5.000122493794553</v>
      </c>
      <c r="Q55" s="401">
        <f t="shared" si="3"/>
        <v>8654620</v>
      </c>
      <c r="R55" s="405">
        <f t="shared" si="4"/>
        <v>43274160.137244217</v>
      </c>
      <c r="T55" s="383"/>
      <c r="U55" s="147"/>
      <c r="V55" s="145" t="s">
        <v>196</v>
      </c>
      <c r="W55" s="151">
        <f>'[1]Income data'!C86</f>
        <v>33529.161</v>
      </c>
      <c r="X55" s="149">
        <f>'[1]mortality values_starting value'!F$8*(W55/'[1]Income data'!C$26)^'[1]mortality values_starting value'!F$15</f>
        <v>3.1234618268911758</v>
      </c>
      <c r="Y55" s="150">
        <f>X55/'[1]mortality values_starting value'!F$7</f>
        <v>0.67871060467587452</v>
      </c>
      <c r="AB55" s="386">
        <v>24517.902958808332</v>
      </c>
      <c r="AC55" s="387">
        <v>2.8896599644695962</v>
      </c>
      <c r="AD55" s="387">
        <f t="shared" si="6"/>
        <v>1.3675378785996162</v>
      </c>
      <c r="AE55" s="385"/>
      <c r="AH55" s="22" t="s">
        <v>170</v>
      </c>
      <c r="AI55" t="s">
        <v>170</v>
      </c>
      <c r="AJ55" t="s">
        <v>560</v>
      </c>
      <c r="AK55" t="s">
        <v>561</v>
      </c>
      <c r="AL55" t="s">
        <v>614</v>
      </c>
      <c r="AM55" s="390">
        <v>17643050</v>
      </c>
      <c r="AP55" s="22" t="s">
        <v>267</v>
      </c>
    </row>
    <row r="56" spans="2:42" x14ac:dyDescent="0.25">
      <c r="B56" s="542">
        <v>133</v>
      </c>
      <c r="C56" s="22" t="s">
        <v>176</v>
      </c>
      <c r="D56" s="53">
        <v>0.46965073867714496</v>
      </c>
      <c r="E56" s="401">
        <f t="shared" si="7"/>
        <v>9904610</v>
      </c>
      <c r="F56" s="405">
        <f t="shared" si="5"/>
        <v>4651707.4028090369</v>
      </c>
      <c r="G56" s="422"/>
      <c r="H56" s="542">
        <v>71</v>
      </c>
      <c r="I56" s="22" t="s">
        <v>224</v>
      </c>
      <c r="J56" s="53">
        <v>1.5552049920319546</v>
      </c>
      <c r="K56" s="401">
        <f t="shared" si="1"/>
        <v>10139180</v>
      </c>
      <c r="L56" s="405">
        <f t="shared" si="2"/>
        <v>15768503.351110553</v>
      </c>
      <c r="N56" s="542">
        <v>9</v>
      </c>
      <c r="O56" s="22" t="s">
        <v>314</v>
      </c>
      <c r="P56" s="53">
        <v>5.2018317293353151</v>
      </c>
      <c r="Q56" s="401" t="str">
        <f t="shared" si="3"/>
        <v>not assigned</v>
      </c>
      <c r="R56" s="405" t="str">
        <f t="shared" si="4"/>
        <v>-</v>
      </c>
      <c r="T56" s="383"/>
      <c r="U56" s="147"/>
      <c r="V56" s="145" t="s">
        <v>197</v>
      </c>
      <c r="W56" s="151">
        <f>'[1]Income data'!C87</f>
        <v>48229.999000000003</v>
      </c>
      <c r="X56" s="149">
        <f>'[1]mortality values_starting value'!F$8*(W56/'[1]Income data'!C$26)^'[1]mortality values_starting value'!F$15</f>
        <v>4.1778405033876345</v>
      </c>
      <c r="Y56" s="150">
        <f>X56/'[1]mortality values_starting value'!F$7</f>
        <v>0.90782113291131128</v>
      </c>
      <c r="AB56" s="386">
        <v>40162.59000821739</v>
      </c>
      <c r="AC56" s="387">
        <v>4.2886188782953187</v>
      </c>
      <c r="AD56" s="387">
        <f t="shared" si="6"/>
        <v>1.2008687435280443</v>
      </c>
      <c r="AE56" s="385"/>
      <c r="AH56" s="22" t="s">
        <v>267</v>
      </c>
      <c r="AI56" t="s">
        <v>267</v>
      </c>
      <c r="AJ56" t="s">
        <v>560</v>
      </c>
      <c r="AK56" t="s">
        <v>561</v>
      </c>
      <c r="AL56" t="s">
        <v>615</v>
      </c>
      <c r="AM56" s="390">
        <v>102334400</v>
      </c>
      <c r="AP56" s="22" t="s">
        <v>171</v>
      </c>
    </row>
    <row r="57" spans="2:42" x14ac:dyDescent="0.25">
      <c r="B57" s="542">
        <v>132</v>
      </c>
      <c r="C57" s="22" t="s">
        <v>232</v>
      </c>
      <c r="D57" s="53">
        <v>0.47587129773626496</v>
      </c>
      <c r="E57" s="401">
        <f t="shared" si="7"/>
        <v>4033960</v>
      </c>
      <c r="F57" s="405">
        <f t="shared" si="5"/>
        <v>1919645.7802161835</v>
      </c>
      <c r="G57" s="422"/>
      <c r="H57" s="542">
        <v>70</v>
      </c>
      <c r="I57" s="22" t="s">
        <v>235</v>
      </c>
      <c r="J57" s="53">
        <v>1.5576674990095474</v>
      </c>
      <c r="K57" s="401">
        <f t="shared" si="1"/>
        <v>6031200</v>
      </c>
      <c r="L57" s="405">
        <f t="shared" si="2"/>
        <v>9394604.2200263813</v>
      </c>
      <c r="N57" s="542">
        <v>8</v>
      </c>
      <c r="O57" s="22" t="s">
        <v>204</v>
      </c>
      <c r="P57" s="53">
        <v>5.5816559424969352</v>
      </c>
      <c r="Q57" s="401">
        <f t="shared" si="3"/>
        <v>4937790</v>
      </c>
      <c r="R57" s="405">
        <f t="shared" si="4"/>
        <v>27561044.89630194</v>
      </c>
      <c r="T57" s="383"/>
      <c r="U57" s="147"/>
      <c r="V57" s="145" t="s">
        <v>198</v>
      </c>
      <c r="W57" s="151">
        <f>'[1]Income data'!C100</f>
        <v>42260.68</v>
      </c>
      <c r="X57" s="149">
        <f>'[1]mortality values_starting value'!F$8*(W57/'[1]Income data'!C$26)^'[1]mortality values_starting value'!F$15</f>
        <v>3.7587828643877428</v>
      </c>
      <c r="Y57" s="150">
        <f>X57/'[1]mortality values_starting value'!F$7</f>
        <v>0.81676227600101359</v>
      </c>
      <c r="AB57" s="386">
        <v>36472.550563920449</v>
      </c>
      <c r="AC57" s="387">
        <v>3.970388383610199</v>
      </c>
      <c r="AD57" s="387">
        <f t="shared" si="6"/>
        <v>1.1586982359770943</v>
      </c>
      <c r="AE57" s="385"/>
      <c r="AH57" s="22" t="s">
        <v>171</v>
      </c>
      <c r="AI57" t="s">
        <v>171</v>
      </c>
      <c r="AJ57" t="s">
        <v>560</v>
      </c>
      <c r="AK57" t="s">
        <v>561</v>
      </c>
      <c r="AL57" t="s">
        <v>616</v>
      </c>
      <c r="AM57" s="390">
        <v>6486200</v>
      </c>
      <c r="AP57" s="22" t="s">
        <v>268</v>
      </c>
    </row>
    <row r="58" spans="2:42" x14ac:dyDescent="0.25">
      <c r="B58" s="542">
        <v>131</v>
      </c>
      <c r="C58" s="22" t="s">
        <v>337</v>
      </c>
      <c r="D58" s="53">
        <v>0.4775506321491369</v>
      </c>
      <c r="E58" s="401">
        <f t="shared" si="7"/>
        <v>105690</v>
      </c>
      <c r="F58" s="405">
        <f t="shared" si="5"/>
        <v>50472.326311842276</v>
      </c>
      <c r="G58" s="422"/>
      <c r="H58" s="542">
        <v>69</v>
      </c>
      <c r="I58" s="22" t="s">
        <v>225</v>
      </c>
      <c r="J58" s="53">
        <v>1.6104560387630784</v>
      </c>
      <c r="K58" s="401">
        <f t="shared" si="1"/>
        <v>9449320</v>
      </c>
      <c r="L58" s="405">
        <f t="shared" si="2"/>
        <v>15217714.456204733</v>
      </c>
      <c r="N58" s="542">
        <v>7</v>
      </c>
      <c r="O58" s="22" t="s">
        <v>211</v>
      </c>
      <c r="P58" s="53">
        <v>5.5901055279357923</v>
      </c>
      <c r="Q58" s="401">
        <f t="shared" si="3"/>
        <v>5421240</v>
      </c>
      <c r="R58" s="405">
        <f t="shared" si="4"/>
        <v>30305303.692266636</v>
      </c>
      <c r="T58" s="383"/>
      <c r="U58" s="147"/>
      <c r="V58" s="145" t="s">
        <v>199</v>
      </c>
      <c r="W58" s="151">
        <f>'[1]Income data'!C101</f>
        <v>42336.43</v>
      </c>
      <c r="X58" s="149">
        <f>'[1]mortality values_starting value'!F$8*(W58/'[1]Income data'!C$26)^'[1]mortality values_starting value'!F$15</f>
        <v>3.7641718321488513</v>
      </c>
      <c r="Y58" s="150">
        <f>X58/'[1]mortality values_starting value'!F$7</f>
        <v>0.81793326824309298</v>
      </c>
      <c r="AB58" s="386">
        <v>34123.196624903467</v>
      </c>
      <c r="AC58" s="387">
        <v>3.7644354142929228</v>
      </c>
      <c r="AD58" s="387">
        <f t="shared" si="6"/>
        <v>1.2406935512337796</v>
      </c>
      <c r="AE58" s="385"/>
      <c r="AH58" s="22" t="s">
        <v>268</v>
      </c>
      <c r="AI58" t="s">
        <v>268</v>
      </c>
      <c r="AJ58" t="s">
        <v>560</v>
      </c>
      <c r="AK58" t="s">
        <v>561</v>
      </c>
      <c r="AL58" t="s">
        <v>617</v>
      </c>
      <c r="AM58" s="390">
        <v>1402980</v>
      </c>
      <c r="AP58" s="22" t="s">
        <v>269</v>
      </c>
    </row>
    <row r="59" spans="2:42" x14ac:dyDescent="0.25">
      <c r="B59" s="542">
        <v>130</v>
      </c>
      <c r="C59" s="22" t="s">
        <v>336</v>
      </c>
      <c r="D59" s="53">
        <v>0.48492701454845438</v>
      </c>
      <c r="E59" s="401">
        <f t="shared" si="7"/>
        <v>1318440</v>
      </c>
      <c r="F59" s="405">
        <f t="shared" si="5"/>
        <v>639347.17306126421</v>
      </c>
      <c r="G59" s="422"/>
      <c r="H59" s="542">
        <v>68</v>
      </c>
      <c r="I59" s="22" t="s">
        <v>323</v>
      </c>
      <c r="J59" s="53">
        <v>1.6335104862127161</v>
      </c>
      <c r="K59" s="401">
        <f t="shared" si="1"/>
        <v>540540</v>
      </c>
      <c r="L59" s="405">
        <f t="shared" si="2"/>
        <v>882977.75821742159</v>
      </c>
      <c r="N59" s="542">
        <v>6</v>
      </c>
      <c r="O59" s="22" t="s">
        <v>250</v>
      </c>
      <c r="P59" s="53">
        <v>6.0675902820920324</v>
      </c>
      <c r="Q59" s="401">
        <f t="shared" si="3"/>
        <v>9890400</v>
      </c>
      <c r="R59" s="405">
        <f t="shared" si="4"/>
        <v>60010894.926003039</v>
      </c>
      <c r="T59" s="383"/>
      <c r="U59" s="147"/>
      <c r="V59" s="145" t="s">
        <v>200</v>
      </c>
      <c r="W59" s="151">
        <f>'[1]Income data'!C106</f>
        <v>48448.612999999998</v>
      </c>
      <c r="X59" s="149">
        <f>'[1]mortality values_starting value'!F$8*(W59/'[1]Income data'!C$26)^'[1]mortality values_starting value'!F$15</f>
        <v>4.1929832975126811</v>
      </c>
      <c r="Y59" s="150">
        <f>X59/'[1]mortality values_starting value'!F$7</f>
        <v>0.91111157650457342</v>
      </c>
      <c r="AB59" s="386">
        <v>37402.26776609743</v>
      </c>
      <c r="AC59" s="387">
        <v>4.0511510042180774</v>
      </c>
      <c r="AD59" s="387">
        <f t="shared" si="6"/>
        <v>1.2953389164256857</v>
      </c>
      <c r="AE59" s="385"/>
      <c r="AH59" s="22" t="s">
        <v>269</v>
      </c>
      <c r="AI59" t="s">
        <v>269</v>
      </c>
      <c r="AJ59" t="s">
        <v>560</v>
      </c>
      <c r="AK59" t="s">
        <v>561</v>
      </c>
      <c r="AL59" t="s">
        <v>618</v>
      </c>
      <c r="AM59" s="390">
        <v>3546420</v>
      </c>
      <c r="AP59" s="22" t="s">
        <v>226</v>
      </c>
    </row>
    <row r="60" spans="2:42" x14ac:dyDescent="0.25">
      <c r="B60" s="542">
        <v>129</v>
      </c>
      <c r="C60" s="22" t="s">
        <v>178</v>
      </c>
      <c r="D60" s="53">
        <v>0.49364447637649539</v>
      </c>
      <c r="E60" s="401">
        <f t="shared" si="7"/>
        <v>6624550</v>
      </c>
      <c r="F60" s="405">
        <f t="shared" si="5"/>
        <v>3270172.5159799126</v>
      </c>
      <c r="G60" s="422"/>
      <c r="H60" s="542">
        <v>67</v>
      </c>
      <c r="I60" s="22" t="s">
        <v>271</v>
      </c>
      <c r="J60" s="53">
        <v>1.6946313618613351</v>
      </c>
      <c r="K60" s="401">
        <f t="shared" si="1"/>
        <v>2225730</v>
      </c>
      <c r="L60" s="405">
        <f t="shared" si="2"/>
        <v>3771791.8610356296</v>
      </c>
      <c r="N60" s="542">
        <v>5</v>
      </c>
      <c r="O60" s="22" t="s">
        <v>243</v>
      </c>
      <c r="P60" s="53">
        <v>6.4049097185380202</v>
      </c>
      <c r="Q60" s="401">
        <f t="shared" si="3"/>
        <v>4270570</v>
      </c>
      <c r="R60" s="405">
        <f t="shared" si="4"/>
        <v>27352615.296696912</v>
      </c>
      <c r="T60" s="383"/>
      <c r="U60" s="147"/>
      <c r="V60" s="145" t="s">
        <v>201</v>
      </c>
      <c r="W60" s="151">
        <f>'[1]Income data'!C109</f>
        <v>26829.441999999999</v>
      </c>
      <c r="X60" s="149">
        <f>'[1]mortality values_starting value'!F$8*(W60/'[1]Income data'!C$26)^'[1]mortality values_starting value'!F$15</f>
        <v>2.6132885515566797</v>
      </c>
      <c r="Y60" s="150">
        <f>X60/'[1]mortality values_starting value'!F$7</f>
        <v>0.56785283487358285</v>
      </c>
      <c r="AB60" s="386">
        <v>28408.368510646244</v>
      </c>
      <c r="AC60" s="387">
        <v>3.2510011107511372</v>
      </c>
      <c r="AD60" s="387">
        <f t="shared" si="6"/>
        <v>0.94442037352287478</v>
      </c>
      <c r="AE60" s="385"/>
      <c r="AH60" s="22" t="s">
        <v>226</v>
      </c>
      <c r="AI60" t="s">
        <v>226</v>
      </c>
      <c r="AJ60" t="s">
        <v>560</v>
      </c>
      <c r="AK60" t="s">
        <v>561</v>
      </c>
      <c r="AL60" t="s">
        <v>619</v>
      </c>
      <c r="AM60" s="390">
        <v>1326540</v>
      </c>
      <c r="AP60" s="22" t="s">
        <v>270</v>
      </c>
    </row>
    <row r="61" spans="2:42" x14ac:dyDescent="0.25">
      <c r="B61" s="542">
        <v>128</v>
      </c>
      <c r="C61" s="22" t="s">
        <v>330</v>
      </c>
      <c r="D61" s="53">
        <v>0.49588341071045583</v>
      </c>
      <c r="E61" s="401">
        <f t="shared" si="7"/>
        <v>198410</v>
      </c>
      <c r="F61" s="405">
        <f t="shared" si="5"/>
        <v>98388.227519061547</v>
      </c>
      <c r="G61" s="422"/>
      <c r="H61" s="542">
        <v>66</v>
      </c>
      <c r="I61" s="22" t="s">
        <v>244</v>
      </c>
      <c r="J61" s="53">
        <v>1.697542885399814</v>
      </c>
      <c r="K61" s="401">
        <f t="shared" si="1"/>
        <v>6825440</v>
      </c>
      <c r="L61" s="405">
        <f t="shared" si="2"/>
        <v>11586477.111723306</v>
      </c>
      <c r="N61" s="542">
        <v>4</v>
      </c>
      <c r="O61" s="22" t="s">
        <v>309</v>
      </c>
      <c r="P61" s="53">
        <v>6.8989637365128154</v>
      </c>
      <c r="Q61" s="401">
        <f t="shared" si="3"/>
        <v>437480</v>
      </c>
      <c r="R61" s="405">
        <f t="shared" si="4"/>
        <v>3018158.6554496265</v>
      </c>
      <c r="T61" s="383"/>
      <c r="U61" s="147"/>
      <c r="V61" s="145" t="s">
        <v>202</v>
      </c>
      <c r="W61" s="151">
        <f>'[1]Income data'!C120</f>
        <v>27475.030999999999</v>
      </c>
      <c r="X61" s="149">
        <f>'[1]mortality values_starting value'!F$8*(W61/'[1]Income data'!C$26)^'[1]mortality values_starting value'!F$15</f>
        <v>2.6634748883027206</v>
      </c>
      <c r="Y61" s="150">
        <f>X61/'[1]mortality values_starting value'!F$7</f>
        <v>0.57875804225153726</v>
      </c>
      <c r="AB61" s="386">
        <v>20545.401456664022</v>
      </c>
      <c r="AC61" s="387">
        <v>2.5086021430387491</v>
      </c>
      <c r="AD61" s="387">
        <f t="shared" si="6"/>
        <v>1.3372837254094303</v>
      </c>
      <c r="AE61" s="385"/>
      <c r="AH61" s="22" t="s">
        <v>298</v>
      </c>
      <c r="AI61" t="s">
        <v>775</v>
      </c>
      <c r="AJ61" t="s">
        <v>560</v>
      </c>
      <c r="AK61" t="s">
        <v>561</v>
      </c>
      <c r="AL61" t="s">
        <v>620</v>
      </c>
      <c r="AM61" s="390">
        <v>1160160</v>
      </c>
      <c r="AP61" s="22" t="s">
        <v>313</v>
      </c>
    </row>
    <row r="62" spans="2:42" x14ac:dyDescent="0.25">
      <c r="B62" s="542">
        <v>127</v>
      </c>
      <c r="C62" s="22" t="s">
        <v>310</v>
      </c>
      <c r="D62" s="53">
        <v>0.51718108866259982</v>
      </c>
      <c r="E62" s="401">
        <f t="shared" si="7"/>
        <v>54409800</v>
      </c>
      <c r="F62" s="405">
        <f t="shared" si="5"/>
        <v>28139719.597914323</v>
      </c>
      <c r="G62" s="422"/>
      <c r="H62" s="542">
        <v>65</v>
      </c>
      <c r="I62" s="22" t="s">
        <v>239</v>
      </c>
      <c r="J62" s="53">
        <v>1.7158754857445977</v>
      </c>
      <c r="K62" s="401">
        <f t="shared" si="1"/>
        <v>83992950</v>
      </c>
      <c r="L62" s="405">
        <f t="shared" si="2"/>
        <v>144121443.88037172</v>
      </c>
      <c r="N62" s="542">
        <v>3</v>
      </c>
      <c r="O62" s="22" t="s">
        <v>331</v>
      </c>
      <c r="P62" s="53">
        <v>7.8265876644946939</v>
      </c>
      <c r="Q62" s="401">
        <f t="shared" si="3"/>
        <v>5850340</v>
      </c>
      <c r="R62" s="405">
        <f t="shared" si="4"/>
        <v>45788198.877099887</v>
      </c>
      <c r="T62" s="383"/>
      <c r="U62" s="147"/>
      <c r="V62" s="145" t="s">
        <v>203</v>
      </c>
      <c r="W62" s="151">
        <f>'[1]Income data'!C121</f>
        <v>49122.695</v>
      </c>
      <c r="X62" s="149">
        <f>'[1]mortality values_starting value'!F$8*(W62/'[1]Income data'!C$26)^'[1]mortality values_starting value'!F$15</f>
        <v>4.2395894416386151</v>
      </c>
      <c r="Y62" s="150">
        <f>X62/'[1]mortality values_starting value'!F$7</f>
        <v>0.92123882825741699</v>
      </c>
      <c r="AB62" s="386">
        <v>35642.22649794168</v>
      </c>
      <c r="AC62" s="387">
        <v>3.8979112272780392</v>
      </c>
      <c r="AD62" s="387">
        <f t="shared" si="6"/>
        <v>1.3782162290797633</v>
      </c>
      <c r="AE62" s="385"/>
      <c r="AH62" s="22" t="s">
        <v>270</v>
      </c>
      <c r="AI62" t="s">
        <v>270</v>
      </c>
      <c r="AJ62" t="s">
        <v>560</v>
      </c>
      <c r="AK62" t="s">
        <v>561</v>
      </c>
      <c r="AL62" t="s">
        <v>621</v>
      </c>
      <c r="AM62" s="390">
        <v>114963590</v>
      </c>
      <c r="AP62" s="22" t="s">
        <v>198</v>
      </c>
    </row>
    <row r="63" spans="2:42" x14ac:dyDescent="0.25">
      <c r="B63" s="542">
        <v>126</v>
      </c>
      <c r="C63" s="22" t="s">
        <v>289</v>
      </c>
      <c r="D63" s="53">
        <v>0.52896619171411152</v>
      </c>
      <c r="E63" s="401">
        <f t="shared" si="7"/>
        <v>206139590</v>
      </c>
      <c r="F63" s="405">
        <f t="shared" si="5"/>
        <v>109040873.88380834</v>
      </c>
      <c r="G63" s="422"/>
      <c r="H63" s="542">
        <v>64</v>
      </c>
      <c r="I63" s="22" t="s">
        <v>158</v>
      </c>
      <c r="J63" s="53">
        <v>1.7868941513350696</v>
      </c>
      <c r="K63" s="401">
        <f t="shared" si="1"/>
        <v>45195770</v>
      </c>
      <c r="L63" s="405">
        <f t="shared" si="2"/>
        <v>80760057.07808499</v>
      </c>
      <c r="N63" s="542">
        <v>2</v>
      </c>
      <c r="O63" s="22" t="s">
        <v>206</v>
      </c>
      <c r="P63" s="53">
        <v>7.8287817129277277</v>
      </c>
      <c r="Q63" s="401">
        <f t="shared" si="3"/>
        <v>625980</v>
      </c>
      <c r="R63" s="405">
        <f t="shared" si="4"/>
        <v>4900660.7766584987</v>
      </c>
      <c r="T63" s="383"/>
      <c r="U63" s="147"/>
      <c r="V63" s="145" t="s">
        <v>204</v>
      </c>
      <c r="W63" s="151">
        <f>'[1]Income data'!C126</f>
        <v>69275.754000000001</v>
      </c>
      <c r="X63" s="149">
        <f>'[1]mortality values_starting value'!F$8*(W63/'[1]Income data'!C$26)^'[1]mortality values_starting value'!F$15</f>
        <v>5.5816559424969352</v>
      </c>
      <c r="Y63" s="150">
        <f>X63/'[1]mortality values_starting value'!F$7</f>
        <v>1.2128622950373493</v>
      </c>
      <c r="AB63" s="386">
        <v>40464.328014778184</v>
      </c>
      <c r="AC63" s="387">
        <v>4.3143755841297775</v>
      </c>
      <c r="AD63" s="387">
        <f t="shared" si="6"/>
        <v>1.7120203744567177</v>
      </c>
      <c r="AE63" s="385"/>
      <c r="AI63" t="s">
        <v>776</v>
      </c>
      <c r="AJ63" t="s">
        <v>560</v>
      </c>
      <c r="AK63" t="s">
        <v>561</v>
      </c>
      <c r="AL63" t="s">
        <v>622</v>
      </c>
      <c r="AM63" s="390">
        <v>48860</v>
      </c>
      <c r="AP63" s="22" t="s">
        <v>199</v>
      </c>
    </row>
    <row r="64" spans="2:42" ht="15.75" thickBot="1" x14ac:dyDescent="0.3">
      <c r="B64" s="544">
        <v>125</v>
      </c>
      <c r="C64" s="102" t="s">
        <v>279</v>
      </c>
      <c r="D64" s="78">
        <v>0.5585214437247521</v>
      </c>
      <c r="E64" s="402">
        <f t="shared" si="7"/>
        <v>6871290</v>
      </c>
      <c r="F64" s="406">
        <f t="shared" si="5"/>
        <v>3837762.8110514521</v>
      </c>
      <c r="G64" s="422"/>
      <c r="H64" s="544">
        <v>63</v>
      </c>
      <c r="I64" s="102" t="s">
        <v>193</v>
      </c>
      <c r="J64" s="78">
        <v>1.8138267688110794</v>
      </c>
      <c r="K64" s="402">
        <f t="shared" si="1"/>
        <v>6948440</v>
      </c>
      <c r="L64" s="406">
        <f t="shared" si="2"/>
        <v>12603266.473477656</v>
      </c>
      <c r="N64" s="542">
        <v>1</v>
      </c>
      <c r="O64" s="22" t="s">
        <v>247</v>
      </c>
      <c r="P64" s="53">
        <v>11.152773318768164</v>
      </c>
      <c r="Q64" s="401">
        <f t="shared" si="3"/>
        <v>2881050</v>
      </c>
      <c r="R64" s="405">
        <f t="shared" si="4"/>
        <v>32131697.570037019</v>
      </c>
      <c r="T64" s="383"/>
      <c r="U64" s="147"/>
      <c r="V64" s="145" t="s">
        <v>205</v>
      </c>
      <c r="W64" s="151">
        <f>'[1]Income data'!C129</f>
        <v>36823.434000000001</v>
      </c>
      <c r="X64" s="149">
        <f>'[1]mortality values_starting value'!F$8*(W64/'[1]Income data'!C$26)^'[1]mortality values_starting value'!F$15</f>
        <v>3.3666462310216536</v>
      </c>
      <c r="Y64" s="150">
        <f>X64/'[1]mortality values_starting value'!F$7</f>
        <v>0.73155320148757208</v>
      </c>
      <c r="AB64" s="386">
        <v>31954.175178122801</v>
      </c>
      <c r="AC64" s="387">
        <v>3.5717592070878967</v>
      </c>
      <c r="AD64" s="387">
        <f t="shared" si="6"/>
        <v>1.1523825539146102</v>
      </c>
      <c r="AE64" s="385"/>
      <c r="AH64" s="22" t="s">
        <v>313</v>
      </c>
      <c r="AI64" t="s">
        <v>313</v>
      </c>
      <c r="AJ64" t="s">
        <v>560</v>
      </c>
      <c r="AK64" t="s">
        <v>561</v>
      </c>
      <c r="AL64" t="s">
        <v>623</v>
      </c>
      <c r="AM64" s="390">
        <v>896450</v>
      </c>
      <c r="AP64" s="22" t="s">
        <v>271</v>
      </c>
    </row>
    <row r="65" spans="2:42" ht="15.75" thickBot="1" x14ac:dyDescent="0.3">
      <c r="B65" s="18"/>
      <c r="C65" s="18"/>
      <c r="D65" s="18"/>
      <c r="E65" s="18"/>
      <c r="F65" s="18"/>
      <c r="G65" s="18"/>
      <c r="H65" s="18"/>
      <c r="I65" s="18"/>
      <c r="J65" s="18"/>
      <c r="K65" s="18"/>
      <c r="L65" s="18"/>
      <c r="N65" s="394"/>
      <c r="O65" s="102" t="s">
        <v>249</v>
      </c>
      <c r="P65" s="78" t="s">
        <v>38</v>
      </c>
      <c r="Q65" s="402">
        <f t="shared" si="3"/>
        <v>17500660</v>
      </c>
      <c r="R65" s="406" t="str">
        <f t="shared" si="4"/>
        <v>-</v>
      </c>
      <c r="T65" s="383"/>
      <c r="U65" s="147"/>
      <c r="V65" s="145" t="s">
        <v>206</v>
      </c>
      <c r="W65" s="151">
        <f>'[1]Income data'!C149</f>
        <v>105741.42600000001</v>
      </c>
      <c r="X65" s="149">
        <f>'[1]mortality values_starting value'!F$8*(W65/'[1]Income data'!C$26)^'[1]mortality values_starting value'!F$15</f>
        <v>7.8287817129277277</v>
      </c>
      <c r="Y65" s="150">
        <f>X65/'[1]mortality values_starting value'!F$7</f>
        <v>1.7011500267141677</v>
      </c>
      <c r="AB65" s="386">
        <v>86124.284611159252</v>
      </c>
      <c r="AC65" s="387">
        <v>7.8951536341927584</v>
      </c>
      <c r="AD65" s="387">
        <f t="shared" si="6"/>
        <v>1.2277771185840298</v>
      </c>
      <c r="AE65" s="385"/>
      <c r="AH65" s="22" t="s">
        <v>198</v>
      </c>
      <c r="AI65" t="s">
        <v>198</v>
      </c>
      <c r="AJ65" t="s">
        <v>560</v>
      </c>
      <c r="AK65" t="s">
        <v>561</v>
      </c>
      <c r="AL65" t="s">
        <v>624</v>
      </c>
      <c r="AM65" s="390">
        <v>5540720</v>
      </c>
      <c r="AP65" s="22" t="s">
        <v>272</v>
      </c>
    </row>
    <row r="66" spans="2:42" ht="19.5" thickBot="1" x14ac:dyDescent="0.35">
      <c r="C66" s="18" t="s">
        <v>812</v>
      </c>
      <c r="D66" t="s">
        <v>813</v>
      </c>
      <c r="E66" t="s">
        <v>555</v>
      </c>
      <c r="F66" s="420"/>
      <c r="G66" s="420"/>
      <c r="H66" s="419" t="s">
        <v>840</v>
      </c>
      <c r="I66" s="18" t="s">
        <v>902</v>
      </c>
      <c r="K66" s="390">
        <f>SUM(F3:F64,L3:L64,R3:R65)</f>
        <v>11006619058.486946</v>
      </c>
      <c r="L66" t="s">
        <v>819</v>
      </c>
      <c r="P66" s="415" t="s">
        <v>842</v>
      </c>
      <c r="Q66" s="416" t="s">
        <v>843</v>
      </c>
      <c r="R66" s="417" t="s">
        <v>844</v>
      </c>
      <c r="T66" s="383"/>
      <c r="U66" s="147"/>
      <c r="V66" s="145" t="s">
        <v>207</v>
      </c>
      <c r="W66" s="151">
        <f>'[1]Income data'!C151</f>
        <v>14593.13</v>
      </c>
      <c r="X66" s="149">
        <f>'[1]mortality values_starting value'!F$8*(W66/'[1]Income data'!C$26)^'[1]mortality values_starting value'!F$14</f>
        <v>1.3003685344642697</v>
      </c>
      <c r="Y66" s="150">
        <f>X66/'[1]mortality values_starting value'!F$7</f>
        <v>0.28256273431270429</v>
      </c>
      <c r="AB66" s="386">
        <v>11310.514970217457</v>
      </c>
      <c r="AC66" s="387">
        <v>1.5561303986258115</v>
      </c>
      <c r="AD66" s="387">
        <f t="shared" si="6"/>
        <v>1.2902268409905504</v>
      </c>
      <c r="AE66" s="385"/>
      <c r="AH66" s="22" t="s">
        <v>199</v>
      </c>
      <c r="AI66" t="s">
        <v>199</v>
      </c>
      <c r="AJ66" t="s">
        <v>560</v>
      </c>
      <c r="AK66" t="s">
        <v>561</v>
      </c>
      <c r="AL66" t="s">
        <v>625</v>
      </c>
      <c r="AM66" s="390">
        <v>65273510</v>
      </c>
      <c r="AP66" s="22" t="s">
        <v>227</v>
      </c>
    </row>
    <row r="67" spans="2:42" ht="18.75" x14ac:dyDescent="0.3">
      <c r="D67" t="s">
        <v>814</v>
      </c>
      <c r="E67" t="s">
        <v>554</v>
      </c>
      <c r="F67" s="420"/>
      <c r="G67" s="420"/>
      <c r="H67" s="419" t="s">
        <v>841</v>
      </c>
      <c r="I67" s="18" t="s">
        <v>816</v>
      </c>
      <c r="K67" s="390">
        <f>SUM(E3:E64,K3:K64,Q3:Q65)</f>
        <v>7786690850</v>
      </c>
      <c r="L67" t="s">
        <v>58</v>
      </c>
      <c r="T67" s="383"/>
      <c r="U67" s="147"/>
      <c r="V67" s="145" t="s">
        <v>208</v>
      </c>
      <c r="W67" s="151">
        <f>'[1]Income data'!C157</f>
        <v>39878.430999999997</v>
      </c>
      <c r="X67" s="149">
        <f>'[1]mortality values_starting value'!F$8*(W67/'[1]Income data'!C$26)^'[1]mortality values_starting value'!F$14</f>
        <v>3.5534979045759538</v>
      </c>
      <c r="Y67" s="150">
        <f>X67/'[1]mortality values_starting value'!F$7</f>
        <v>0.7721550142745599</v>
      </c>
      <c r="AB67" s="386">
        <v>26617.523523933796</v>
      </c>
      <c r="AC67" s="387">
        <v>3.0859877712188859</v>
      </c>
      <c r="AD67" s="387">
        <f t="shared" si="6"/>
        <v>1.4982021510807468</v>
      </c>
      <c r="AE67" s="385"/>
      <c r="AH67" s="22" t="s">
        <v>271</v>
      </c>
      <c r="AI67" t="s">
        <v>271</v>
      </c>
      <c r="AJ67" t="s">
        <v>560</v>
      </c>
      <c r="AK67" t="s">
        <v>561</v>
      </c>
      <c r="AL67" t="s">
        <v>626</v>
      </c>
      <c r="AM67" s="390">
        <v>2225730</v>
      </c>
      <c r="AP67" s="187" t="s">
        <v>200</v>
      </c>
    </row>
    <row r="68" spans="2:42" ht="18.75" x14ac:dyDescent="0.3">
      <c r="C68" s="18"/>
      <c r="F68" s="419"/>
      <c r="H68" s="419" t="s">
        <v>1167</v>
      </c>
      <c r="I68" s="421" t="s">
        <v>817</v>
      </c>
      <c r="J68" s="418"/>
      <c r="K68" s="763">
        <f>K66/K67</f>
        <v>1.4135168931853697</v>
      </c>
      <c r="L68" s="764" t="s">
        <v>819</v>
      </c>
      <c r="T68" s="383"/>
      <c r="U68" s="147"/>
      <c r="V68" s="145" t="s">
        <v>209</v>
      </c>
      <c r="W68" s="151">
        <f>'[1]Income data'!C167</f>
        <v>16655.417000000001</v>
      </c>
      <c r="X68" s="149">
        <f>'[1]mortality values_starting value'!F$8*(W68/'[1]Income data'!C$26)^'[1]mortality values_starting value'!F$14</f>
        <v>1.4841353565123647</v>
      </c>
      <c r="Y68" s="150">
        <f>X68/'[1]mortality values_starting value'!F$7</f>
        <v>0.3224942262995189</v>
      </c>
      <c r="AB68" s="386">
        <v>12860.730064700576</v>
      </c>
      <c r="AC68" s="387">
        <v>1.7245372589179453</v>
      </c>
      <c r="AD68" s="387">
        <f t="shared" si="6"/>
        <v>1.2950599939668179</v>
      </c>
      <c r="AE68" s="385"/>
      <c r="AH68" s="22" t="s">
        <v>272</v>
      </c>
      <c r="AI68" t="s">
        <v>777</v>
      </c>
      <c r="AJ68" t="s">
        <v>560</v>
      </c>
      <c r="AK68" t="s">
        <v>561</v>
      </c>
      <c r="AL68" t="s">
        <v>627</v>
      </c>
      <c r="AM68" s="390">
        <v>2416670</v>
      </c>
      <c r="AP68" s="22" t="s">
        <v>273</v>
      </c>
    </row>
    <row r="69" spans="2:42" x14ac:dyDescent="0.25">
      <c r="T69" s="383"/>
      <c r="U69" s="147"/>
      <c r="V69" s="145" t="s">
        <v>210</v>
      </c>
      <c r="W69" s="151">
        <f>'[1]Income data'!C173</f>
        <v>51248.52</v>
      </c>
      <c r="X69" s="149">
        <f>'[1]mortality values_starting value'!F$8*(W69/'[1]Income data'!C$26)^'[1]mortality values_starting value'!F$15</f>
        <v>4.3857423652631899</v>
      </c>
      <c r="Y69" s="150">
        <f>X69/'[1]mortality values_starting value'!F$7</f>
        <v>0.95299703266842228</v>
      </c>
      <c r="AB69" s="386">
        <v>42164.504055826968</v>
      </c>
      <c r="AC69" s="387">
        <v>4.4587967991433297</v>
      </c>
      <c r="AD69" s="387">
        <f t="shared" si="6"/>
        <v>1.2154422575952877</v>
      </c>
      <c r="AE69" s="385"/>
      <c r="AH69" s="22" t="s">
        <v>227</v>
      </c>
      <c r="AI69" t="s">
        <v>227</v>
      </c>
      <c r="AJ69" t="s">
        <v>560</v>
      </c>
      <c r="AK69" t="s">
        <v>561</v>
      </c>
      <c r="AL69" t="s">
        <v>628</v>
      </c>
      <c r="AM69" s="390">
        <v>3989170</v>
      </c>
      <c r="AP69" s="22" t="s">
        <v>201</v>
      </c>
    </row>
    <row r="70" spans="2:42" x14ac:dyDescent="0.25">
      <c r="C70" t="s">
        <v>901</v>
      </c>
      <c r="T70" s="383"/>
      <c r="U70" s="147"/>
      <c r="V70" s="145" t="s">
        <v>211</v>
      </c>
      <c r="W70" s="151">
        <f>'[1]Income data'!C180</f>
        <v>69406.866999999998</v>
      </c>
      <c r="X70" s="149">
        <f>'[1]mortality values_starting value'!F$8*(W70/'[1]Income data'!C$26)^'[1]mortality values_starting value'!F$15</f>
        <v>5.5901055279357923</v>
      </c>
      <c r="Y70" s="150">
        <f>X70/'[1]mortality values_starting value'!F$7</f>
        <v>1.2146983422056206</v>
      </c>
      <c r="AB70" s="386">
        <v>57230.890002028056</v>
      </c>
      <c r="AC70" s="387">
        <v>5.6933054320038039</v>
      </c>
      <c r="AD70" s="387">
        <f t="shared" si="6"/>
        <v>1.2127518372952171</v>
      </c>
      <c r="AE70" s="385"/>
      <c r="AH70" s="187" t="s">
        <v>200</v>
      </c>
      <c r="AI70" t="s">
        <v>200</v>
      </c>
      <c r="AJ70" t="s">
        <v>560</v>
      </c>
      <c r="AK70" t="s">
        <v>561</v>
      </c>
      <c r="AL70" t="s">
        <v>629</v>
      </c>
      <c r="AM70" s="390">
        <v>83783940</v>
      </c>
      <c r="AP70" s="22" t="s">
        <v>172</v>
      </c>
    </row>
    <row r="71" spans="2:42" x14ac:dyDescent="0.25">
      <c r="T71" s="383"/>
      <c r="U71" s="147"/>
      <c r="V71" s="145" t="s">
        <v>212</v>
      </c>
      <c r="W71" s="151">
        <f>'[1]Income data'!C189</f>
        <v>27690.425999999999</v>
      </c>
      <c r="X71" s="149">
        <f>'[1]mortality values_starting value'!F$8*(W71/'[1]Income data'!C$26)^'[1]mortality values_starting value'!F$15</f>
        <v>2.6801664310217097</v>
      </c>
      <c r="Y71" s="150">
        <f>X71/'[1]mortality values_starting value'!F$7</f>
        <v>0.58238502016247073</v>
      </c>
      <c r="AB71" s="386">
        <v>19884.554406716659</v>
      </c>
      <c r="AC71" s="387">
        <v>2.4438400295241047</v>
      </c>
      <c r="AD71" s="387">
        <f t="shared" si="6"/>
        <v>1.3925595431319624</v>
      </c>
      <c r="AE71" s="385"/>
      <c r="AH71" s="22" t="s">
        <v>273</v>
      </c>
      <c r="AI71" t="s">
        <v>273</v>
      </c>
      <c r="AJ71" t="s">
        <v>560</v>
      </c>
      <c r="AK71" t="s">
        <v>561</v>
      </c>
      <c r="AL71" t="s">
        <v>630</v>
      </c>
      <c r="AM71" s="390">
        <v>31072940</v>
      </c>
      <c r="AP71" s="22" t="s">
        <v>173</v>
      </c>
    </row>
    <row r="72" spans="2:42" x14ac:dyDescent="0.25">
      <c r="T72" s="383"/>
      <c r="U72" s="147"/>
      <c r="V72" s="145" t="s">
        <v>213</v>
      </c>
      <c r="W72" s="151">
        <f>'[1]Income data'!C190</f>
        <v>28916.010999999999</v>
      </c>
      <c r="X72" s="149">
        <f>'[1]mortality values_starting value'!F$8*(W72/'[1]Income data'!C$26)^'[1]mortality values_starting value'!F$15</f>
        <v>2.7746535174277147</v>
      </c>
      <c r="Y72" s="150">
        <f>X72/'[1]mortality values_starting value'!F$7</f>
        <v>0.60291653010332058</v>
      </c>
      <c r="AB72" s="386">
        <v>25415.543575536976</v>
      </c>
      <c r="AC72" s="387">
        <v>2.9739906966451244</v>
      </c>
      <c r="AD72" s="387">
        <f t="shared" si="6"/>
        <v>1.1377293943786551</v>
      </c>
      <c r="AE72" s="385"/>
      <c r="AH72" s="22" t="s">
        <v>201</v>
      </c>
      <c r="AI72" t="s">
        <v>201</v>
      </c>
      <c r="AJ72" t="s">
        <v>560</v>
      </c>
      <c r="AK72" t="s">
        <v>561</v>
      </c>
      <c r="AL72" t="s">
        <v>631</v>
      </c>
      <c r="AM72" s="390">
        <v>10423050</v>
      </c>
      <c r="AP72" s="22" t="s">
        <v>274</v>
      </c>
    </row>
    <row r="73" spans="2:42" x14ac:dyDescent="0.25">
      <c r="T73" s="383"/>
      <c r="U73" s="147"/>
      <c r="V73" s="145" t="s">
        <v>214</v>
      </c>
      <c r="W73" s="151">
        <f>'[1]Income data'!C193</f>
        <v>22349.145</v>
      </c>
      <c r="X73" s="149">
        <f>'[1]mortality values_starting value'!F$8*(W73/'[1]Income data'!C$26)^'[1]mortality values_starting value'!F$14</f>
        <v>1.9914935952862383</v>
      </c>
      <c r="Y73" s="150">
        <f>X73/'[1]mortality values_starting value'!F$7</f>
        <v>0.43274030456462076</v>
      </c>
      <c r="AB73" s="386">
        <v>14524.303549406541</v>
      </c>
      <c r="AC73" s="387">
        <v>1.9007996222017582</v>
      </c>
      <c r="AD73" s="387">
        <f t="shared" si="6"/>
        <v>1.5387412500693143</v>
      </c>
      <c r="AE73" s="385"/>
      <c r="AH73" s="22" t="s">
        <v>172</v>
      </c>
      <c r="AI73" t="s">
        <v>172</v>
      </c>
      <c r="AJ73" t="s">
        <v>560</v>
      </c>
      <c r="AK73" t="s">
        <v>561</v>
      </c>
      <c r="AL73" t="s">
        <v>632</v>
      </c>
      <c r="AM73" s="390">
        <v>112520</v>
      </c>
      <c r="AP73" s="22" t="s">
        <v>275</v>
      </c>
    </row>
    <row r="74" spans="2:42" x14ac:dyDescent="0.25">
      <c r="T74" s="383"/>
      <c r="U74" s="147"/>
      <c r="V74" s="145" t="s">
        <v>215</v>
      </c>
      <c r="W74" s="151">
        <f>'[1]Income data'!C201</f>
        <v>14412.106</v>
      </c>
      <c r="X74" s="149">
        <f>'[1]mortality values_starting value'!F$8*(W74/'[1]Income data'!C$26)^'[1]mortality values_starting value'!F$14</f>
        <v>1.2842377994140879</v>
      </c>
      <c r="Y74" s="150">
        <f>X74/'[1]mortality values_starting value'!F$7</f>
        <v>0.27905761673914586</v>
      </c>
      <c r="AB74" s="386">
        <v>11348.73203082464</v>
      </c>
      <c r="AC74" s="387">
        <v>1.5603353822169157</v>
      </c>
      <c r="AD74" s="387">
        <f t="shared" si="6"/>
        <v>1.2699309456646641</v>
      </c>
      <c r="AE74" s="385"/>
      <c r="AH74" s="22" t="s">
        <v>173</v>
      </c>
      <c r="AI74" t="s">
        <v>173</v>
      </c>
      <c r="AJ74" t="s">
        <v>560</v>
      </c>
      <c r="AK74" t="s">
        <v>561</v>
      </c>
      <c r="AL74" t="s">
        <v>633</v>
      </c>
      <c r="AM74" s="390">
        <v>17915570</v>
      </c>
      <c r="AP74" s="22" t="s">
        <v>174</v>
      </c>
    </row>
    <row r="75" spans="2:42" x14ac:dyDescent="0.25">
      <c r="T75" s="383"/>
      <c r="U75" s="147"/>
      <c r="V75" s="145" t="s">
        <v>216</v>
      </c>
      <c r="W75" s="151">
        <f>'[1]Income data'!C206</f>
        <v>31330.631000000001</v>
      </c>
      <c r="X75" s="149">
        <f>'[1]mortality values_starting value'!F$8*(W75/'[1]Income data'!C$26)^'[1]mortality values_starting value'!F$15</f>
        <v>2.95851221686973</v>
      </c>
      <c r="Y75" s="150">
        <f>X75/'[1]mortality values_starting value'!F$7</f>
        <v>0.64286798652864596</v>
      </c>
      <c r="AB75" s="386">
        <v>23302.833284190765</v>
      </c>
      <c r="AC75" s="387">
        <v>2.7745149290302966</v>
      </c>
      <c r="AD75" s="387">
        <f t="shared" si="6"/>
        <v>1.344498783384229</v>
      </c>
      <c r="AE75" s="385"/>
      <c r="AH75" s="22" t="s">
        <v>274</v>
      </c>
      <c r="AI75" t="s">
        <v>274</v>
      </c>
      <c r="AJ75" t="s">
        <v>560</v>
      </c>
      <c r="AK75" t="s">
        <v>561</v>
      </c>
      <c r="AL75" t="s">
        <v>634</v>
      </c>
      <c r="AM75" s="390">
        <v>13132800</v>
      </c>
      <c r="AP75" s="22" t="s">
        <v>175</v>
      </c>
    </row>
    <row r="76" spans="2:42" x14ac:dyDescent="0.25">
      <c r="T76" s="383"/>
      <c r="U76" s="147"/>
      <c r="V76" s="145" t="s">
        <v>217</v>
      </c>
      <c r="W76" s="151">
        <f>'[1]Income data'!C207</f>
        <v>32215.742999999999</v>
      </c>
      <c r="X76" s="149">
        <f>'[1]mortality values_starting value'!F$8*(W76/'[1]Income data'!C$26)^'[1]mortality values_starting value'!F$15</f>
        <v>3.0251894368375907</v>
      </c>
      <c r="Y76" s="150">
        <f>X76/'[1]mortality values_starting value'!F$7</f>
        <v>0.65735656964270173</v>
      </c>
      <c r="AB76" s="386">
        <v>26925.210216838459</v>
      </c>
      <c r="AC76" s="387">
        <v>3.1144930471266883</v>
      </c>
      <c r="AD76" s="387">
        <f t="shared" ref="AD76:AD139" si="8">W76/AB76</f>
        <v>1.1964899341752568</v>
      </c>
      <c r="AE76" s="385"/>
      <c r="AH76" s="22" t="s">
        <v>275</v>
      </c>
      <c r="AI76" t="s">
        <v>275</v>
      </c>
      <c r="AJ76" t="s">
        <v>560</v>
      </c>
      <c r="AK76" t="s">
        <v>561</v>
      </c>
      <c r="AL76" t="s">
        <v>635</v>
      </c>
      <c r="AM76" s="390">
        <v>1968000</v>
      </c>
      <c r="AP76" s="22" t="s">
        <v>176</v>
      </c>
    </row>
    <row r="77" spans="2:42" x14ac:dyDescent="0.25">
      <c r="T77" s="383"/>
      <c r="U77" s="147"/>
      <c r="V77" s="145" t="s">
        <v>218</v>
      </c>
      <c r="W77" s="151">
        <f>'[1]Income data'!C212</f>
        <v>36346.595999999998</v>
      </c>
      <c r="X77" s="149">
        <f>'[1]mortality values_starting value'!F$8*(W77/'[1]Income data'!C$26)^'[1]mortality values_starting value'!F$15</f>
        <v>3.331724240616313</v>
      </c>
      <c r="Y77" s="150">
        <f>X77/'[1]mortality values_starting value'!F$7</f>
        <v>0.72396485031246438</v>
      </c>
      <c r="AB77" s="386">
        <v>32230.35859741988</v>
      </c>
      <c r="AC77" s="387">
        <v>3.5964348180903416</v>
      </c>
      <c r="AD77" s="387">
        <f t="shared" si="8"/>
        <v>1.1277130501089005</v>
      </c>
      <c r="AE77" s="385"/>
      <c r="AH77" s="22" t="s">
        <v>174</v>
      </c>
      <c r="AI77" t="s">
        <v>174</v>
      </c>
      <c r="AJ77" t="s">
        <v>560</v>
      </c>
      <c r="AK77" t="s">
        <v>561</v>
      </c>
      <c r="AL77" t="s">
        <v>636</v>
      </c>
      <c r="AM77" s="390">
        <v>786550</v>
      </c>
      <c r="AP77" s="22" t="s">
        <v>314</v>
      </c>
    </row>
    <row r="78" spans="2:42" x14ac:dyDescent="0.25">
      <c r="T78" s="383"/>
      <c r="U78" s="147"/>
      <c r="V78" s="145" t="s">
        <v>219</v>
      </c>
      <c r="W78" s="151">
        <f>'[1]Income data'!C221</f>
        <v>49759.300999999999</v>
      </c>
      <c r="X78" s="149">
        <f>'[1]mortality values_starting value'!F$8*(W78/'[1]Income data'!C$26)^'[1]mortality values_starting value'!F$15</f>
        <v>4.2834871695654213</v>
      </c>
      <c r="Y78" s="150">
        <f>X78/'[1]mortality values_starting value'!F$7</f>
        <v>0.93077755647512461</v>
      </c>
      <c r="AB78" s="386">
        <v>39024.173868567348</v>
      </c>
      <c r="AC78" s="387">
        <v>4.1910906835415433</v>
      </c>
      <c r="AD78" s="387">
        <f t="shared" si="8"/>
        <v>1.2750891580072483</v>
      </c>
      <c r="AE78" s="385"/>
      <c r="AH78" s="22" t="s">
        <v>175</v>
      </c>
      <c r="AI78" t="s">
        <v>175</v>
      </c>
      <c r="AJ78" t="s">
        <v>560</v>
      </c>
      <c r="AK78" t="s">
        <v>561</v>
      </c>
      <c r="AL78" t="s">
        <v>637</v>
      </c>
      <c r="AM78" s="390">
        <v>11402530</v>
      </c>
      <c r="AP78" s="22" t="s">
        <v>202</v>
      </c>
    </row>
    <row r="79" spans="2:42" x14ac:dyDescent="0.25">
      <c r="T79" s="383"/>
      <c r="U79" s="147"/>
      <c r="V79" s="145" t="s">
        <v>220</v>
      </c>
      <c r="W79" s="151">
        <f>'[1]Income data'!C222</f>
        <v>60374.457000000002</v>
      </c>
      <c r="X79" s="149">
        <f>'[1]mortality values_starting value'!F$8*(W79/'[1]Income data'!C$26)^'[1]mortality values_starting value'!F$15</f>
        <v>5.000122493794553</v>
      </c>
      <c r="Y79" s="150">
        <f>X79/'[1]mortality values_starting value'!F$7</f>
        <v>1.0864983628099836</v>
      </c>
      <c r="AB79" s="386">
        <v>46384.490398134025</v>
      </c>
      <c r="AC79" s="387">
        <v>4.8123622923991336</v>
      </c>
      <c r="AD79" s="387">
        <f t="shared" si="8"/>
        <v>1.3016087162278875</v>
      </c>
      <c r="AE79" s="385"/>
      <c r="AI79" t="s">
        <v>778</v>
      </c>
      <c r="AJ79" t="s">
        <v>560</v>
      </c>
      <c r="AK79" t="s">
        <v>561</v>
      </c>
      <c r="AL79" t="s">
        <v>638</v>
      </c>
      <c r="AM79" s="390">
        <v>800</v>
      </c>
      <c r="AP79" s="22" t="s">
        <v>203</v>
      </c>
    </row>
    <row r="80" spans="2:42" x14ac:dyDescent="0.25">
      <c r="T80" s="383"/>
      <c r="U80" s="147"/>
      <c r="V80" s="145" t="s">
        <v>221</v>
      </c>
      <c r="W80" s="151">
        <f>'[1]Income data'!C233</f>
        <v>24986.334999999999</v>
      </c>
      <c r="X80" s="149">
        <f>'[1]mortality values_starting value'!F$8*(W80/'[1]Income data'!C$26)^'[1]mortality values_starting value'!F$15</f>
        <v>2.46865329368178</v>
      </c>
      <c r="Y80" s="150">
        <f>X80/'[1]mortality values_starting value'!F$7</f>
        <v>0.53642441065383517</v>
      </c>
      <c r="AB80" s="386">
        <v>15686.860167574951</v>
      </c>
      <c r="AC80" s="387">
        <v>2.0215705570949325</v>
      </c>
      <c r="AD80" s="387">
        <f t="shared" si="8"/>
        <v>1.5928193872504357</v>
      </c>
      <c r="AE80" s="385"/>
      <c r="AH80" s="22" t="s">
        <v>176</v>
      </c>
      <c r="AI80" t="s">
        <v>176</v>
      </c>
      <c r="AJ80" t="s">
        <v>560</v>
      </c>
      <c r="AK80" t="s">
        <v>561</v>
      </c>
      <c r="AL80" t="s">
        <v>639</v>
      </c>
      <c r="AM80" s="390">
        <v>9904610</v>
      </c>
      <c r="AP80" s="22" t="s">
        <v>315</v>
      </c>
    </row>
    <row r="81" spans="20:42" x14ac:dyDescent="0.25">
      <c r="T81" s="383"/>
      <c r="U81" s="147"/>
      <c r="V81" s="145" t="s">
        <v>222</v>
      </c>
      <c r="W81" s="151">
        <f>'[1]Income data'!C240</f>
        <v>42420.671000000002</v>
      </c>
      <c r="X81" s="149">
        <f>'[1]mortality values_starting value'!F$8*(W81/'[1]Income data'!C$26)^'[1]mortality values_starting value'!F$15</f>
        <v>3.7701625980857525</v>
      </c>
      <c r="Y81" s="150">
        <f>X81/'[1]mortality values_starting value'!F$7</f>
        <v>0.81923502782808288</v>
      </c>
      <c r="AB81" s="386">
        <v>35686.199770552077</v>
      </c>
      <c r="AC81" s="387">
        <v>3.9017579628717352</v>
      </c>
      <c r="AD81" s="387">
        <f t="shared" si="8"/>
        <v>1.1887136000119898</v>
      </c>
      <c r="AE81" s="385"/>
      <c r="AH81" s="22" t="s">
        <v>202</v>
      </c>
      <c r="AI81" t="s">
        <v>202</v>
      </c>
      <c r="AJ81" t="s">
        <v>560</v>
      </c>
      <c r="AK81" t="s">
        <v>561</v>
      </c>
      <c r="AL81" t="s">
        <v>640</v>
      </c>
      <c r="AM81" s="390">
        <v>9660350</v>
      </c>
      <c r="AP81" s="22" t="s">
        <v>316</v>
      </c>
    </row>
    <row r="82" spans="20:42" x14ac:dyDescent="0.25">
      <c r="T82" s="383"/>
      <c r="U82" s="144"/>
      <c r="V82" s="145"/>
      <c r="W82" s="152"/>
      <c r="X82" s="149"/>
      <c r="Y82" s="150">
        <f>X82/'[1]mortality values_starting value'!F$7</f>
        <v>0</v>
      </c>
      <c r="AB82" s="386"/>
      <c r="AC82" s="387">
        <v>0</v>
      </c>
      <c r="AD82" s="387" t="e">
        <f t="shared" si="8"/>
        <v>#DIV/0!</v>
      </c>
      <c r="AE82" s="385"/>
      <c r="AH82" s="22" t="s">
        <v>203</v>
      </c>
      <c r="AI82" t="s">
        <v>203</v>
      </c>
      <c r="AJ82" t="s">
        <v>560</v>
      </c>
      <c r="AK82" t="s">
        <v>561</v>
      </c>
      <c r="AL82" t="s">
        <v>641</v>
      </c>
      <c r="AM82" s="390">
        <v>341240</v>
      </c>
      <c r="AP82" s="22" t="s">
        <v>239</v>
      </c>
    </row>
    <row r="83" spans="20:42" x14ac:dyDescent="0.25">
      <c r="T83" s="383"/>
      <c r="U83" s="147"/>
      <c r="V83" s="145" t="s">
        <v>223</v>
      </c>
      <c r="W83" s="151">
        <f>'[1]Income data'!C43</f>
        <v>8636.9930000000004</v>
      </c>
      <c r="X83" s="149">
        <f>'[1]mortality values_starting value'!F$8*(W83/'[1]Income data'!C$26)^'[1]mortality values_starting value'!F$14</f>
        <v>0.76962748427432337</v>
      </c>
      <c r="Y83" s="150">
        <f>X83/'[1]mortality values_starting value'!F$7</f>
        <v>0.16723570326034831</v>
      </c>
      <c r="AB83" s="386">
        <v>5463.2031996597607</v>
      </c>
      <c r="AC83" s="387">
        <v>0.86939665871239535</v>
      </c>
      <c r="AD83" s="387">
        <f t="shared" si="8"/>
        <v>1.5809393654876132</v>
      </c>
      <c r="AE83" s="385"/>
      <c r="AH83" s="22" t="s">
        <v>315</v>
      </c>
      <c r="AI83" t="s">
        <v>315</v>
      </c>
      <c r="AJ83" t="s">
        <v>560</v>
      </c>
      <c r="AK83" t="s">
        <v>561</v>
      </c>
      <c r="AL83" t="s">
        <v>642</v>
      </c>
      <c r="AM83" s="390">
        <v>1380004390</v>
      </c>
      <c r="AP83" s="22" t="s">
        <v>240</v>
      </c>
    </row>
    <row r="84" spans="20:42" x14ac:dyDescent="0.25">
      <c r="T84" s="383"/>
      <c r="U84" s="147"/>
      <c r="V84" s="145" t="s">
        <v>224</v>
      </c>
      <c r="W84" s="151">
        <f>'[1]Income data'!C47</f>
        <v>17452.982</v>
      </c>
      <c r="X84" s="149">
        <f>'[1]mortality values_starting value'!F$8*(W84/'[1]Income data'!C$26)^'[1]mortality values_starting value'!F$14</f>
        <v>1.5552049920319546</v>
      </c>
      <c r="Y84" s="150">
        <f>X84/'[1]mortality values_starting value'!F$7</f>
        <v>0.33793725649195272</v>
      </c>
      <c r="AB84" s="386">
        <v>9935.924424892517</v>
      </c>
      <c r="AC84" s="387">
        <v>1.4028999737902037</v>
      </c>
      <c r="AD84" s="387">
        <f t="shared" si="8"/>
        <v>1.7565534170403878</v>
      </c>
      <c r="AE84" s="385"/>
      <c r="AH84" s="22" t="s">
        <v>316</v>
      </c>
      <c r="AI84" t="s">
        <v>316</v>
      </c>
      <c r="AJ84" t="s">
        <v>560</v>
      </c>
      <c r="AK84" t="s">
        <v>561</v>
      </c>
      <c r="AL84" t="s">
        <v>643</v>
      </c>
      <c r="AM84" s="390">
        <v>273523610</v>
      </c>
      <c r="AP84" s="22" t="s">
        <v>204</v>
      </c>
    </row>
    <row r="85" spans="20:42" x14ac:dyDescent="0.25">
      <c r="T85" s="383"/>
      <c r="U85" s="147"/>
      <c r="V85" s="145" t="s">
        <v>225</v>
      </c>
      <c r="W85" s="151">
        <f>'[1]Income data'!C52</f>
        <v>18073.026000000002</v>
      </c>
      <c r="X85" s="149">
        <f>'[1]mortality values_starting value'!F$8*(W85/'[1]Income data'!C$26)^'[1]mortality values_starting value'!F$14</f>
        <v>1.6104560387630784</v>
      </c>
      <c r="Y85" s="150">
        <f>X85/'[1]mortality values_starting value'!F$7</f>
        <v>0.34994299672959789</v>
      </c>
      <c r="AB85" s="386">
        <v>13928.825793037964</v>
      </c>
      <c r="AC85" s="387">
        <v>1.8381954589484475</v>
      </c>
      <c r="AD85" s="387">
        <f t="shared" si="8"/>
        <v>1.2975268890959517</v>
      </c>
      <c r="AE85" s="385"/>
      <c r="AH85" s="22" t="s">
        <v>239</v>
      </c>
      <c r="AI85" t="s">
        <v>779</v>
      </c>
      <c r="AJ85" t="s">
        <v>560</v>
      </c>
      <c r="AK85" t="s">
        <v>561</v>
      </c>
      <c r="AL85" t="s">
        <v>644</v>
      </c>
      <c r="AM85" s="390">
        <v>83992950</v>
      </c>
      <c r="AP85" s="22" t="s">
        <v>241</v>
      </c>
    </row>
    <row r="86" spans="20:42" x14ac:dyDescent="0.25">
      <c r="T86" s="383"/>
      <c r="U86" s="147"/>
      <c r="V86" s="145" t="s">
        <v>226</v>
      </c>
      <c r="W86" s="151">
        <f>'[1]Income data'!C96</f>
        <v>29684.603999999999</v>
      </c>
      <c r="X86" s="149">
        <f>'[1]mortality values_starting value'!F$8*(W86/'[1]Income data'!C$26)^'[1]mortality values_starting value'!F$15</f>
        <v>2.833498985043144</v>
      </c>
      <c r="Y86" s="150">
        <f>X86/'[1]mortality values_starting value'!F$7</f>
        <v>0.61570331768748476</v>
      </c>
      <c r="AB86" s="386">
        <v>20663.432016251227</v>
      </c>
      <c r="AC86" s="387">
        <v>2.5201247995049116</v>
      </c>
      <c r="AD86" s="387">
        <f t="shared" si="8"/>
        <v>1.4365766527387061</v>
      </c>
      <c r="AE86" s="385"/>
      <c r="AH86" s="22" t="s">
        <v>240</v>
      </c>
      <c r="AI86" t="s">
        <v>240</v>
      </c>
      <c r="AJ86" t="s">
        <v>560</v>
      </c>
      <c r="AK86" t="s">
        <v>561</v>
      </c>
      <c r="AL86" t="s">
        <v>645</v>
      </c>
      <c r="AM86" s="390">
        <v>40222490</v>
      </c>
      <c r="AP86" s="22" t="s">
        <v>205</v>
      </c>
    </row>
    <row r="87" spans="20:42" x14ac:dyDescent="0.25">
      <c r="T87" s="383"/>
      <c r="U87" s="147"/>
      <c r="V87" s="145" t="s">
        <v>227</v>
      </c>
      <c r="W87" s="151">
        <f>'[1]Income data'!C105</f>
        <v>10043.186</v>
      </c>
      <c r="X87" s="149">
        <f>'[1]mortality values_starting value'!F$8*(W87/'[1]Income data'!C$26)^'[1]mortality values_starting value'!F$14</f>
        <v>0.8949309065410963</v>
      </c>
      <c r="Y87" s="150">
        <f>X87/'[1]mortality values_starting value'!F$7</f>
        <v>0.1944634288443309</v>
      </c>
      <c r="AB87" s="386">
        <v>5074.1741024421799</v>
      </c>
      <c r="AC87" s="387">
        <v>0.81950644808113626</v>
      </c>
      <c r="AD87" s="387">
        <f t="shared" si="8"/>
        <v>1.9792750105216639</v>
      </c>
      <c r="AE87" s="385"/>
      <c r="AH87" s="22" t="s">
        <v>204</v>
      </c>
      <c r="AI87" t="s">
        <v>204</v>
      </c>
      <c r="AJ87" t="s">
        <v>560</v>
      </c>
      <c r="AK87" t="s">
        <v>561</v>
      </c>
      <c r="AL87" t="s">
        <v>646</v>
      </c>
      <c r="AM87" s="390">
        <v>4937790</v>
      </c>
      <c r="AP87" s="22" t="s">
        <v>177</v>
      </c>
    </row>
    <row r="88" spans="20:42" x14ac:dyDescent="0.25">
      <c r="T88" s="383"/>
      <c r="U88" s="147"/>
      <c r="V88" s="145" t="s">
        <v>228</v>
      </c>
      <c r="W88" s="151">
        <f>'[1]Income data'!C133</f>
        <v>25167.386999999999</v>
      </c>
      <c r="X88" s="149">
        <f>'[1]mortality values_starting value'!F$8*(W88/'[1]Income data'!C$26)^'[1]mortality values_starting value'!F$14</f>
        <v>2.2426222578353725</v>
      </c>
      <c r="Y88" s="150">
        <f>X88/'[1]mortality values_starting value'!F$7</f>
        <v>0.48730914383864238</v>
      </c>
      <c r="AB88" s="386">
        <v>12169.055806245286</v>
      </c>
      <c r="AC88" s="387">
        <v>1.6499302678428578</v>
      </c>
      <c r="AD88" s="387">
        <f t="shared" si="8"/>
        <v>2.0681462391752561</v>
      </c>
      <c r="AE88" s="385"/>
      <c r="AH88" s="22" t="s">
        <v>241</v>
      </c>
      <c r="AI88" t="s">
        <v>241</v>
      </c>
      <c r="AJ88" t="s">
        <v>560</v>
      </c>
      <c r="AK88" t="s">
        <v>561</v>
      </c>
      <c r="AL88" t="s">
        <v>647</v>
      </c>
      <c r="AM88" s="390">
        <v>8655530</v>
      </c>
      <c r="AP88" s="22" t="s">
        <v>317</v>
      </c>
    </row>
    <row r="89" spans="20:42" x14ac:dyDescent="0.25">
      <c r="T89" s="383"/>
      <c r="U89" s="147"/>
      <c r="V89" s="145" t="s">
        <v>229</v>
      </c>
      <c r="W89" s="151">
        <f>'[1]Income data'!C140</f>
        <v>3520.2379999999998</v>
      </c>
      <c r="X89" s="149">
        <f>'[1]mortality values_starting value'!F$8*(W89/'[1]Income data'!C$26)^'[1]mortality values_starting value'!F$14</f>
        <v>0.31368231003392905</v>
      </c>
      <c r="Y89" s="150">
        <f>X89/'[1]mortality values_starting value'!F$7</f>
        <v>6.8161393389319855E-2</v>
      </c>
      <c r="AB89" s="386">
        <v>2238.8532767409451</v>
      </c>
      <c r="AC89" s="387">
        <v>0.42587347353526189</v>
      </c>
      <c r="AD89" s="387">
        <f t="shared" si="8"/>
        <v>1.572339749357913</v>
      </c>
      <c r="AE89" s="385"/>
      <c r="AH89" s="22" t="s">
        <v>205</v>
      </c>
      <c r="AI89" t="s">
        <v>205</v>
      </c>
      <c r="AJ89" t="s">
        <v>560</v>
      </c>
      <c r="AK89" t="s">
        <v>561</v>
      </c>
      <c r="AL89" t="s">
        <v>648</v>
      </c>
      <c r="AM89" s="390">
        <v>60461830</v>
      </c>
      <c r="AP89" s="22" t="s">
        <v>242</v>
      </c>
    </row>
    <row r="90" spans="20:42" x14ac:dyDescent="0.25">
      <c r="T90" s="383"/>
      <c r="U90" s="147"/>
      <c r="V90" s="145" t="s">
        <v>230</v>
      </c>
      <c r="W90" s="151">
        <f>'[1]Income data'!C142</f>
        <v>25702.255000000001</v>
      </c>
      <c r="X90" s="149">
        <f>'[1]mortality values_starting value'!F$8*(W90/'[1]Income data'!C$26)^'[1]mortality values_starting value'!F$14</f>
        <v>2.2902834187577956</v>
      </c>
      <c r="Y90" s="150">
        <f>X90/'[1]mortality values_starting value'!F$7</f>
        <v>0.49766564477958986</v>
      </c>
      <c r="AB90" s="386">
        <v>16276.073545919529</v>
      </c>
      <c r="AC90" s="387">
        <v>2.082091438724742</v>
      </c>
      <c r="AD90" s="387">
        <f t="shared" si="8"/>
        <v>1.5791434541928357</v>
      </c>
      <c r="AE90" s="385"/>
      <c r="AH90" s="22" t="s">
        <v>177</v>
      </c>
      <c r="AI90" t="s">
        <v>177</v>
      </c>
      <c r="AJ90" t="s">
        <v>560</v>
      </c>
      <c r="AK90" t="s">
        <v>561</v>
      </c>
      <c r="AL90" t="s">
        <v>649</v>
      </c>
      <c r="AM90" s="390">
        <v>2961170</v>
      </c>
      <c r="AP90" s="22" t="s">
        <v>228</v>
      </c>
    </row>
    <row r="91" spans="20:42" x14ac:dyDescent="0.25">
      <c r="T91" s="383"/>
      <c r="U91" s="147"/>
      <c r="V91" s="145" t="s">
        <v>231</v>
      </c>
      <c r="W91" s="151">
        <f>'[1]Income data'!C148</f>
        <v>29971.784</v>
      </c>
      <c r="X91" s="149">
        <f>'[1]mortality values_starting value'!F$8*(W91/'[1]Income data'!C$26)^'[1]mortality values_starting value'!F$14</f>
        <v>2.6707337517968828</v>
      </c>
      <c r="Y91" s="150">
        <f>X91/'[1]mortality values_starting value'!F$7</f>
        <v>0.580335352269853</v>
      </c>
      <c r="AB91" s="386">
        <v>18147.981537861589</v>
      </c>
      <c r="AC91" s="387">
        <v>2.2715523320066242</v>
      </c>
      <c r="AD91" s="387">
        <f t="shared" si="8"/>
        <v>1.6515216272107598</v>
      </c>
      <c r="AE91" s="385"/>
      <c r="AH91" s="22" t="s">
        <v>317</v>
      </c>
      <c r="AI91" t="s">
        <v>317</v>
      </c>
      <c r="AJ91" t="s">
        <v>560</v>
      </c>
      <c r="AK91" t="s">
        <v>561</v>
      </c>
      <c r="AL91" t="s">
        <v>650</v>
      </c>
      <c r="AM91" s="390">
        <v>126476460</v>
      </c>
      <c r="AP91" s="22" t="s">
        <v>276</v>
      </c>
    </row>
    <row r="92" spans="20:42" x14ac:dyDescent="0.25">
      <c r="T92" s="383"/>
      <c r="U92" s="147"/>
      <c r="V92" s="145" t="s">
        <v>232</v>
      </c>
      <c r="W92" s="151">
        <f>'[1]Income data'!C164</f>
        <v>5340.3720000000003</v>
      </c>
      <c r="X92" s="149">
        <f>'[1]mortality values_starting value'!F$8*(W92/'[1]Income data'!C$26)^'[1]mortality values_starting value'!F$14</f>
        <v>0.47587129773626496</v>
      </c>
      <c r="Y92" s="150">
        <f>X92/'[1]mortality values_starting value'!F$7</f>
        <v>0.10340414390655089</v>
      </c>
      <c r="AB92" s="386">
        <v>3109.8377131770098</v>
      </c>
      <c r="AC92" s="387">
        <v>0.55392410452582586</v>
      </c>
      <c r="AD92" s="387">
        <f t="shared" si="8"/>
        <v>1.717251024827362</v>
      </c>
      <c r="AE92" s="385"/>
      <c r="AH92" s="22" t="s">
        <v>242</v>
      </c>
      <c r="AI92" t="s">
        <v>242</v>
      </c>
      <c r="AJ92" t="s">
        <v>560</v>
      </c>
      <c r="AK92" t="s">
        <v>561</v>
      </c>
      <c r="AL92" t="s">
        <v>651</v>
      </c>
      <c r="AM92" s="390">
        <v>10203130</v>
      </c>
      <c r="AP92" s="22" t="s">
        <v>318</v>
      </c>
    </row>
    <row r="93" spans="20:42" x14ac:dyDescent="0.25">
      <c r="T93" s="383"/>
      <c r="U93" s="147"/>
      <c r="V93" s="145" t="s">
        <v>233</v>
      </c>
      <c r="W93" s="151">
        <f>'[1]Income data'!C194</f>
        <v>26925.902999999998</v>
      </c>
      <c r="X93" s="149">
        <f>'[1]mortality values_starting value'!F$8*(W93/'[1]Income data'!C$26)^'[1]mortality values_starting value'!F$14</f>
        <v>2.399320572299231</v>
      </c>
      <c r="Y93" s="150">
        <f>X93/'[1]mortality values_starting value'!F$7</f>
        <v>0.52135880208828711</v>
      </c>
      <c r="AB93" s="386">
        <v>19891.352833901339</v>
      </c>
      <c r="AC93" s="387">
        <v>2.4445084357733475</v>
      </c>
      <c r="AD93" s="387">
        <f t="shared" si="8"/>
        <v>1.3536486545102904</v>
      </c>
      <c r="AE93" s="385"/>
      <c r="AH93" s="22" t="s">
        <v>228</v>
      </c>
      <c r="AI93" t="s">
        <v>228</v>
      </c>
      <c r="AJ93" t="s">
        <v>560</v>
      </c>
      <c r="AK93" t="s">
        <v>561</v>
      </c>
      <c r="AL93" t="s">
        <v>652</v>
      </c>
      <c r="AM93" s="390">
        <v>18776710</v>
      </c>
      <c r="AP93" s="22" t="s">
        <v>319</v>
      </c>
    </row>
    <row r="94" spans="20:42" x14ac:dyDescent="0.25">
      <c r="T94" s="383"/>
      <c r="U94" s="147"/>
      <c r="V94" s="145" t="s">
        <v>234</v>
      </c>
      <c r="W94" s="151">
        <f>'[1]Income data'!C225</f>
        <v>3006.7840000000001</v>
      </c>
      <c r="X94" s="149">
        <f>'[1]mortality values_starting value'!F$8*(W94/'[1]Income data'!C$26)^'[1]mortality values_starting value'!F$14</f>
        <v>0.26792931355580435</v>
      </c>
      <c r="Y94" s="150">
        <f>X94/'[1]mortality values_starting value'!F$7</f>
        <v>5.8219525799310383E-2</v>
      </c>
      <c r="AB94" s="386">
        <v>2162.7690677269334</v>
      </c>
      <c r="AC94" s="387">
        <v>0.41425542369931623</v>
      </c>
      <c r="AD94" s="387">
        <f t="shared" si="8"/>
        <v>1.3902473661508969</v>
      </c>
      <c r="AE94" s="385"/>
      <c r="AH94" s="22" t="s">
        <v>276</v>
      </c>
      <c r="AI94" t="s">
        <v>276</v>
      </c>
      <c r="AJ94" t="s">
        <v>560</v>
      </c>
      <c r="AK94" t="s">
        <v>561</v>
      </c>
      <c r="AL94" t="s">
        <v>653</v>
      </c>
      <c r="AM94" s="390">
        <v>53771300</v>
      </c>
      <c r="AP94" s="22" t="s">
        <v>320</v>
      </c>
    </row>
    <row r="95" spans="20:42" x14ac:dyDescent="0.25">
      <c r="T95" s="383"/>
      <c r="U95" s="147"/>
      <c r="V95" s="145" t="s">
        <v>235</v>
      </c>
      <c r="W95" s="151">
        <f>'[1]Income data'!C234</f>
        <v>17480.616999999998</v>
      </c>
      <c r="X95" s="149">
        <f>'[1]mortality values_starting value'!F$8*(W95/'[1]Income data'!C$26)^'[1]mortality values_starting value'!F$14</f>
        <v>1.5576674990095474</v>
      </c>
      <c r="Y95" s="150">
        <f>X95/'[1]mortality values_starting value'!F$7</f>
        <v>0.33847234534285253</v>
      </c>
      <c r="AB95" s="386">
        <v>8273.6437144041447</v>
      </c>
      <c r="AC95" s="387">
        <v>1.2117625757727239</v>
      </c>
      <c r="AD95" s="387">
        <f t="shared" si="8"/>
        <v>2.1128075613851744</v>
      </c>
      <c r="AE95" s="385"/>
      <c r="AH95" s="22" t="s">
        <v>318</v>
      </c>
      <c r="AI95" t="s">
        <v>318</v>
      </c>
      <c r="AJ95" t="s">
        <v>560</v>
      </c>
      <c r="AK95" t="s">
        <v>561</v>
      </c>
      <c r="AL95" t="s">
        <v>654</v>
      </c>
      <c r="AM95" s="390">
        <v>119450</v>
      </c>
      <c r="AP95" s="22" t="s">
        <v>243</v>
      </c>
    </row>
    <row r="96" spans="20:42" x14ac:dyDescent="0.25">
      <c r="T96" s="383"/>
      <c r="U96" s="147"/>
      <c r="V96" s="145" t="s">
        <v>236</v>
      </c>
      <c r="W96" s="151">
        <f>'[1]Income data'!C238</f>
        <v>8319.8410000000003</v>
      </c>
      <c r="X96" s="149">
        <f>'[1]mortality values_starting value'!F$8*(W96/'[1]Income data'!C$26)^'[1]mortality values_starting value'!F$14</f>
        <v>0.741366618960137</v>
      </c>
      <c r="Y96" s="150">
        <f>X96/'[1]mortality values_starting value'!F$7</f>
        <v>0.16109477692633067</v>
      </c>
      <c r="AB96" s="386">
        <v>6720.9722259696164</v>
      </c>
      <c r="AC96" s="387">
        <v>1.0261379842979281</v>
      </c>
      <c r="AD96" s="387">
        <f t="shared" si="8"/>
        <v>1.2378924834494045</v>
      </c>
      <c r="AE96" s="385"/>
      <c r="AH96" s="22" t="s">
        <v>243</v>
      </c>
      <c r="AI96" t="s">
        <v>243</v>
      </c>
      <c r="AJ96" t="s">
        <v>560</v>
      </c>
      <c r="AK96" t="s">
        <v>561</v>
      </c>
      <c r="AL96" t="s">
        <v>655</v>
      </c>
      <c r="AM96" s="390">
        <v>4270570</v>
      </c>
      <c r="AP96" s="22" t="s">
        <v>229</v>
      </c>
    </row>
    <row r="97" spans="20:42" x14ac:dyDescent="0.25">
      <c r="T97" s="383"/>
      <c r="U97" s="147"/>
      <c r="V97" s="145" t="s">
        <v>237</v>
      </c>
      <c r="W97" s="151">
        <f>'[1]Income data'!C243</f>
        <v>6560.8329999999996</v>
      </c>
      <c r="X97" s="149">
        <f>'[1]mortality values_starting value'!F$8*(W97/'[1]Income data'!C$26)^'[1]mortality values_starting value'!F$14</f>
        <v>0.58462446322857509</v>
      </c>
      <c r="Y97" s="150">
        <f>X97/'[1]mortality values_starting value'!F$7</f>
        <v>0.12703559221695565</v>
      </c>
      <c r="AB97" s="386">
        <v>3106.0491316288731</v>
      </c>
      <c r="AC97" s="387">
        <v>0.55338418119309762</v>
      </c>
      <c r="AD97" s="387">
        <f t="shared" si="8"/>
        <v>2.1122759885512083</v>
      </c>
      <c r="AE97" s="385"/>
      <c r="AH97" s="22" t="s">
        <v>229</v>
      </c>
      <c r="AI97" t="s">
        <v>229</v>
      </c>
      <c r="AJ97" t="s">
        <v>560</v>
      </c>
      <c r="AK97" t="s">
        <v>561</v>
      </c>
      <c r="AL97" t="s">
        <v>656</v>
      </c>
      <c r="AM97" s="390">
        <v>6524190</v>
      </c>
      <c r="AP97" s="22" t="s">
        <v>321</v>
      </c>
    </row>
    <row r="98" spans="20:42" x14ac:dyDescent="0.25">
      <c r="T98" s="383"/>
      <c r="U98" s="144"/>
      <c r="V98" s="145"/>
      <c r="W98" s="152"/>
      <c r="X98" s="149"/>
      <c r="Y98" s="150">
        <f>X98/'[1]mortality values_starting value'!F$7</f>
        <v>0</v>
      </c>
      <c r="AB98" s="386"/>
      <c r="AC98" s="387">
        <v>0</v>
      </c>
      <c r="AD98" s="387" t="e">
        <f t="shared" si="8"/>
        <v>#DIV/0!</v>
      </c>
      <c r="AE98" s="385"/>
      <c r="AH98" s="22" t="s">
        <v>321</v>
      </c>
      <c r="AI98" t="s">
        <v>780</v>
      </c>
      <c r="AJ98" t="s">
        <v>560</v>
      </c>
      <c r="AK98" t="s">
        <v>561</v>
      </c>
      <c r="AL98" t="s">
        <v>657</v>
      </c>
      <c r="AM98" s="390">
        <v>7275560</v>
      </c>
      <c r="AP98" s="22" t="s">
        <v>230</v>
      </c>
    </row>
    <row r="99" spans="20:42" x14ac:dyDescent="0.25">
      <c r="T99" s="383"/>
      <c r="U99" s="147"/>
      <c r="V99" s="145" t="s">
        <v>238</v>
      </c>
      <c r="W99" s="151">
        <f>'[1]Income data'!C49</f>
        <v>50719.226999999999</v>
      </c>
      <c r="X99" s="149">
        <f>'[1]mortality values_starting value'!F$8*(W99/'[1]Income data'!C$26)^'[1]mortality values_starting value'!F$14</f>
        <v>4.5195024565086861</v>
      </c>
      <c r="Y99" s="150">
        <f>X99/'[1]mortality values_starting value'!F$7</f>
        <v>0.98206234463386088</v>
      </c>
      <c r="AB99" s="386">
        <v>23645</v>
      </c>
      <c r="AC99" s="387">
        <v>2.8070589823688459</v>
      </c>
      <c r="AD99" s="387">
        <f t="shared" si="8"/>
        <v>2.1450296891520404</v>
      </c>
      <c r="AE99" s="385"/>
      <c r="AH99" s="22" t="s">
        <v>230</v>
      </c>
      <c r="AI99" t="s">
        <v>230</v>
      </c>
      <c r="AJ99" t="s">
        <v>560</v>
      </c>
      <c r="AK99" t="s">
        <v>561</v>
      </c>
      <c r="AL99" t="s">
        <v>658</v>
      </c>
      <c r="AM99" s="390">
        <v>1886200</v>
      </c>
      <c r="AP99" s="22" t="s">
        <v>244</v>
      </c>
    </row>
    <row r="100" spans="20:42" x14ac:dyDescent="0.25">
      <c r="T100" s="383"/>
      <c r="U100" s="147"/>
      <c r="V100" s="145" t="s">
        <v>239</v>
      </c>
      <c r="W100" s="151">
        <f>'[1]Income data'!C124</f>
        <v>19256.075000000001</v>
      </c>
      <c r="X100" s="149">
        <f>'[1]mortality values_starting value'!F$8*(W100/'[1]Income data'!C$26)^'[1]mortality values_starting value'!F$14</f>
        <v>1.7158754857445977</v>
      </c>
      <c r="Y100" s="150">
        <f>X100/'[1]mortality values_starting value'!F$7</f>
        <v>0.37285004684605066</v>
      </c>
      <c r="AB100" s="386">
        <v>5675</v>
      </c>
      <c r="AC100" s="387">
        <v>0.89625744486134296</v>
      </c>
      <c r="AD100" s="387">
        <f t="shared" si="8"/>
        <v>3.3931409691629959</v>
      </c>
      <c r="AE100" s="385"/>
      <c r="AH100" s="22" t="s">
        <v>244</v>
      </c>
      <c r="AI100" t="s">
        <v>244</v>
      </c>
      <c r="AJ100" t="s">
        <v>560</v>
      </c>
      <c r="AK100" t="s">
        <v>561</v>
      </c>
      <c r="AL100" t="s">
        <v>659</v>
      </c>
      <c r="AM100" s="390">
        <v>6825440</v>
      </c>
      <c r="AP100" s="22" t="s">
        <v>277</v>
      </c>
    </row>
    <row r="101" spans="20:42" x14ac:dyDescent="0.25">
      <c r="T101" s="383"/>
      <c r="U101" s="147"/>
      <c r="V101" s="145" t="s">
        <v>240</v>
      </c>
      <c r="W101" s="151">
        <f>'[1]Income data'!C125</f>
        <v>17219.43</v>
      </c>
      <c r="X101" s="149">
        <f>'[1]mortality values_starting value'!F$8*(W101/'[1]Income data'!C$26)^'[1]mortality values_starting value'!F$14</f>
        <v>1.5343935778965909</v>
      </c>
      <c r="Y101" s="150">
        <f>X101/'[1]mortality values_starting value'!F$7</f>
        <v>0.33341505380313952</v>
      </c>
      <c r="AB101" s="386">
        <v>3561.726808278675</v>
      </c>
      <c r="AC101" s="387">
        <v>0.61743119455857898</v>
      </c>
      <c r="AD101" s="387">
        <f t="shared" si="8"/>
        <v>4.8345734883360896</v>
      </c>
      <c r="AE101" s="385"/>
      <c r="AH101" s="22" t="s">
        <v>277</v>
      </c>
      <c r="AI101" t="s">
        <v>277</v>
      </c>
      <c r="AJ101" t="s">
        <v>560</v>
      </c>
      <c r="AK101" t="s">
        <v>561</v>
      </c>
      <c r="AL101" t="s">
        <v>660</v>
      </c>
      <c r="AM101" s="390">
        <v>2142250</v>
      </c>
      <c r="AP101" s="22" t="s">
        <v>278</v>
      </c>
    </row>
    <row r="102" spans="20:42" x14ac:dyDescent="0.25">
      <c r="T102" s="383"/>
      <c r="U102" s="147"/>
      <c r="V102" s="145" t="s">
        <v>241</v>
      </c>
      <c r="W102" s="151">
        <f>'[1]Income data'!C128</f>
        <v>35220.048999999999</v>
      </c>
      <c r="X102" s="149">
        <f>'[1]mortality values_starting value'!F$8*(W102/'[1]Income data'!C$26)^'[1]mortality values_starting value'!F$15</f>
        <v>3.2488526779187188</v>
      </c>
      <c r="Y102" s="150">
        <f>X102/'[1]mortality values_starting value'!F$7</f>
        <v>0.70595732803552302</v>
      </c>
      <c r="AB102" s="386">
        <v>28573.330744334504</v>
      </c>
      <c r="AC102" s="387">
        <v>3.2660947395324875</v>
      </c>
      <c r="AD102" s="387">
        <f t="shared" si="8"/>
        <v>1.2326196520503092</v>
      </c>
      <c r="AE102" s="385"/>
      <c r="AH102" s="22" t="s">
        <v>278</v>
      </c>
      <c r="AI102" t="s">
        <v>278</v>
      </c>
      <c r="AJ102" t="s">
        <v>560</v>
      </c>
      <c r="AK102" t="s">
        <v>561</v>
      </c>
      <c r="AL102" t="s">
        <v>661</v>
      </c>
      <c r="AM102" s="390">
        <v>5057680</v>
      </c>
      <c r="AP102" s="22" t="s">
        <v>279</v>
      </c>
    </row>
    <row r="103" spans="20:42" x14ac:dyDescent="0.25">
      <c r="T103" s="383"/>
      <c r="U103" s="147"/>
      <c r="V103" s="145" t="s">
        <v>242</v>
      </c>
      <c r="W103" s="151">
        <f>'[1]Income data'!C132</f>
        <v>12264.495000000001</v>
      </c>
      <c r="X103" s="149">
        <f>'[1]mortality values_starting value'!F$8*(W103/'[1]Income data'!C$26)^'[1]mortality values_starting value'!F$14</f>
        <v>1.0928679035336739</v>
      </c>
      <c r="Y103" s="150">
        <f>X103/'[1]mortality values_starting value'!F$7</f>
        <v>0.23747401977262519</v>
      </c>
      <c r="AB103" s="386">
        <v>5749.2039584702698</v>
      </c>
      <c r="AC103" s="387">
        <v>0.90562052383798319</v>
      </c>
      <c r="AD103" s="387">
        <f t="shared" si="8"/>
        <v>2.1332509837176308</v>
      </c>
      <c r="AE103" s="385"/>
      <c r="AH103" s="22" t="s">
        <v>279</v>
      </c>
      <c r="AI103" t="s">
        <v>279</v>
      </c>
      <c r="AJ103" t="s">
        <v>560</v>
      </c>
      <c r="AK103" t="s">
        <v>561</v>
      </c>
      <c r="AL103" t="s">
        <v>662</v>
      </c>
      <c r="AM103" s="390">
        <v>6871290</v>
      </c>
      <c r="AP103" s="22" t="s">
        <v>231</v>
      </c>
    </row>
    <row r="104" spans="20:42" x14ac:dyDescent="0.25">
      <c r="T104" s="383"/>
      <c r="U104" s="147"/>
      <c r="V104" s="145" t="s">
        <v>243</v>
      </c>
      <c r="W104" s="151">
        <f>'[1]Income data'!C139</f>
        <v>71877.839000000007</v>
      </c>
      <c r="X104" s="149">
        <f>'[1]mortality values_starting value'!F$8*(W104/'[1]Income data'!C$26)^'[1]mortality values_starting value'!F$14</f>
        <v>6.4049097185380202</v>
      </c>
      <c r="Y104" s="150">
        <f>X104/'[1]mortality values_starting value'!F$7</f>
        <v>1.3917506884628819</v>
      </c>
      <c r="AB104" s="386">
        <v>50538</v>
      </c>
      <c r="AC104" s="387">
        <v>5.1541199839467655</v>
      </c>
      <c r="AD104" s="387">
        <f t="shared" si="8"/>
        <v>1.4222533341248171</v>
      </c>
      <c r="AE104" s="385"/>
      <c r="AI104" t="s">
        <v>781</v>
      </c>
      <c r="AJ104" t="s">
        <v>560</v>
      </c>
      <c r="AK104" t="s">
        <v>561</v>
      </c>
      <c r="AL104" t="s">
        <v>663</v>
      </c>
      <c r="AM104" s="390">
        <v>38130</v>
      </c>
      <c r="AP104" s="22" t="s">
        <v>206</v>
      </c>
    </row>
    <row r="105" spans="20:42" x14ac:dyDescent="0.25">
      <c r="T105" s="383"/>
      <c r="U105" s="147"/>
      <c r="V105" s="145" t="s">
        <v>244</v>
      </c>
      <c r="W105" s="151">
        <f>'[1]Income data'!C143</f>
        <v>19050.341</v>
      </c>
      <c r="X105" s="149">
        <f>'[1]mortality values_starting value'!F$8*(W105/'[1]Income data'!C$26)^'[1]mortality values_starting value'!F$14</f>
        <v>1.697542885399814</v>
      </c>
      <c r="Y105" s="150">
        <f>X105/'[1]mortality values_starting value'!F$7</f>
        <v>0.36886647638645148</v>
      </c>
      <c r="AB105" s="386">
        <v>14069.424319309795</v>
      </c>
      <c r="AC105" s="387">
        <v>1.8530244327687178</v>
      </c>
      <c r="AD105" s="387">
        <f t="shared" si="8"/>
        <v>1.3540241994019664</v>
      </c>
      <c r="AE105" s="385"/>
      <c r="AH105" s="22" t="s">
        <v>231</v>
      </c>
      <c r="AI105" t="s">
        <v>231</v>
      </c>
      <c r="AJ105" t="s">
        <v>560</v>
      </c>
      <c r="AK105" t="s">
        <v>561</v>
      </c>
      <c r="AL105" t="s">
        <v>664</v>
      </c>
      <c r="AM105" s="390">
        <v>2722290</v>
      </c>
      <c r="AP105" s="22" t="s">
        <v>207</v>
      </c>
    </row>
    <row r="106" spans="20:42" x14ac:dyDescent="0.25">
      <c r="T106" s="383"/>
      <c r="U106" s="147"/>
      <c r="V106" s="145" t="s">
        <v>245</v>
      </c>
      <c r="W106" s="151">
        <f>'[1]Income data'!C181</f>
        <v>46067.197999999997</v>
      </c>
      <c r="X106" s="149">
        <f>'[1]mortality values_starting value'!F$8*(W106/'[1]Income data'!C$26)^'[1]mortality values_starting value'!F$14</f>
        <v>4.1049682110784538</v>
      </c>
      <c r="Y106" s="150">
        <f>X106/'[1]mortality values_starting value'!F$7</f>
        <v>0.8919863955850964</v>
      </c>
      <c r="AB106" s="386">
        <v>25458.778999999999</v>
      </c>
      <c r="AC106" s="387">
        <v>2.978037350726308</v>
      </c>
      <c r="AD106" s="387">
        <f t="shared" si="8"/>
        <v>1.8094818294310187</v>
      </c>
      <c r="AE106" s="385"/>
      <c r="AH106" s="22" t="s">
        <v>206</v>
      </c>
      <c r="AI106" t="s">
        <v>206</v>
      </c>
      <c r="AJ106" t="s">
        <v>560</v>
      </c>
      <c r="AK106" t="s">
        <v>561</v>
      </c>
      <c r="AL106" t="s">
        <v>665</v>
      </c>
      <c r="AM106" s="390">
        <v>625980</v>
      </c>
      <c r="AP106" s="22" t="s">
        <v>280</v>
      </c>
    </row>
    <row r="107" spans="20:42" x14ac:dyDescent="0.25">
      <c r="T107" s="383"/>
      <c r="U107" s="147"/>
      <c r="V107" s="145" t="s">
        <v>246</v>
      </c>
      <c r="W107" s="151">
        <f>'[1]Income data'!C248</f>
        <v>0</v>
      </c>
      <c r="X107" s="149">
        <f>'[1]mortality values_starting value'!F$8*(W107/'[1]Income data'!C$26)^'[1]mortality values_starting value'!F$14</f>
        <v>0</v>
      </c>
      <c r="Y107" s="150">
        <f>X107/'[1]mortality values_starting value'!F$7</f>
        <v>0</v>
      </c>
      <c r="AB107" s="386">
        <v>3002.7573970117178</v>
      </c>
      <c r="AC107" s="387">
        <v>0.53861231607901228</v>
      </c>
      <c r="AD107" s="387">
        <f t="shared" si="8"/>
        <v>0</v>
      </c>
      <c r="AE107" s="385"/>
      <c r="AH107" s="22" t="s">
        <v>280</v>
      </c>
      <c r="AI107" t="s">
        <v>280</v>
      </c>
      <c r="AJ107" t="s">
        <v>560</v>
      </c>
      <c r="AK107" t="s">
        <v>561</v>
      </c>
      <c r="AL107" t="s">
        <v>666</v>
      </c>
      <c r="AM107" s="390">
        <v>27691020</v>
      </c>
      <c r="AP107" s="22" t="s">
        <v>281</v>
      </c>
    </row>
    <row r="108" spans="20:42" x14ac:dyDescent="0.25">
      <c r="T108" s="383"/>
      <c r="U108" s="147"/>
      <c r="V108" s="145" t="s">
        <v>247</v>
      </c>
      <c r="W108" s="151">
        <f>'[1]Income data'!C192</f>
        <v>125159.804</v>
      </c>
      <c r="X108" s="149">
        <f>'[1]mortality values_starting value'!F$8*(W108/'[1]Income data'!C$26)^'[1]mortality values_starting value'!F$14</f>
        <v>11.152773318768164</v>
      </c>
      <c r="Y108" s="150">
        <f>X108/'[1]mortality values_starting value'!F$7</f>
        <v>2.4234346191860241</v>
      </c>
      <c r="AB108" s="386">
        <v>88221.506999999998</v>
      </c>
      <c r="AC108" s="387">
        <v>8.0485873402084742</v>
      </c>
      <c r="AD108" s="387">
        <f t="shared" si="8"/>
        <v>1.4186994561314852</v>
      </c>
      <c r="AE108" s="385"/>
      <c r="AH108" s="22" t="s">
        <v>281</v>
      </c>
      <c r="AI108" t="s">
        <v>281</v>
      </c>
      <c r="AJ108" t="s">
        <v>560</v>
      </c>
      <c r="AK108" t="s">
        <v>561</v>
      </c>
      <c r="AL108" t="s">
        <v>667</v>
      </c>
      <c r="AM108" s="390">
        <v>19129950</v>
      </c>
      <c r="AP108" s="22" t="s">
        <v>322</v>
      </c>
    </row>
    <row r="109" spans="20:42" x14ac:dyDescent="0.25">
      <c r="T109" s="383"/>
      <c r="U109" s="147"/>
      <c r="V109" s="145" t="s">
        <v>248</v>
      </c>
      <c r="W109" s="151">
        <f>'[1]Income data'!C199</f>
        <v>55330.53</v>
      </c>
      <c r="X109" s="149">
        <f>'[1]mortality values_starting value'!F$8*(W109/'[1]Income data'!C$26)^'[1]mortality values_starting value'!F$14</f>
        <v>4.9304076786290061</v>
      </c>
      <c r="Y109" s="150">
        <f>X109/'[1]mortality values_starting value'!F$7</f>
        <v>1.0713497274245563</v>
      </c>
      <c r="AB109" s="386">
        <v>22713.485291328423</v>
      </c>
      <c r="AC109" s="387">
        <v>2.7182356722094183</v>
      </c>
      <c r="AD109" s="387">
        <f t="shared" si="8"/>
        <v>2.436021125349888</v>
      </c>
      <c r="AE109" s="385"/>
      <c r="AH109" s="22" t="s">
        <v>322</v>
      </c>
      <c r="AI109" t="s">
        <v>322</v>
      </c>
      <c r="AJ109" t="s">
        <v>560</v>
      </c>
      <c r="AK109" t="s">
        <v>561</v>
      </c>
      <c r="AL109" t="s">
        <v>668</v>
      </c>
      <c r="AM109" s="390">
        <v>32366000</v>
      </c>
      <c r="AP109" s="22" t="s">
        <v>323</v>
      </c>
    </row>
    <row r="110" spans="20:42" x14ac:dyDescent="0.25">
      <c r="T110" s="383"/>
      <c r="U110" s="147"/>
      <c r="V110" s="145" t="s">
        <v>249</v>
      </c>
      <c r="W110" s="151" t="str">
        <f>'[1]Income data'!C223</f>
        <v>n/a</v>
      </c>
      <c r="X110" s="149" t="e">
        <f>'[1]mortality values_starting value'!F$8*(W110/'[1]Income data'!C$26)^'[1]mortality values_starting value'!F$14</f>
        <v>#VALUE!</v>
      </c>
      <c r="Y110" s="150" t="e">
        <f>X110/'[1]mortality values_starting value'!F$7</f>
        <v>#VALUE!</v>
      </c>
      <c r="AB110" s="386">
        <v>5285.0245757816228</v>
      </c>
      <c r="AC110" s="387">
        <v>0.84663787375841981</v>
      </c>
      <c r="AD110" s="387" t="e">
        <f t="shared" si="8"/>
        <v>#VALUE!</v>
      </c>
      <c r="AE110" s="385"/>
      <c r="AH110" s="22" t="s">
        <v>323</v>
      </c>
      <c r="AI110" t="s">
        <v>323</v>
      </c>
      <c r="AJ110" t="s">
        <v>560</v>
      </c>
      <c r="AK110" t="s">
        <v>561</v>
      </c>
      <c r="AL110" t="s">
        <v>669</v>
      </c>
      <c r="AM110" s="390">
        <v>540540</v>
      </c>
      <c r="AP110" s="22" t="s">
        <v>282</v>
      </c>
    </row>
    <row r="111" spans="20:42" x14ac:dyDescent="0.25">
      <c r="T111" s="383"/>
      <c r="U111" s="147"/>
      <c r="V111" s="145" t="s">
        <v>250</v>
      </c>
      <c r="W111" s="151">
        <f>'[1]Income data'!C239</f>
        <v>68092.338000000003</v>
      </c>
      <c r="X111" s="149">
        <f>'[1]mortality values_starting value'!F$8*(W111/'[1]Income data'!C$26)^'[1]mortality values_starting value'!F$14</f>
        <v>6.0675902820920324</v>
      </c>
      <c r="Y111" s="150">
        <f>X111/'[1]mortality values_starting value'!F$7</f>
        <v>1.3184530810747837</v>
      </c>
      <c r="AB111" s="386">
        <v>47213.36642453172</v>
      </c>
      <c r="AC111" s="387">
        <v>4.8810365273304974</v>
      </c>
      <c r="AD111" s="387">
        <f t="shared" si="8"/>
        <v>1.4422258601034583</v>
      </c>
      <c r="AE111" s="385"/>
      <c r="AH111" s="22" t="s">
        <v>282</v>
      </c>
      <c r="AI111" t="s">
        <v>282</v>
      </c>
      <c r="AJ111" t="s">
        <v>560</v>
      </c>
      <c r="AK111" t="s">
        <v>561</v>
      </c>
      <c r="AL111" t="s">
        <v>670</v>
      </c>
      <c r="AM111" s="390">
        <v>20250830</v>
      </c>
      <c r="AP111" s="22" t="s">
        <v>208</v>
      </c>
    </row>
    <row r="112" spans="20:42" x14ac:dyDescent="0.25">
      <c r="T112" s="383"/>
      <c r="U112" s="147"/>
      <c r="V112" s="145" t="s">
        <v>251</v>
      </c>
      <c r="W112" s="151">
        <f>'[1]Income data'!C249</f>
        <v>2374.2350000000001</v>
      </c>
      <c r="X112" s="149">
        <f>'[1]mortality values_starting value'!F$8*(W112/'[1]Income data'!C$26)^'[1]mortality values_starting value'!F$14</f>
        <v>0.21156396793722629</v>
      </c>
      <c r="Y112" s="150">
        <f>X112/'[1]mortality values_starting value'!F$7</f>
        <v>4.5971654710190574E-2</v>
      </c>
      <c r="AB112" s="386">
        <v>2653.0689389354729</v>
      </c>
      <c r="AC112" s="387">
        <v>0.48781922465366073</v>
      </c>
      <c r="AD112" s="387">
        <f t="shared" si="8"/>
        <v>0.8949013593867059</v>
      </c>
      <c r="AE112" s="385"/>
      <c r="AH112" s="22" t="s">
        <v>208</v>
      </c>
      <c r="AI112" t="s">
        <v>208</v>
      </c>
      <c r="AJ112" t="s">
        <v>560</v>
      </c>
      <c r="AK112" t="s">
        <v>561</v>
      </c>
      <c r="AL112" t="s">
        <v>671</v>
      </c>
      <c r="AM112" s="390">
        <v>441540</v>
      </c>
      <c r="AP112" s="22" t="s">
        <v>283</v>
      </c>
    </row>
    <row r="113" spans="20:42" x14ac:dyDescent="0.25">
      <c r="T113" s="383"/>
      <c r="U113" s="144"/>
      <c r="V113" s="145"/>
      <c r="W113" s="152"/>
      <c r="X113" s="149"/>
      <c r="Y113" s="150">
        <f>X113/'[1]mortality values_starting value'!F$7</f>
        <v>0</v>
      </c>
      <c r="AB113" s="386"/>
      <c r="AC113" s="387">
        <v>0</v>
      </c>
      <c r="AD113" s="387" t="e">
        <f t="shared" si="8"/>
        <v>#DIV/0!</v>
      </c>
      <c r="AE113" s="385"/>
      <c r="AI113" t="s">
        <v>782</v>
      </c>
      <c r="AJ113" t="s">
        <v>560</v>
      </c>
      <c r="AK113" t="s">
        <v>561</v>
      </c>
      <c r="AL113" t="s">
        <v>672</v>
      </c>
      <c r="AM113" s="390">
        <v>59190</v>
      </c>
      <c r="AP113" s="22" t="s">
        <v>284</v>
      </c>
    </row>
    <row r="114" spans="20:42" x14ac:dyDescent="0.25">
      <c r="T114" s="383"/>
      <c r="U114" s="147"/>
      <c r="V114" s="145" t="s">
        <v>252</v>
      </c>
      <c r="W114" s="151">
        <f>'[1]Income data'!C37</f>
        <v>14955.261</v>
      </c>
      <c r="X114" s="149">
        <f>'[1]mortality values_starting value'!F$8*(W114/'[1]Income data'!C$26)^'[1]mortality values_starting value'!F$14</f>
        <v>1.3326374005508514</v>
      </c>
      <c r="Y114" s="150">
        <f>X114/'[1]mortality values_starting value'!F$7</f>
        <v>0.28957457656583252</v>
      </c>
      <c r="AB114" s="386">
        <v>8432.8746845402602</v>
      </c>
      <c r="AC114" s="387">
        <v>1.2303837900746872</v>
      </c>
      <c r="AD114" s="387">
        <f t="shared" si="8"/>
        <v>1.773447556076819</v>
      </c>
      <c r="AE114" s="385"/>
      <c r="AH114" s="22" t="s">
        <v>283</v>
      </c>
      <c r="AI114" t="s">
        <v>283</v>
      </c>
      <c r="AJ114" t="s">
        <v>560</v>
      </c>
      <c r="AK114" t="s">
        <v>561</v>
      </c>
      <c r="AL114" t="s">
        <v>673</v>
      </c>
      <c r="AM114" s="390">
        <v>4649660</v>
      </c>
      <c r="AP114" s="22" t="s">
        <v>155</v>
      </c>
    </row>
    <row r="115" spans="20:42" x14ac:dyDescent="0.25">
      <c r="T115" s="383"/>
      <c r="U115" s="147"/>
      <c r="V115" s="145" t="s">
        <v>253</v>
      </c>
      <c r="W115" s="151">
        <f>'[1]Income data'!C40</f>
        <v>6797.11</v>
      </c>
      <c r="X115" s="149">
        <f>'[1]mortality values_starting value'!F$8*(W115/'[1]Income data'!C$26)^'[1]mortality values_starting value'!F$14</f>
        <v>0.60567869739339208</v>
      </c>
      <c r="Y115" s="150">
        <f>X115/'[1]mortality values_starting value'!F$7</f>
        <v>0.13161055832602228</v>
      </c>
      <c r="AB115" s="386">
        <v>6186.4899942918964</v>
      </c>
      <c r="AC115" s="387">
        <v>0.96031903072331948</v>
      </c>
      <c r="AD115" s="387">
        <f t="shared" si="8"/>
        <v>1.0987021730046449</v>
      </c>
      <c r="AE115" s="385"/>
      <c r="AH115" s="22" t="s">
        <v>284</v>
      </c>
      <c r="AI115" t="s">
        <v>284</v>
      </c>
      <c r="AJ115" t="s">
        <v>560</v>
      </c>
      <c r="AK115" t="s">
        <v>561</v>
      </c>
      <c r="AL115" t="s">
        <v>674</v>
      </c>
      <c r="AM115" s="390">
        <v>1271770</v>
      </c>
      <c r="AP115" s="22" t="s">
        <v>232</v>
      </c>
    </row>
    <row r="116" spans="20:42" x14ac:dyDescent="0.25">
      <c r="T116" s="383"/>
      <c r="U116" s="147"/>
      <c r="V116" s="145" t="s">
        <v>254</v>
      </c>
      <c r="W116" s="151">
        <f>'[1]Income data'!C55</f>
        <v>2118.8780000000002</v>
      </c>
      <c r="X116" s="149">
        <f>'[1]mortality values_starting value'!F$8*(W116/'[1]Income data'!C$26)^'[1]mortality values_starting value'!F$14</f>
        <v>0.18880954802489822</v>
      </c>
      <c r="Y116" s="150">
        <f>X116/'[1]mortality values_starting value'!F$7</f>
        <v>4.1027247845735235E-2</v>
      </c>
      <c r="AB116" s="386">
        <v>1587.3403534628883</v>
      </c>
      <c r="AC116" s="387">
        <v>0.32344178801882117</v>
      </c>
      <c r="AD116" s="387">
        <f t="shared" si="8"/>
        <v>1.3348605391260464</v>
      </c>
      <c r="AE116" s="385"/>
      <c r="AH116" s="22" t="s">
        <v>155</v>
      </c>
      <c r="AI116" t="s">
        <v>155</v>
      </c>
      <c r="AJ116" t="s">
        <v>560</v>
      </c>
      <c r="AK116" t="s">
        <v>561</v>
      </c>
      <c r="AL116" t="s">
        <v>675</v>
      </c>
      <c r="AM116" s="390">
        <v>128932750</v>
      </c>
      <c r="AP116" s="22" t="s">
        <v>324</v>
      </c>
    </row>
    <row r="117" spans="20:42" x14ac:dyDescent="0.25">
      <c r="T117" s="383"/>
      <c r="U117" s="147"/>
      <c r="V117" s="145" t="s">
        <v>255</v>
      </c>
      <c r="W117" s="151">
        <f>'[1]Income data'!C60</f>
        <v>17273.631000000001</v>
      </c>
      <c r="X117" s="149">
        <f>'[1]mortality values_starting value'!F$8*(W117/'[1]Income data'!C$26)^'[1]mortality values_starting value'!F$14</f>
        <v>1.5392233351136171</v>
      </c>
      <c r="Y117" s="150">
        <f>X117/'[1]mortality values_starting value'!F$7</f>
        <v>0.33446453275402144</v>
      </c>
      <c r="AB117" s="386">
        <v>13893.064069309134</v>
      </c>
      <c r="AC117" s="387">
        <v>1.8344188917501181</v>
      </c>
      <c r="AD117" s="387">
        <f t="shared" si="8"/>
        <v>1.2433276715507851</v>
      </c>
      <c r="AE117" s="385"/>
      <c r="AI117" t="s">
        <v>783</v>
      </c>
      <c r="AJ117" t="s">
        <v>560</v>
      </c>
      <c r="AK117" t="s">
        <v>561</v>
      </c>
      <c r="AL117" t="s">
        <v>676</v>
      </c>
      <c r="AM117" s="390">
        <v>115020</v>
      </c>
      <c r="AP117" s="22" t="s">
        <v>209</v>
      </c>
    </row>
    <row r="118" spans="20:42" x14ac:dyDescent="0.25">
      <c r="T118" s="383"/>
      <c r="U118" s="147"/>
      <c r="V118" s="145" t="s">
        <v>256</v>
      </c>
      <c r="W118" s="151">
        <f>'[1]Income data'!C64</f>
        <v>1789.741</v>
      </c>
      <c r="X118" s="149">
        <f>'[1]mortality values_starting value'!F$8*(W118/'[1]Income data'!C$26)^'[1]mortality values_starting value'!F$14</f>
        <v>0.15948072012245601</v>
      </c>
      <c r="Y118" s="150">
        <f>X118/'[1]mortality values_starting value'!F$7</f>
        <v>3.4654259276217896E-2</v>
      </c>
      <c r="AB118" s="386">
        <v>1255.9370921532043</v>
      </c>
      <c r="AC118" s="387">
        <v>0.26818494414616029</v>
      </c>
      <c r="AD118" s="387">
        <f t="shared" si="8"/>
        <v>1.4250243990577836</v>
      </c>
      <c r="AE118" s="385"/>
      <c r="AI118" t="s">
        <v>784</v>
      </c>
      <c r="AJ118" t="s">
        <v>560</v>
      </c>
      <c r="AK118" t="s">
        <v>561</v>
      </c>
      <c r="AL118" t="s">
        <v>677</v>
      </c>
      <c r="AM118" s="390">
        <v>39240</v>
      </c>
      <c r="AP118" s="22" t="s">
        <v>285</v>
      </c>
    </row>
    <row r="119" spans="20:42" x14ac:dyDescent="0.25">
      <c r="T119" s="383"/>
      <c r="U119" s="147"/>
      <c r="V119" s="145" t="s">
        <v>257</v>
      </c>
      <c r="W119" s="151">
        <f>'[1]Income data'!C65</f>
        <v>813.5</v>
      </c>
      <c r="X119" s="149">
        <f>'[1]mortality values_starting value'!F$8*(W119/'[1]Income data'!C$26)^'[1]mortality values_starting value'!F$14</f>
        <v>7.2489575765218514E-2</v>
      </c>
      <c r="Y119" s="150">
        <f>X119/'[1]mortality values_starting value'!F$7</f>
        <v>1.5751575183897141E-2</v>
      </c>
      <c r="AB119" s="386">
        <v>408.55354907483098</v>
      </c>
      <c r="AC119" s="387">
        <v>0.10920921202054584</v>
      </c>
      <c r="AD119" s="387">
        <f t="shared" si="8"/>
        <v>1.9911710517315777</v>
      </c>
      <c r="AE119" s="385"/>
      <c r="AH119" s="22" t="s">
        <v>324</v>
      </c>
      <c r="AI119" t="s">
        <v>324</v>
      </c>
      <c r="AJ119" t="s">
        <v>560</v>
      </c>
      <c r="AK119" t="s">
        <v>561</v>
      </c>
      <c r="AL119" t="s">
        <v>678</v>
      </c>
      <c r="AM119" s="390">
        <v>3278290</v>
      </c>
      <c r="AP119" s="22" t="s">
        <v>286</v>
      </c>
    </row>
    <row r="120" spans="20:42" x14ac:dyDescent="0.25">
      <c r="T120" s="383"/>
      <c r="U120" s="147"/>
      <c r="V120" s="145" t="s">
        <v>258</v>
      </c>
      <c r="W120" s="151">
        <f>'[1]Income data'!C67</f>
        <v>3255.0230000000001</v>
      </c>
      <c r="X120" s="149">
        <f>'[1]mortality values_starting value'!F$8*(W120/'[1]Income data'!C$26)^'[1]mortality values_starting value'!F$14</f>
        <v>0.29004946081872018</v>
      </c>
      <c r="Y120" s="150">
        <f>X120/'[1]mortality values_starting value'!F$7</f>
        <v>6.3026108801246997E-2</v>
      </c>
      <c r="AB120" s="386">
        <v>2294.3606728629202</v>
      </c>
      <c r="AC120" s="387">
        <v>0.43429960607011048</v>
      </c>
      <c r="AD120" s="387">
        <f t="shared" si="8"/>
        <v>1.418705889836561</v>
      </c>
      <c r="AE120" s="385"/>
      <c r="AH120" s="22" t="s">
        <v>209</v>
      </c>
      <c r="AI120" t="s">
        <v>209</v>
      </c>
      <c r="AJ120" t="s">
        <v>560</v>
      </c>
      <c r="AK120" t="s">
        <v>561</v>
      </c>
      <c r="AL120" t="s">
        <v>679</v>
      </c>
      <c r="AM120" s="390">
        <v>628070</v>
      </c>
      <c r="AP120" s="187" t="s">
        <v>287</v>
      </c>
    </row>
    <row r="121" spans="20:42" x14ac:dyDescent="0.25">
      <c r="T121" s="383"/>
      <c r="U121" s="147"/>
      <c r="V121" s="145" t="s">
        <v>259</v>
      </c>
      <c r="W121" s="151">
        <f>'[1]Income data'!C69</f>
        <v>6642.7160000000003</v>
      </c>
      <c r="X121" s="149">
        <f>'[1]mortality values_starting value'!F$8*(W121/'[1]Income data'!C$26)^'[1]mortality values_starting value'!F$14</f>
        <v>0.5919209155117755</v>
      </c>
      <c r="Y121" s="150">
        <f>X121/'[1]mortality values_starting value'!F$7</f>
        <v>0.12862107006671974</v>
      </c>
      <c r="AB121" s="386">
        <v>3874.6627668912333</v>
      </c>
      <c r="AC121" s="387">
        <v>0.66046105066927108</v>
      </c>
      <c r="AD121" s="387">
        <f t="shared" si="8"/>
        <v>1.7143984908213483</v>
      </c>
      <c r="AE121" s="385"/>
      <c r="AH121" s="22" t="s">
        <v>285</v>
      </c>
      <c r="AI121" t="s">
        <v>285</v>
      </c>
      <c r="AJ121" t="s">
        <v>560</v>
      </c>
      <c r="AK121" t="s">
        <v>561</v>
      </c>
      <c r="AL121" t="s">
        <v>680</v>
      </c>
      <c r="AM121" s="390">
        <v>36910560</v>
      </c>
      <c r="AP121" s="22" t="s">
        <v>325</v>
      </c>
    </row>
    <row r="122" spans="20:42" x14ac:dyDescent="0.25">
      <c r="T122" s="383"/>
      <c r="U122" s="147"/>
      <c r="V122" s="145" t="s">
        <v>260</v>
      </c>
      <c r="W122" s="151">
        <f>'[1]Income data'!C71</f>
        <v>651.75</v>
      </c>
      <c r="X122" s="149">
        <f>'[1]mortality values_starting value'!F$8*(W122/'[1]Income data'!C$26)^'[1]mortality values_starting value'!F$14</f>
        <v>5.8076313466479623E-2</v>
      </c>
      <c r="Y122" s="150">
        <f>X122/'[1]mortality values_starting value'!F$7</f>
        <v>1.2619654733995039E-2</v>
      </c>
      <c r="AB122" s="386">
        <v>788.88555370087283</v>
      </c>
      <c r="AC122" s="387">
        <v>0.18487206236567394</v>
      </c>
      <c r="AD122" s="387">
        <f t="shared" si="8"/>
        <v>0.82616546461329743</v>
      </c>
      <c r="AE122" s="385"/>
      <c r="AH122" s="22" t="s">
        <v>286</v>
      </c>
      <c r="AI122" t="s">
        <v>286</v>
      </c>
      <c r="AJ122" t="s">
        <v>560</v>
      </c>
      <c r="AK122" t="s">
        <v>561</v>
      </c>
      <c r="AL122" t="s">
        <v>681</v>
      </c>
      <c r="AM122" s="390">
        <v>31255440</v>
      </c>
      <c r="AP122" s="22" t="s">
        <v>210</v>
      </c>
    </row>
    <row r="123" spans="20:42" x14ac:dyDescent="0.25">
      <c r="T123" s="383"/>
      <c r="U123" s="147"/>
      <c r="V123" s="145" t="s">
        <v>261</v>
      </c>
      <c r="W123" s="151">
        <f>'[1]Income data'!C72</f>
        <v>2443.0169999999998</v>
      </c>
      <c r="X123" s="149">
        <f>'[1]mortality values_starting value'!F$8*(W123/'[1]Income data'!C$26)^'[1]mortality values_starting value'!F$14</f>
        <v>0.21769301280542944</v>
      </c>
      <c r="Y123" s="150">
        <f>X123/'[1]mortality values_starting value'!F$7</f>
        <v>4.730346152555482E-2</v>
      </c>
      <c r="AB123" s="386">
        <v>1370.1844543857449</v>
      </c>
      <c r="AC123" s="387">
        <v>0.28753009789160494</v>
      </c>
      <c r="AD123" s="387">
        <f t="shared" si="8"/>
        <v>1.7829840297635013</v>
      </c>
      <c r="AE123" s="385"/>
      <c r="AH123" s="22" t="s">
        <v>310</v>
      </c>
      <c r="AI123" t="s">
        <v>785</v>
      </c>
      <c r="AJ123" t="s">
        <v>560</v>
      </c>
      <c r="AK123" t="s">
        <v>561</v>
      </c>
      <c r="AL123" t="s">
        <v>682</v>
      </c>
      <c r="AM123" s="390">
        <v>54409800</v>
      </c>
      <c r="AP123" s="22" t="s">
        <v>326</v>
      </c>
    </row>
    <row r="124" spans="20:42" x14ac:dyDescent="0.25">
      <c r="T124" s="383"/>
      <c r="U124" s="147"/>
      <c r="V124" s="145" t="s">
        <v>262</v>
      </c>
      <c r="W124" s="151">
        <f>'[1]Income data'!C77</f>
        <v>1528.7550000000001</v>
      </c>
      <c r="X124" s="149">
        <f>'[1]mortality values_starting value'!F$8*(W124/'[1]Income data'!C$26)^'[1]mortality values_starting value'!F$14</f>
        <v>0.13622470977130502</v>
      </c>
      <c r="Y124" s="150">
        <f>X124/'[1]mortality values_starting value'!F$7</f>
        <v>2.9600859643833653E-2</v>
      </c>
      <c r="AB124" s="386">
        <v>1096.3735810655048</v>
      </c>
      <c r="AC124" s="387">
        <v>0.2405619486523625</v>
      </c>
      <c r="AD124" s="387">
        <f t="shared" si="8"/>
        <v>1.3943741680771693</v>
      </c>
      <c r="AE124" s="385"/>
      <c r="AH124" s="187" t="s">
        <v>287</v>
      </c>
      <c r="AI124" t="s">
        <v>287</v>
      </c>
      <c r="AJ124" t="s">
        <v>560</v>
      </c>
      <c r="AK124" t="s">
        <v>561</v>
      </c>
      <c r="AL124" t="s">
        <v>683</v>
      </c>
      <c r="AM124" s="390">
        <v>2540910</v>
      </c>
      <c r="AP124" s="22" t="s">
        <v>178</v>
      </c>
    </row>
    <row r="125" spans="20:42" x14ac:dyDescent="0.25">
      <c r="T125" s="383"/>
      <c r="U125" s="147"/>
      <c r="V125" s="145" t="s">
        <v>263</v>
      </c>
      <c r="W125" s="151">
        <f>'[1]Income data'!C78</f>
        <v>772.85199999999998</v>
      </c>
      <c r="X125" s="149">
        <f>'[1]mortality values_starting value'!F$8*(W125/'[1]Income data'!C$26)^'[1]mortality values_starting value'!F$14</f>
        <v>6.8867502900185201E-2</v>
      </c>
      <c r="Y125" s="150">
        <f>X125/'[1]mortality values_starting value'!F$7</f>
        <v>1.4964519218224063E-2</v>
      </c>
      <c r="AB125" s="386">
        <v>346.97187990948544</v>
      </c>
      <c r="AC125" s="387">
        <v>9.582868018791614E-2</v>
      </c>
      <c r="AD125" s="387">
        <f t="shared" si="8"/>
        <v>2.2274196981081404</v>
      </c>
      <c r="AE125" s="385"/>
      <c r="AI125" t="s">
        <v>786</v>
      </c>
      <c r="AJ125" t="s">
        <v>560</v>
      </c>
      <c r="AK125" t="s">
        <v>561</v>
      </c>
      <c r="AL125" t="s">
        <v>684</v>
      </c>
      <c r="AM125" s="390">
        <v>10820</v>
      </c>
      <c r="AP125" s="22" t="s">
        <v>288</v>
      </c>
    </row>
    <row r="126" spans="20:42" x14ac:dyDescent="0.25">
      <c r="T126" s="383"/>
      <c r="U126" s="147"/>
      <c r="V126" s="145" t="s">
        <v>264</v>
      </c>
      <c r="W126" s="151">
        <f>'[1]Income data'!C79</f>
        <v>7011.7020000000002</v>
      </c>
      <c r="X126" s="149">
        <f>'[1]mortality values_starting value'!F$8*(W126/'[1]Income data'!C$26)^'[1]mortality values_starting value'!F$14</f>
        <v>0.62480061877336723</v>
      </c>
      <c r="Y126" s="150">
        <f>X126/'[1]mortality values_starting value'!F$7</f>
        <v>0.13576564378621017</v>
      </c>
      <c r="AB126" s="386">
        <v>4245.1781396660508</v>
      </c>
      <c r="AC126" s="387">
        <v>0.71052083721172732</v>
      </c>
      <c r="AD126" s="387">
        <f t="shared" si="8"/>
        <v>1.6516861647062895</v>
      </c>
      <c r="AE126" s="385"/>
      <c r="AH126" s="22" t="s">
        <v>325</v>
      </c>
      <c r="AI126" t="s">
        <v>325</v>
      </c>
      <c r="AJ126" t="s">
        <v>560</v>
      </c>
      <c r="AK126" t="s">
        <v>561</v>
      </c>
      <c r="AL126" t="s">
        <v>685</v>
      </c>
      <c r="AM126" s="390">
        <v>29136810</v>
      </c>
      <c r="AP126" s="22" t="s">
        <v>289</v>
      </c>
    </row>
    <row r="127" spans="20:42" x14ac:dyDescent="0.25">
      <c r="T127" s="383"/>
      <c r="U127" s="147"/>
      <c r="V127" s="145" t="s">
        <v>265</v>
      </c>
      <c r="W127" s="151">
        <f>'[1]Income data'!C81</f>
        <v>3613.7020000000002</v>
      </c>
      <c r="X127" s="149">
        <f>'[1]mortality values_starting value'!F$8*(W127/'[1]Income data'!C$26)^'[1]mortality values_starting value'!F$14</f>
        <v>0.32201072516523871</v>
      </c>
      <c r="Y127" s="150">
        <f>X127/'[1]mortality values_starting value'!F$7</f>
        <v>6.9971110934479996E-2</v>
      </c>
      <c r="AB127" s="386">
        <v>1899.1771102829571</v>
      </c>
      <c r="AC127" s="387">
        <v>0.37334682070985675</v>
      </c>
      <c r="AD127" s="387">
        <f t="shared" si="8"/>
        <v>1.9027725115440115</v>
      </c>
      <c r="AE127" s="385"/>
      <c r="AH127" s="22" t="s">
        <v>210</v>
      </c>
      <c r="AI127" t="s">
        <v>787</v>
      </c>
      <c r="AJ127" t="s">
        <v>560</v>
      </c>
      <c r="AK127" t="s">
        <v>561</v>
      </c>
      <c r="AL127" t="s">
        <v>686</v>
      </c>
      <c r="AM127" s="390">
        <v>17134870</v>
      </c>
      <c r="AP127" s="22" t="s">
        <v>211</v>
      </c>
    </row>
    <row r="128" spans="20:42" x14ac:dyDescent="0.25">
      <c r="T128" s="383"/>
      <c r="U128" s="147"/>
      <c r="V128" s="145" t="s">
        <v>266</v>
      </c>
      <c r="W128" s="151">
        <f>'[1]Income data'!C88</f>
        <v>3368.701</v>
      </c>
      <c r="X128" s="149">
        <f>'[1]mortality values_starting value'!F$8*(W128/'[1]Income data'!C$26)^'[1]mortality values_starting value'!F$14</f>
        <v>0.3001791104731007</v>
      </c>
      <c r="Y128" s="150">
        <f>X128/'[1]mortality values_starting value'!F$7</f>
        <v>6.5227224429710504E-2</v>
      </c>
      <c r="AB128" s="386">
        <v>2537.0419999999999</v>
      </c>
      <c r="AC128" s="387">
        <v>0.47067616804121754</v>
      </c>
      <c r="AD128" s="387">
        <f t="shared" si="8"/>
        <v>1.3278065558236718</v>
      </c>
      <c r="AE128" s="385"/>
      <c r="AH128" s="22" t="s">
        <v>326</v>
      </c>
      <c r="AI128" t="s">
        <v>326</v>
      </c>
      <c r="AJ128" t="s">
        <v>560</v>
      </c>
      <c r="AK128" t="s">
        <v>561</v>
      </c>
      <c r="AL128" t="s">
        <v>687</v>
      </c>
      <c r="AM128" s="390">
        <v>4822230</v>
      </c>
      <c r="AP128" s="22" t="s">
        <v>245</v>
      </c>
    </row>
    <row r="129" spans="20:42" x14ac:dyDescent="0.25">
      <c r="T129" s="383"/>
      <c r="U129" s="147"/>
      <c r="V129" s="145" t="s">
        <v>267</v>
      </c>
      <c r="W129" s="151">
        <f>'[1]Income data'!C92</f>
        <v>12550.648999999999</v>
      </c>
      <c r="X129" s="149">
        <f>'[1]mortality values_starting value'!F$8*(W129/'[1]Income data'!C$26)^'[1]mortality values_starting value'!F$14</f>
        <v>1.1183665907660283</v>
      </c>
      <c r="Y129" s="150">
        <f>X129/'[1]mortality values_starting value'!F$7</f>
        <v>0.24301474041819729</v>
      </c>
      <c r="AB129" s="386">
        <v>6179.9719370438452</v>
      </c>
      <c r="AC129" s="387">
        <v>0.9595095152544153</v>
      </c>
      <c r="AD129" s="387">
        <f t="shared" si="8"/>
        <v>2.0308585747403138</v>
      </c>
      <c r="AE129" s="385"/>
      <c r="AH129" s="22" t="s">
        <v>178</v>
      </c>
      <c r="AI129" t="s">
        <v>178</v>
      </c>
      <c r="AJ129" t="s">
        <v>560</v>
      </c>
      <c r="AK129" t="s">
        <v>561</v>
      </c>
      <c r="AL129" t="s">
        <v>688</v>
      </c>
      <c r="AM129" s="390">
        <v>6624550</v>
      </c>
      <c r="AP129" s="22" t="s">
        <v>327</v>
      </c>
    </row>
    <row r="130" spans="20:42" x14ac:dyDescent="0.25">
      <c r="T130" s="383"/>
      <c r="U130" s="147"/>
      <c r="V130" s="145" t="s">
        <v>268</v>
      </c>
      <c r="W130" s="151">
        <f>'[1]Income data'!C94</f>
        <v>37984.902999999998</v>
      </c>
      <c r="X130" s="149">
        <f>'[1]mortality values_starting value'!F$8*(W130/'[1]Income data'!C$26)^'[1]mortality values_starting value'!F$14</f>
        <v>3.3847689046748326</v>
      </c>
      <c r="Y130" s="150">
        <f>X130/'[1]mortality values_starting value'!F$7</f>
        <v>0.73549115606335613</v>
      </c>
      <c r="AB130" s="386">
        <v>34752.82551470153</v>
      </c>
      <c r="AC130" s="387">
        <v>3.8199016326329409</v>
      </c>
      <c r="AD130" s="387">
        <f t="shared" si="8"/>
        <v>1.0930018620768316</v>
      </c>
      <c r="AE130" s="385"/>
      <c r="AH130" s="22" t="s">
        <v>288</v>
      </c>
      <c r="AI130" t="s">
        <v>288</v>
      </c>
      <c r="AJ130" t="s">
        <v>560</v>
      </c>
      <c r="AK130" t="s">
        <v>561</v>
      </c>
      <c r="AL130" t="s">
        <v>689</v>
      </c>
      <c r="AM130" s="390">
        <v>24206640</v>
      </c>
      <c r="AP130" s="22" t="s">
        <v>246</v>
      </c>
    </row>
    <row r="131" spans="20:42" x14ac:dyDescent="0.25">
      <c r="T131" s="383"/>
      <c r="U131" s="147"/>
      <c r="V131" s="145" t="s">
        <v>269</v>
      </c>
      <c r="W131" s="151">
        <f>'[1]Income data'!C95</f>
        <v>1409.9559999999999</v>
      </c>
      <c r="X131" s="149">
        <f>'[1]mortality values_starting value'!F$8*(W131/'[1]Income data'!C$26)^'[1]mortality values_starting value'!F$14</f>
        <v>0.12563873667808781</v>
      </c>
      <c r="Y131" s="150">
        <f>X131/'[1]mortality values_starting value'!F$7</f>
        <v>2.7300587510739865E-2</v>
      </c>
      <c r="AB131" s="386">
        <v>545.88510679380738</v>
      </c>
      <c r="AC131" s="387">
        <v>0.13770226382477357</v>
      </c>
      <c r="AD131" s="387">
        <f t="shared" si="8"/>
        <v>2.5828805044365697</v>
      </c>
      <c r="AE131" s="385"/>
      <c r="AH131" s="22" t="s">
        <v>289</v>
      </c>
      <c r="AI131" t="s">
        <v>289</v>
      </c>
      <c r="AJ131" t="s">
        <v>560</v>
      </c>
      <c r="AK131" t="s">
        <v>561</v>
      </c>
      <c r="AL131" t="s">
        <v>690</v>
      </c>
      <c r="AM131" s="390">
        <v>206139590</v>
      </c>
      <c r="AP131" s="22" t="s">
        <v>179</v>
      </c>
    </row>
    <row r="132" spans="20:42" x14ac:dyDescent="0.25">
      <c r="T132" s="383"/>
      <c r="U132" s="147"/>
      <c r="V132" s="145" t="s">
        <v>270</v>
      </c>
      <c r="W132" s="151">
        <f>'[1]Income data'!C97</f>
        <v>1945.3779999999999</v>
      </c>
      <c r="X132" s="149">
        <f>'[1]mortality values_starting value'!F$8*(W132/'[1]Income data'!C$26)^'[1]mortality values_starting value'!F$14</f>
        <v>0.1733492635808104</v>
      </c>
      <c r="Y132" s="150">
        <f>X132/'[1]mortality values_starting value'!F$7</f>
        <v>3.7667815400245185E-2</v>
      </c>
      <c r="AB132" s="386">
        <v>1041.0417176661219</v>
      </c>
      <c r="AC132" s="387">
        <v>0.2307993546795804</v>
      </c>
      <c r="AD132" s="387">
        <f t="shared" si="8"/>
        <v>1.8686839989095543</v>
      </c>
      <c r="AE132" s="385"/>
      <c r="AI132" t="s">
        <v>788</v>
      </c>
      <c r="AJ132" t="s">
        <v>560</v>
      </c>
      <c r="AK132" t="s">
        <v>561</v>
      </c>
      <c r="AL132" t="s">
        <v>691</v>
      </c>
      <c r="AM132" s="390">
        <v>1630</v>
      </c>
      <c r="AP132" s="22" t="s">
        <v>328</v>
      </c>
    </row>
    <row r="133" spans="20:42" x14ac:dyDescent="0.25">
      <c r="T133" s="383"/>
      <c r="U133" s="147"/>
      <c r="V133" s="145" t="s">
        <v>271</v>
      </c>
      <c r="W133" s="151">
        <f>'[1]Income data'!C103</f>
        <v>19017.667000000001</v>
      </c>
      <c r="X133" s="149">
        <f>'[1]mortality values_starting value'!F$8*(W133/'[1]Income data'!C$26)^'[1]mortality values_starting value'!F$14</f>
        <v>1.6946313618613351</v>
      </c>
      <c r="Y133" s="150">
        <f>X133/'[1]mortality values_starting value'!F$7</f>
        <v>0.3682338187742098</v>
      </c>
      <c r="AB133" s="386">
        <v>15053.968180072208</v>
      </c>
      <c r="AC133" s="387">
        <v>1.9560541733099339</v>
      </c>
      <c r="AD133" s="387">
        <f t="shared" si="8"/>
        <v>1.2632992691704215</v>
      </c>
      <c r="AE133" s="385"/>
      <c r="AH133" s="22" t="s">
        <v>207</v>
      </c>
      <c r="AI133" t="s">
        <v>789</v>
      </c>
      <c r="AJ133" t="s">
        <v>560</v>
      </c>
      <c r="AK133" t="s">
        <v>561</v>
      </c>
      <c r="AL133" t="s">
        <v>692</v>
      </c>
      <c r="AM133" s="390">
        <v>2083370</v>
      </c>
      <c r="AP133" s="22" t="s">
        <v>180</v>
      </c>
    </row>
    <row r="134" spans="20:42" x14ac:dyDescent="0.25">
      <c r="T134" s="383"/>
      <c r="U134" s="147"/>
      <c r="V134" s="145" t="s">
        <v>272</v>
      </c>
      <c r="W134" s="151">
        <f>'[1]Income data'!C104</f>
        <v>1662.1679999999999</v>
      </c>
      <c r="X134" s="149">
        <f>'[1]mortality values_starting value'!F$8*(W134/'[1]Income data'!C$26)^'[1]mortality values_starting value'!F$14</f>
        <v>0.14811291108853317</v>
      </c>
      <c r="Y134" s="150">
        <f>X134/'[1]mortality values_starting value'!F$7</f>
        <v>3.2184098611269758E-2</v>
      </c>
      <c r="AB134" s="386">
        <v>1409.9385756478982</v>
      </c>
      <c r="AC134" s="387">
        <v>0.29418480547842929</v>
      </c>
      <c r="AD134" s="387">
        <f t="shared" si="8"/>
        <v>1.1788939097834079</v>
      </c>
      <c r="AE134" s="385"/>
      <c r="AH134" s="22" t="s">
        <v>211</v>
      </c>
      <c r="AI134" t="s">
        <v>211</v>
      </c>
      <c r="AJ134" t="s">
        <v>560</v>
      </c>
      <c r="AK134" t="s">
        <v>561</v>
      </c>
      <c r="AL134" t="s">
        <v>693</v>
      </c>
      <c r="AM134" s="390">
        <v>5421240</v>
      </c>
      <c r="AP134" s="22" t="s">
        <v>181</v>
      </c>
    </row>
    <row r="135" spans="20:42" x14ac:dyDescent="0.25">
      <c r="T135" s="383"/>
      <c r="U135" s="147"/>
      <c r="V135" s="145" t="s">
        <v>273</v>
      </c>
      <c r="W135" s="151">
        <f>'[1]Income data'!C107</f>
        <v>4383.1580000000004</v>
      </c>
      <c r="X135" s="149">
        <f>'[1]mortality values_starting value'!F$8*(W135/'[1]Income data'!C$26)^'[1]mortality values_starting value'!F$14</f>
        <v>0.3905756163883512</v>
      </c>
      <c r="Y135" s="150">
        <f>X135/'[1]mortality values_starting value'!F$7</f>
        <v>8.4869874345298385E-2</v>
      </c>
      <c r="AB135" s="386">
        <v>1643.8369360328732</v>
      </c>
      <c r="AC135" s="387">
        <v>0.33261901349445439</v>
      </c>
      <c r="AD135" s="387">
        <f t="shared" si="8"/>
        <v>2.6664189761899513</v>
      </c>
      <c r="AE135" s="385"/>
      <c r="AH135" s="22" t="s">
        <v>245</v>
      </c>
      <c r="AI135" t="s">
        <v>245</v>
      </c>
      <c r="AJ135" t="s">
        <v>560</v>
      </c>
      <c r="AK135" t="s">
        <v>561</v>
      </c>
      <c r="AL135" t="s">
        <v>694</v>
      </c>
      <c r="AM135" s="390">
        <v>5106630</v>
      </c>
      <c r="AP135" s="22" t="s">
        <v>329</v>
      </c>
    </row>
    <row r="136" spans="20:42" x14ac:dyDescent="0.25">
      <c r="T136" s="383"/>
      <c r="U136" s="147"/>
      <c r="V136" s="145" t="s">
        <v>274</v>
      </c>
      <c r="W136" s="151">
        <f>'[1]Income data'!C114</f>
        <v>1926.318</v>
      </c>
      <c r="X136" s="149">
        <f>'[1]mortality values_starting value'!F$8*(W136/'[1]Income data'!C$26)^'[1]mortality values_starting value'!F$14</f>
        <v>0.17165085999865298</v>
      </c>
      <c r="Y136" s="150">
        <f>X136/'[1]mortality values_starting value'!F$7</f>
        <v>3.7298761899316996E-2</v>
      </c>
      <c r="AB136" s="386">
        <v>1090.6490038718707</v>
      </c>
      <c r="AC136" s="387">
        <v>0.2395565716397412</v>
      </c>
      <c r="AD136" s="387">
        <f t="shared" si="8"/>
        <v>1.7662125882492472</v>
      </c>
      <c r="AE136" s="385"/>
      <c r="AH136" s="22" t="s">
        <v>327</v>
      </c>
      <c r="AI136" t="s">
        <v>327</v>
      </c>
      <c r="AJ136" t="s">
        <v>560</v>
      </c>
      <c r="AK136" t="s">
        <v>561</v>
      </c>
      <c r="AL136" t="s">
        <v>695</v>
      </c>
      <c r="AM136" s="390">
        <v>220892340</v>
      </c>
      <c r="AP136" s="22" t="s">
        <v>212</v>
      </c>
    </row>
    <row r="137" spans="20:42" x14ac:dyDescent="0.25">
      <c r="T137" s="383"/>
      <c r="U137" s="147"/>
      <c r="V137" s="145" t="s">
        <v>275</v>
      </c>
      <c r="W137" s="151">
        <f>'[1]Income data'!C115</f>
        <v>1727.681</v>
      </c>
      <c r="X137" s="149">
        <f>'[1]mortality values_starting value'!F$8*(W137/'[1]Income data'!C$26)^'[1]mortality values_starting value'!F$14</f>
        <v>0.1539506610296601</v>
      </c>
      <c r="Y137" s="150">
        <f>X137/'[1]mortality values_starting value'!F$7</f>
        <v>3.3452608685052981E-2</v>
      </c>
      <c r="AB137" s="386">
        <v>1186.4511939914189</v>
      </c>
      <c r="AC137" s="387">
        <v>0.25624770572745093</v>
      </c>
      <c r="AD137" s="387">
        <f t="shared" si="8"/>
        <v>1.4561753646079567</v>
      </c>
      <c r="AE137" s="385"/>
      <c r="AI137" t="s">
        <v>790</v>
      </c>
      <c r="AJ137" t="s">
        <v>560</v>
      </c>
      <c r="AK137" t="s">
        <v>561</v>
      </c>
      <c r="AL137" t="s">
        <v>696</v>
      </c>
      <c r="AM137" s="390">
        <v>18090</v>
      </c>
      <c r="AP137" s="22" t="s">
        <v>213</v>
      </c>
    </row>
    <row r="138" spans="20:42" x14ac:dyDescent="0.25">
      <c r="T138" s="383"/>
      <c r="U138" s="147"/>
      <c r="V138" s="145" t="s">
        <v>276</v>
      </c>
      <c r="W138" s="151">
        <f>'[1]Income data'!C134</f>
        <v>3364.085</v>
      </c>
      <c r="X138" s="149">
        <f>'[1]mortality values_starting value'!F$8*(W138/'[1]Income data'!C$26)^'[1]mortality values_starting value'!F$14</f>
        <v>0.29976778670944698</v>
      </c>
      <c r="Y138" s="150">
        <f>X138/'[1]mortality values_starting value'!F$7</f>
        <v>6.5137846100209729E-2</v>
      </c>
      <c r="AB138" s="386">
        <v>1651.2320857015079</v>
      </c>
      <c r="AC138" s="387">
        <v>0.3338155617609041</v>
      </c>
      <c r="AD138" s="387">
        <f t="shared" si="8"/>
        <v>2.0373180906128074</v>
      </c>
      <c r="AE138" s="385"/>
      <c r="AH138" s="22" t="s">
        <v>246</v>
      </c>
      <c r="AI138" t="s">
        <v>246</v>
      </c>
      <c r="AJ138" t="s">
        <v>560</v>
      </c>
      <c r="AK138" t="s">
        <v>561</v>
      </c>
      <c r="AL138" t="s">
        <v>697</v>
      </c>
      <c r="AM138" s="390">
        <v>5101410</v>
      </c>
      <c r="AP138" s="22" t="s">
        <v>247</v>
      </c>
    </row>
    <row r="139" spans="20:42" x14ac:dyDescent="0.25">
      <c r="T139" s="383"/>
      <c r="U139" s="147"/>
      <c r="V139" s="145" t="s">
        <v>277</v>
      </c>
      <c r="W139" s="151">
        <f>'[1]Income data'!C144</f>
        <v>3642.9670000000001</v>
      </c>
      <c r="X139" s="149">
        <f>'[1]mortality values_starting value'!F$8*(W139/'[1]Income data'!C$26)^'[1]mortality values_starting value'!F$14</f>
        <v>0.3246184786191651</v>
      </c>
      <c r="Y139" s="150">
        <f>X139/'[1]mortality values_starting value'!F$7</f>
        <v>7.0537761023916692E-2</v>
      </c>
      <c r="AB139" s="386">
        <v>1601.4226489811674</v>
      </c>
      <c r="AC139" s="387">
        <v>0.32573532323933707</v>
      </c>
      <c r="AD139" s="387">
        <f t="shared" si="8"/>
        <v>2.2748316956286789</v>
      </c>
      <c r="AE139" s="385"/>
      <c r="AH139" s="22" t="s">
        <v>179</v>
      </c>
      <c r="AI139" t="s">
        <v>179</v>
      </c>
      <c r="AJ139" t="s">
        <v>560</v>
      </c>
      <c r="AK139" t="s">
        <v>561</v>
      </c>
      <c r="AL139" t="s">
        <v>698</v>
      </c>
      <c r="AM139" s="390">
        <v>4314770</v>
      </c>
      <c r="AP139" s="22" t="s">
        <v>214</v>
      </c>
    </row>
    <row r="140" spans="20:42" x14ac:dyDescent="0.25">
      <c r="T140" s="383"/>
      <c r="U140" s="147"/>
      <c r="V140" s="145" t="s">
        <v>278</v>
      </c>
      <c r="W140" s="151">
        <f>'[1]Income data'!C145</f>
        <v>850.85199999999998</v>
      </c>
      <c r="X140" s="149">
        <f>'[1]mortality values_starting value'!F$8*(W140/'[1]Income data'!C$26)^'[1]mortality values_starting value'!F$14</f>
        <v>7.5817947779948006E-2</v>
      </c>
      <c r="Y140" s="150">
        <f>X140/'[1]mortality values_starting value'!F$7</f>
        <v>1.6474811614467427E-2</v>
      </c>
      <c r="AB140" s="386">
        <v>418.79226655207412</v>
      </c>
      <c r="AC140" s="387">
        <v>0.11139328363603386</v>
      </c>
      <c r="AD140" s="387">
        <f t="shared" ref="AD140:AD203" si="9">W140/AB140</f>
        <v>2.0316803053816708</v>
      </c>
      <c r="AE140" s="385"/>
      <c r="AH140" s="22" t="s">
        <v>328</v>
      </c>
      <c r="AI140" t="s">
        <v>328</v>
      </c>
      <c r="AJ140" t="s">
        <v>560</v>
      </c>
      <c r="AK140" t="s">
        <v>561</v>
      </c>
      <c r="AL140" t="s">
        <v>699</v>
      </c>
      <c r="AM140" s="390">
        <v>8947020</v>
      </c>
      <c r="AP140" s="22" t="s">
        <v>233</v>
      </c>
    </row>
    <row r="141" spans="20:42" x14ac:dyDescent="0.25">
      <c r="T141" s="383"/>
      <c r="U141" s="147"/>
      <c r="V141" s="145" t="s">
        <v>279</v>
      </c>
      <c r="W141" s="151">
        <f>'[1]Income data'!C146</f>
        <v>6267.8969999999999</v>
      </c>
      <c r="X141" s="149">
        <f>'[1]mortality values_starting value'!F$8*(W141/'[1]Income data'!C$26)^'[1]mortality values_starting value'!F$14</f>
        <v>0.5585214437247521</v>
      </c>
      <c r="Y141" s="150">
        <f>X141/'[1]mortality values_starting value'!F$7</f>
        <v>0.12136355358380252</v>
      </c>
      <c r="AB141" s="386">
        <v>14383.528</v>
      </c>
      <c r="AC141" s="387">
        <v>1.8860466131292681</v>
      </c>
      <c r="AD141" s="387">
        <f t="shared" si="9"/>
        <v>0.43576909642752459</v>
      </c>
      <c r="AE141" s="385"/>
      <c r="AH141" s="22" t="s">
        <v>180</v>
      </c>
      <c r="AI141" t="s">
        <v>180</v>
      </c>
      <c r="AJ141" t="s">
        <v>560</v>
      </c>
      <c r="AK141" t="s">
        <v>561</v>
      </c>
      <c r="AL141" t="s">
        <v>700</v>
      </c>
      <c r="AM141" s="390">
        <v>7132540</v>
      </c>
      <c r="AP141" s="22" t="s">
        <v>290</v>
      </c>
    </row>
    <row r="142" spans="20:42" x14ac:dyDescent="0.25">
      <c r="T142" s="383"/>
      <c r="U142" s="147"/>
      <c r="V142" s="145" t="s">
        <v>280</v>
      </c>
      <c r="W142" s="151">
        <f>'[1]Income data'!C152</f>
        <v>1504.941</v>
      </c>
      <c r="X142" s="149">
        <f>'[1]mortality values_starting value'!F$8*(W142/'[1]Income data'!C$26)^'[1]mortality values_starting value'!F$14</f>
        <v>0.13410268548455281</v>
      </c>
      <c r="Y142" s="150">
        <f>X142/'[1]mortality values_starting value'!F$7</f>
        <v>2.9139755757626735E-2</v>
      </c>
      <c r="AB142" s="386">
        <v>968.67372786419503</v>
      </c>
      <c r="AC142" s="387">
        <v>0.21787234125956786</v>
      </c>
      <c r="AD142" s="387">
        <f t="shared" si="9"/>
        <v>1.5536098034972081</v>
      </c>
      <c r="AE142" s="385"/>
      <c r="AH142" s="22" t="s">
        <v>181</v>
      </c>
      <c r="AI142" t="s">
        <v>181</v>
      </c>
      <c r="AJ142" t="s">
        <v>560</v>
      </c>
      <c r="AK142" t="s">
        <v>561</v>
      </c>
      <c r="AL142" t="s">
        <v>701</v>
      </c>
      <c r="AM142" s="390">
        <v>32971850</v>
      </c>
      <c r="AP142" s="22" t="s">
        <v>182</v>
      </c>
    </row>
    <row r="143" spans="20:42" x14ac:dyDescent="0.25">
      <c r="T143" s="383"/>
      <c r="U143" s="147"/>
      <c r="V143" s="145" t="s">
        <v>281</v>
      </c>
      <c r="W143" s="151">
        <f>'[1]Income data'!C153</f>
        <v>1134.1980000000001</v>
      </c>
      <c r="X143" s="149">
        <f>'[1]mortality values_starting value'!F$8*(W143/'[1]Income data'!C$26)^'[1]mortality values_starting value'!F$14</f>
        <v>0.10106641899663099</v>
      </c>
      <c r="Y143" s="150">
        <f>X143/'[1]mortality values_starting value'!F$7</f>
        <v>2.1961161733774767E-2</v>
      </c>
      <c r="AB143" s="386">
        <v>882.14923761888633</v>
      </c>
      <c r="AC143" s="387">
        <v>0.20215930414089034</v>
      </c>
      <c r="AD143" s="387">
        <f t="shared" si="9"/>
        <v>1.2857212267863525</v>
      </c>
      <c r="AE143" s="385"/>
      <c r="AH143" s="22" t="s">
        <v>329</v>
      </c>
      <c r="AI143" t="s">
        <v>329</v>
      </c>
      <c r="AJ143" t="s">
        <v>560</v>
      </c>
      <c r="AK143" t="s">
        <v>561</v>
      </c>
      <c r="AL143" t="s">
        <v>702</v>
      </c>
      <c r="AM143" s="390">
        <v>109581080</v>
      </c>
      <c r="AP143" s="22" t="s">
        <v>183</v>
      </c>
    </row>
    <row r="144" spans="20:42" x14ac:dyDescent="0.25">
      <c r="T144" s="383"/>
      <c r="U144" s="147"/>
      <c r="V144" s="145" t="s">
        <v>282</v>
      </c>
      <c r="W144" s="151">
        <f>'[1]Income data'!C156</f>
        <v>2091.2959999999998</v>
      </c>
      <c r="X144" s="149">
        <f>'[1]mortality values_starting value'!F$8*(W144/'[1]Income data'!C$26)^'[1]mortality values_starting value'!F$14</f>
        <v>0.18635176378549281</v>
      </c>
      <c r="Y144" s="150">
        <f>X144/'[1]mortality values_starting value'!F$7</f>
        <v>4.0493185219155937E-2</v>
      </c>
      <c r="AB144" s="386">
        <v>1064.6064521894612</v>
      </c>
      <c r="AC144" s="387">
        <v>0.23496942746593996</v>
      </c>
      <c r="AD144" s="387">
        <f t="shared" si="9"/>
        <v>1.9643841117993011</v>
      </c>
      <c r="AE144" s="385"/>
      <c r="AH144" s="22" t="s">
        <v>212</v>
      </c>
      <c r="AI144" t="s">
        <v>212</v>
      </c>
      <c r="AJ144" t="s">
        <v>560</v>
      </c>
      <c r="AK144" t="s">
        <v>561</v>
      </c>
      <c r="AL144" t="s">
        <v>703</v>
      </c>
      <c r="AM144" s="390">
        <v>37846610</v>
      </c>
      <c r="AP144" s="22" t="s">
        <v>184</v>
      </c>
    </row>
    <row r="145" spans="20:42" x14ac:dyDescent="0.25">
      <c r="T145" s="383"/>
      <c r="U145" s="147"/>
      <c r="V145" s="145" t="s">
        <v>283</v>
      </c>
      <c r="W145" s="151">
        <f>'[1]Income data'!C159</f>
        <v>4336.1009999999997</v>
      </c>
      <c r="X145" s="149">
        <f>'[1]mortality values_starting value'!F$8*(W145/'[1]Income data'!C$26)^'[1]mortality values_starting value'!F$14</f>
        <v>0.38638244863569732</v>
      </c>
      <c r="Y145" s="150">
        <f>X145/'[1]mortality values_starting value'!F$7</f>
        <v>8.3958722687733967E-2</v>
      </c>
      <c r="AB145" s="386">
        <v>2456.4394310886278</v>
      </c>
      <c r="AC145" s="387">
        <v>0.4586748542269643</v>
      </c>
      <c r="AD145" s="387">
        <f t="shared" si="9"/>
        <v>1.7651976047617655</v>
      </c>
      <c r="AE145" s="385"/>
      <c r="AH145" s="22" t="s">
        <v>213</v>
      </c>
      <c r="AI145" t="s">
        <v>213</v>
      </c>
      <c r="AJ145" t="s">
        <v>560</v>
      </c>
      <c r="AK145" t="s">
        <v>561</v>
      </c>
      <c r="AL145" t="s">
        <v>704</v>
      </c>
      <c r="AM145" s="390">
        <v>10196710</v>
      </c>
      <c r="AP145" s="22" t="s">
        <v>330</v>
      </c>
    </row>
    <row r="146" spans="20:42" x14ac:dyDescent="0.25">
      <c r="T146" s="383"/>
      <c r="U146" s="147"/>
      <c r="V146" s="145" t="s">
        <v>284</v>
      </c>
      <c r="W146" s="151">
        <f>'[1]Income data'!C160</f>
        <v>20542.025000000001</v>
      </c>
      <c r="X146" s="149">
        <f>'[1]mortality values_starting value'!F$8*(W146/'[1]Income data'!C$26)^'[1]mortality values_starting value'!F$14</f>
        <v>1.8304642625796104</v>
      </c>
      <c r="Y146" s="150">
        <f>X146/'[1]mortality values_starting value'!F$7</f>
        <v>0.39774954052488598</v>
      </c>
      <c r="AB146" s="386">
        <v>13696.508659421297</v>
      </c>
      <c r="AC146" s="387">
        <v>1.8136270501435674</v>
      </c>
      <c r="AD146" s="387">
        <f t="shared" si="9"/>
        <v>1.4998000958346374</v>
      </c>
      <c r="AE146" s="385"/>
      <c r="AI146" t="s">
        <v>791</v>
      </c>
      <c r="AJ146" t="s">
        <v>560</v>
      </c>
      <c r="AK146" t="s">
        <v>561</v>
      </c>
      <c r="AL146" t="s">
        <v>705</v>
      </c>
      <c r="AM146" s="390">
        <v>2860850</v>
      </c>
      <c r="AP146" s="22" t="s">
        <v>291</v>
      </c>
    </row>
    <row r="147" spans="20:42" x14ac:dyDescent="0.25">
      <c r="T147" s="383"/>
      <c r="U147" s="147"/>
      <c r="V147" s="145" t="s">
        <v>285</v>
      </c>
      <c r="W147" s="151">
        <f>'[1]Income data'!C168</f>
        <v>8160.183</v>
      </c>
      <c r="X147" s="149">
        <f>'[1]mortality values_starting value'!F$8*(W147/'[1]Income data'!C$26)^'[1]mortality values_starting value'!F$14</f>
        <v>0.72713977115740391</v>
      </c>
      <c r="Y147" s="150">
        <f>X147/'[1]mortality values_starting value'!F$7</f>
        <v>0.15800336329300471</v>
      </c>
      <c r="AB147" s="386">
        <v>4712.0138702695831</v>
      </c>
      <c r="AC147" s="387">
        <v>0.77236988414786001</v>
      </c>
      <c r="AD147" s="387">
        <f t="shared" si="9"/>
        <v>1.7317824659826693</v>
      </c>
      <c r="AE147" s="385"/>
      <c r="AH147" s="22" t="s">
        <v>247</v>
      </c>
      <c r="AI147" t="s">
        <v>247</v>
      </c>
      <c r="AJ147" t="s">
        <v>560</v>
      </c>
      <c r="AK147" t="s">
        <v>561</v>
      </c>
      <c r="AL147" t="s">
        <v>706</v>
      </c>
      <c r="AM147" s="390">
        <v>2881050</v>
      </c>
      <c r="AP147" s="22" t="s">
        <v>248</v>
      </c>
    </row>
    <row r="148" spans="20:42" x14ac:dyDescent="0.25">
      <c r="T148" s="383"/>
      <c r="U148" s="147"/>
      <c r="V148" s="145" t="s">
        <v>286</v>
      </c>
      <c r="W148" s="151">
        <f>'[1]Income data'!C169</f>
        <v>1220.0989999999999</v>
      </c>
      <c r="X148" s="149">
        <f>'[1]mortality values_starting value'!F$8*(W148/'[1]Income data'!C$26)^'[1]mortality values_starting value'!F$14</f>
        <v>0.10872090829940668</v>
      </c>
      <c r="Y148" s="150">
        <f>X148/'[1]mortality values_starting value'!F$7</f>
        <v>2.362443900466837E-2</v>
      </c>
      <c r="AB148" s="386">
        <v>942.0635920316513</v>
      </c>
      <c r="AC148" s="387">
        <v>0.21307095844889457</v>
      </c>
      <c r="AD148" s="387">
        <f t="shared" si="9"/>
        <v>1.2951344371230167</v>
      </c>
      <c r="AE148" s="385"/>
      <c r="AH148" s="22" t="s">
        <v>320</v>
      </c>
      <c r="AI148" t="s">
        <v>792</v>
      </c>
      <c r="AJ148" t="s">
        <v>560</v>
      </c>
      <c r="AK148" t="s">
        <v>561</v>
      </c>
      <c r="AL148" t="s">
        <v>707</v>
      </c>
      <c r="AM148" s="390">
        <v>51269180</v>
      </c>
      <c r="AP148" s="22" t="s">
        <v>292</v>
      </c>
    </row>
    <row r="149" spans="20:42" x14ac:dyDescent="0.25">
      <c r="T149" s="383"/>
      <c r="U149" s="147"/>
      <c r="V149" s="145" t="s">
        <v>287</v>
      </c>
      <c r="W149" s="151">
        <f>'[1]Income data'!C171</f>
        <v>11334.93</v>
      </c>
      <c r="X149" s="149">
        <f>'[1]mortality values_starting value'!F$8*(W149/'[1]Income data'!C$26)^'[1]mortality values_starting value'!F$14</f>
        <v>1.0100359766791005</v>
      </c>
      <c r="Y149" s="150">
        <f>X149/'[1]mortality values_starting value'!F$7</f>
        <v>0.21947511014039486</v>
      </c>
      <c r="AB149" s="386">
        <v>6474.5671510325956</v>
      </c>
      <c r="AC149" s="387">
        <v>0.99592968005373972</v>
      </c>
      <c r="AD149" s="387">
        <f t="shared" si="9"/>
        <v>1.7506853717923445</v>
      </c>
      <c r="AE149" s="385"/>
      <c r="AH149" s="22" t="s">
        <v>232</v>
      </c>
      <c r="AI149" t="s">
        <v>793</v>
      </c>
      <c r="AJ149" t="s">
        <v>560</v>
      </c>
      <c r="AK149" t="s">
        <v>561</v>
      </c>
      <c r="AL149" t="s">
        <v>708</v>
      </c>
      <c r="AM149" s="390">
        <v>4033960</v>
      </c>
      <c r="AP149" s="22" t="s">
        <v>215</v>
      </c>
    </row>
    <row r="150" spans="20:42" x14ac:dyDescent="0.25">
      <c r="T150" s="383"/>
      <c r="U150" s="147"/>
      <c r="V150" s="145" t="s">
        <v>288</v>
      </c>
      <c r="W150" s="151">
        <f>'[1]Income data'!C177</f>
        <v>1120.962</v>
      </c>
      <c r="X150" s="149">
        <f>'[1]mortality values_starting value'!F$8*(W150/'[1]Income data'!C$26)^'[1]mortality values_starting value'!F$14</f>
        <v>9.9886981965495864E-2</v>
      </c>
      <c r="Y150" s="150">
        <f>X150/'[1]mortality values_starting value'!F$7</f>
        <v>2.1704876731766087E-2</v>
      </c>
      <c r="AB150" s="386">
        <v>727.99492563073431</v>
      </c>
      <c r="AC150" s="387">
        <v>0.17336553543136082</v>
      </c>
      <c r="AD150" s="387">
        <f t="shared" si="9"/>
        <v>1.5397936998376729</v>
      </c>
      <c r="AE150" s="385"/>
      <c r="AH150" s="22" t="s">
        <v>214</v>
      </c>
      <c r="AI150" t="s">
        <v>214</v>
      </c>
      <c r="AJ150" t="s">
        <v>560</v>
      </c>
      <c r="AK150" t="s">
        <v>561</v>
      </c>
      <c r="AL150" t="s">
        <v>709</v>
      </c>
      <c r="AM150" s="390">
        <v>19237690</v>
      </c>
      <c r="AP150" s="22" t="s">
        <v>293</v>
      </c>
    </row>
    <row r="151" spans="20:42" x14ac:dyDescent="0.25">
      <c r="T151" s="383"/>
      <c r="U151" s="147"/>
      <c r="V151" s="145" t="s">
        <v>289</v>
      </c>
      <c r="W151" s="151">
        <f>'[1]Income data'!C178</f>
        <v>5936.2190000000001</v>
      </c>
      <c r="X151" s="149">
        <f>'[1]mortality values_starting value'!F$8*(W151/'[1]Income data'!C$26)^'[1]mortality values_starting value'!F$14</f>
        <v>0.52896619171411152</v>
      </c>
      <c r="Y151" s="150">
        <f>X151/'[1]mortality values_starting value'!F$7</f>
        <v>0.11494136433506912</v>
      </c>
      <c r="AB151" s="386">
        <v>2399.3894294895222</v>
      </c>
      <c r="AC151" s="387">
        <v>0.45013281711068326</v>
      </c>
      <c r="AD151" s="387">
        <f t="shared" si="9"/>
        <v>2.474053993504068</v>
      </c>
      <c r="AE151" s="385"/>
      <c r="AH151" s="22" t="s">
        <v>233</v>
      </c>
      <c r="AI151" t="s">
        <v>794</v>
      </c>
      <c r="AJ151" t="s">
        <v>560</v>
      </c>
      <c r="AK151" t="s">
        <v>561</v>
      </c>
      <c r="AL151" t="s">
        <v>710</v>
      </c>
      <c r="AM151" s="390">
        <v>145934460</v>
      </c>
      <c r="AP151" s="22" t="s">
        <v>294</v>
      </c>
    </row>
    <row r="152" spans="20:42" x14ac:dyDescent="0.25">
      <c r="T152" s="383"/>
      <c r="U152" s="147"/>
      <c r="V152" s="145" t="s">
        <v>290</v>
      </c>
      <c r="W152" s="151">
        <f>'[1]Income data'!C195</f>
        <v>1976.3050000000001</v>
      </c>
      <c r="X152" s="149">
        <f>'[1]mortality values_starting value'!F$8*(W152/'[1]Income data'!C$26)^'[1]mortality values_starting value'!F$14</f>
        <v>0.17610511497563638</v>
      </c>
      <c r="Y152" s="150">
        <f>X152/'[1]mortality values_starting value'!F$7</f>
        <v>3.8266646335355682E-2</v>
      </c>
      <c r="AB152" s="386">
        <v>1163.3817073629468</v>
      </c>
      <c r="AC152" s="387">
        <v>0.25225388765263762</v>
      </c>
      <c r="AD152" s="387">
        <f t="shared" si="9"/>
        <v>1.6987588746600784</v>
      </c>
      <c r="AE152" s="385"/>
      <c r="AH152" s="22" t="s">
        <v>290</v>
      </c>
      <c r="AI152" t="s">
        <v>290</v>
      </c>
      <c r="AJ152" t="s">
        <v>560</v>
      </c>
      <c r="AK152" t="s">
        <v>561</v>
      </c>
      <c r="AL152" t="s">
        <v>711</v>
      </c>
      <c r="AM152" s="390">
        <v>12952220</v>
      </c>
      <c r="AP152" s="22" t="s">
        <v>331</v>
      </c>
    </row>
    <row r="153" spans="20:42" x14ac:dyDescent="0.25">
      <c r="T153" s="383"/>
      <c r="U153" s="147"/>
      <c r="V153" s="145" t="s">
        <v>291</v>
      </c>
      <c r="W153" s="151">
        <f>'[1]Income data'!C198</f>
        <v>3073.9879999999998</v>
      </c>
      <c r="X153" s="149">
        <f>'[1]mortality values_starting value'!F$8*(W153/'[1]Income data'!C$26)^'[1]mortality values_starting value'!F$14</f>
        <v>0.2739177455775938</v>
      </c>
      <c r="Y153" s="150">
        <f>X153/'[1]mortality values_starting value'!F$7</f>
        <v>5.9520778237735238E-2</v>
      </c>
      <c r="AB153" s="386">
        <v>1899.1080540769035</v>
      </c>
      <c r="AC153" s="387">
        <v>0.37333596042364625</v>
      </c>
      <c r="AD153" s="387">
        <f t="shared" si="9"/>
        <v>1.6186482877585227</v>
      </c>
      <c r="AE153" s="385"/>
      <c r="AH153" s="22" t="s">
        <v>182</v>
      </c>
      <c r="AI153" t="s">
        <v>182</v>
      </c>
      <c r="AJ153" t="s">
        <v>560</v>
      </c>
      <c r="AK153" t="s">
        <v>561</v>
      </c>
      <c r="AL153" t="s">
        <v>712</v>
      </c>
      <c r="AM153" s="390">
        <v>53200</v>
      </c>
      <c r="AP153" s="22" t="s">
        <v>216</v>
      </c>
    </row>
    <row r="154" spans="20:42" x14ac:dyDescent="0.25">
      <c r="T154" s="383"/>
      <c r="U154" s="147"/>
      <c r="V154" s="145" t="s">
        <v>292</v>
      </c>
      <c r="W154" s="151">
        <f>'[1]Income data'!C200</f>
        <v>2540.7890000000002</v>
      </c>
      <c r="X154" s="149">
        <f>'[1]mortality values_starting value'!F$8*(W154/'[1]Income data'!C$26)^'[1]mortality values_starting value'!F$14</f>
        <v>0.22640530635394446</v>
      </c>
      <c r="Y154" s="150">
        <f>X154/'[1]mortality values_starting value'!F$7</f>
        <v>4.9196593681522856E-2</v>
      </c>
      <c r="AB154" s="386">
        <v>1934.9592291502436</v>
      </c>
      <c r="AC154" s="387">
        <v>0.37896363579443987</v>
      </c>
      <c r="AD154" s="387">
        <f t="shared" si="9"/>
        <v>1.3130969178693304</v>
      </c>
      <c r="AE154" s="385"/>
      <c r="AH154" s="22" t="s">
        <v>183</v>
      </c>
      <c r="AI154" t="s">
        <v>183</v>
      </c>
      <c r="AJ154" t="s">
        <v>560</v>
      </c>
      <c r="AK154" t="s">
        <v>561</v>
      </c>
      <c r="AL154" t="s">
        <v>713</v>
      </c>
      <c r="AM154" s="390">
        <v>183630</v>
      </c>
      <c r="AP154" s="22" t="s">
        <v>217</v>
      </c>
    </row>
    <row r="155" spans="20:42" x14ac:dyDescent="0.25">
      <c r="T155" s="383"/>
      <c r="U155" s="147"/>
      <c r="V155" s="145" t="s">
        <v>293</v>
      </c>
      <c r="W155" s="151">
        <f>'[1]Income data'!C202</f>
        <v>27308.307000000001</v>
      </c>
      <c r="X155" s="149">
        <f>'[1]mortality values_starting value'!F$8*(W155/'[1]Income data'!C$26)^'[1]mortality values_starting value'!F$14</f>
        <v>2.4333959302966779</v>
      </c>
      <c r="Y155" s="150">
        <f>X155/'[1]mortality values_starting value'!F$7</f>
        <v>0.52876318482537765</v>
      </c>
      <c r="AB155" s="386">
        <v>23114.902969233655</v>
      </c>
      <c r="AC155" s="387">
        <v>2.7565999458527339</v>
      </c>
      <c r="AD155" s="387">
        <f t="shared" si="9"/>
        <v>1.1814156017158213</v>
      </c>
      <c r="AE155" s="385"/>
      <c r="AH155" s="22" t="s">
        <v>184</v>
      </c>
      <c r="AI155" t="s">
        <v>795</v>
      </c>
      <c r="AJ155" t="s">
        <v>560</v>
      </c>
      <c r="AK155" t="s">
        <v>561</v>
      </c>
      <c r="AL155" t="s">
        <v>714</v>
      </c>
      <c r="AM155" s="390">
        <v>110940</v>
      </c>
      <c r="AP155" s="22" t="s">
        <v>332</v>
      </c>
    </row>
    <row r="156" spans="20:42" x14ac:dyDescent="0.25">
      <c r="T156" s="383"/>
      <c r="U156" s="147"/>
      <c r="V156" s="145" t="s">
        <v>294</v>
      </c>
      <c r="W156" s="151">
        <f>'[1]Income data'!C203</f>
        <v>1691.962</v>
      </c>
      <c r="X156" s="149">
        <f>'[1]mortality values_starting value'!F$8*(W156/'[1]Income data'!C$26)^'[1]mortality values_starting value'!F$14</f>
        <v>0.15076780281606719</v>
      </c>
      <c r="Y156" s="150">
        <f>X156/'[1]mortality values_starting value'!F$7</f>
        <v>3.2760991581188663E-2</v>
      </c>
      <c r="AB156" s="386">
        <v>826.91389285052048</v>
      </c>
      <c r="AC156" s="387">
        <v>0.19196776752269318</v>
      </c>
      <c r="AD156" s="387">
        <f t="shared" si="9"/>
        <v>2.0461163062184182</v>
      </c>
      <c r="AE156" s="385"/>
      <c r="AH156" s="22" t="s">
        <v>330</v>
      </c>
      <c r="AI156" t="s">
        <v>330</v>
      </c>
      <c r="AJ156" t="s">
        <v>560</v>
      </c>
      <c r="AK156" t="s">
        <v>561</v>
      </c>
      <c r="AL156" t="s">
        <v>715</v>
      </c>
      <c r="AM156" s="390">
        <v>198410</v>
      </c>
      <c r="AP156" s="22" t="s">
        <v>295</v>
      </c>
    </row>
    <row r="157" spans="20:42" x14ac:dyDescent="0.25">
      <c r="T157" s="383"/>
      <c r="U157" s="147"/>
      <c r="V157" s="145" t="s">
        <v>295</v>
      </c>
      <c r="W157" s="151">
        <f>'[1]Income data'!C209</f>
        <v>0</v>
      </c>
      <c r="X157" s="149">
        <f>'[1]mortality values_starting value'!F$8*(W157/'[1]Income data'!C$26)^'[1]mortality values_starting value'!F$14</f>
        <v>0</v>
      </c>
      <c r="Y157" s="150">
        <f>X157/'[1]mortality values_starting value'!F$7</f>
        <v>0</v>
      </c>
      <c r="AB157" s="386">
        <v>600</v>
      </c>
      <c r="AC157" s="387">
        <v>0.1485186810803838</v>
      </c>
      <c r="AD157" s="387">
        <f t="shared" si="9"/>
        <v>0</v>
      </c>
      <c r="AE157" s="385"/>
      <c r="AI157" t="s">
        <v>796</v>
      </c>
      <c r="AJ157" t="s">
        <v>560</v>
      </c>
      <c r="AK157" t="s">
        <v>561</v>
      </c>
      <c r="AL157" t="s">
        <v>716</v>
      </c>
      <c r="AM157" s="390">
        <v>33930</v>
      </c>
      <c r="AP157" s="22" t="s">
        <v>296</v>
      </c>
    </row>
    <row r="158" spans="20:42" x14ac:dyDescent="0.25">
      <c r="T158" s="383"/>
      <c r="U158" s="147"/>
      <c r="V158" s="145" t="s">
        <v>296</v>
      </c>
      <c r="W158" s="151">
        <f>'[1]Income data'!C210</f>
        <v>13290.647000000001</v>
      </c>
      <c r="X158" s="149">
        <f>'[1]mortality values_starting value'!F$8*(W158/'[1]Income data'!C$26)^'[1]mortality values_starting value'!F$14</f>
        <v>1.1843065306395504</v>
      </c>
      <c r="Y158" s="150">
        <f>X158/'[1]mortality values_starting value'!F$7</f>
        <v>0.25734311673403443</v>
      </c>
      <c r="AB158" s="386">
        <v>10565.184056308059</v>
      </c>
      <c r="AC158" s="387">
        <v>1.4735393481041172</v>
      </c>
      <c r="AD158" s="387">
        <f t="shared" si="9"/>
        <v>1.2579664423417853</v>
      </c>
      <c r="AE158" s="385"/>
      <c r="AH158" s="22" t="s">
        <v>291</v>
      </c>
      <c r="AI158" t="s">
        <v>291</v>
      </c>
      <c r="AJ158" t="s">
        <v>560</v>
      </c>
      <c r="AK158" t="s">
        <v>561</v>
      </c>
      <c r="AL158" t="s">
        <v>717</v>
      </c>
      <c r="AM158" s="390">
        <v>219160</v>
      </c>
      <c r="AP158" s="22" t="s">
        <v>218</v>
      </c>
    </row>
    <row r="159" spans="20:42" x14ac:dyDescent="0.25">
      <c r="T159" s="383"/>
      <c r="U159" s="147"/>
      <c r="V159" s="145" t="s">
        <v>297</v>
      </c>
      <c r="W159" s="151">
        <f>'[1]Income data'!C218</f>
        <v>4469.1989999999996</v>
      </c>
      <c r="X159" s="149">
        <f>'[1]mortality values_starting value'!F$8*(W159/'[1]Income data'!C$26)^'[1]mortality values_starting value'!F$14</f>
        <v>0.39824258084860331</v>
      </c>
      <c r="Y159" s="150">
        <f>X159/'[1]mortality values_starting value'!F$7</f>
        <v>8.6535862397416008E-2</v>
      </c>
      <c r="AB159" s="386">
        <v>2255.7513946626445</v>
      </c>
      <c r="AC159" s="387">
        <v>0.42844301926935241</v>
      </c>
      <c r="AD159" s="387">
        <f t="shared" si="9"/>
        <v>1.9812462537204301</v>
      </c>
      <c r="AE159" s="385"/>
      <c r="AH159" s="22" t="s">
        <v>248</v>
      </c>
      <c r="AI159" t="s">
        <v>248</v>
      </c>
      <c r="AJ159" t="s">
        <v>560</v>
      </c>
      <c r="AK159" t="s">
        <v>561</v>
      </c>
      <c r="AL159" t="s">
        <v>718</v>
      </c>
      <c r="AM159" s="390">
        <v>34813870</v>
      </c>
      <c r="AP159" s="22" t="s">
        <v>333</v>
      </c>
    </row>
    <row r="160" spans="20:42" x14ac:dyDescent="0.25">
      <c r="T160" s="383"/>
      <c r="U160" s="147"/>
      <c r="V160" s="145" t="s">
        <v>298</v>
      </c>
      <c r="W160" s="151">
        <f>'[1]Income data'!C220</f>
        <v>9814.4500000000007</v>
      </c>
      <c r="X160" s="149">
        <f>'[1]mortality values_starting value'!F$8*(W160/'[1]Income data'!C$26)^'[1]mortality values_starting value'!F$14</f>
        <v>0.87454863782292436</v>
      </c>
      <c r="Y160" s="150">
        <f>X160/'[1]mortality values_starting value'!F$7</f>
        <v>0.19003447702962425</v>
      </c>
      <c r="AB160" s="386">
        <v>5951.9504202939752</v>
      </c>
      <c r="AC160" s="387">
        <v>0.93108113520016589</v>
      </c>
      <c r="AD160" s="387">
        <f t="shared" si="9"/>
        <v>1.6489468673220653</v>
      </c>
      <c r="AE160" s="385"/>
      <c r="AH160" s="22" t="s">
        <v>292</v>
      </c>
      <c r="AI160" t="s">
        <v>292</v>
      </c>
      <c r="AJ160" t="s">
        <v>560</v>
      </c>
      <c r="AK160" t="s">
        <v>561</v>
      </c>
      <c r="AL160" t="s">
        <v>719</v>
      </c>
      <c r="AM160" s="390">
        <v>16743930</v>
      </c>
      <c r="AP160" s="22" t="s">
        <v>297</v>
      </c>
    </row>
    <row r="161" spans="20:42" x14ac:dyDescent="0.25">
      <c r="T161" s="383"/>
      <c r="U161" s="147"/>
      <c r="V161" s="145" t="s">
        <v>299</v>
      </c>
      <c r="W161" s="151">
        <f>'[1]Income data'!C226</f>
        <v>3090.174</v>
      </c>
      <c r="X161" s="149">
        <f>'[1]mortality values_starting value'!F$8*(W161/'[1]Income data'!C$26)^'[1]mortality values_starting value'!F$14</f>
        <v>0.27536005199841224</v>
      </c>
      <c r="Y161" s="150">
        <f>X161/'[1]mortality values_starting value'!F$7</f>
        <v>5.9834183272678754E-2</v>
      </c>
      <c r="AB161" s="386">
        <v>1433.9905780434169</v>
      </c>
      <c r="AC161" s="387">
        <v>0.29819277855927034</v>
      </c>
      <c r="AD161" s="387">
        <f t="shared" si="9"/>
        <v>2.1549472132629583</v>
      </c>
      <c r="AE161" s="385"/>
      <c r="AH161" s="22" t="s">
        <v>215</v>
      </c>
      <c r="AI161" t="s">
        <v>215</v>
      </c>
      <c r="AJ161" t="s">
        <v>560</v>
      </c>
      <c r="AK161" t="s">
        <v>561</v>
      </c>
      <c r="AL161" t="s">
        <v>720</v>
      </c>
      <c r="AM161" s="390">
        <v>8737370</v>
      </c>
      <c r="AP161" s="22" t="s">
        <v>185</v>
      </c>
    </row>
    <row r="162" spans="20:42" x14ac:dyDescent="0.25">
      <c r="T162" s="383"/>
      <c r="U162" s="147"/>
      <c r="V162" s="145" t="s">
        <v>300</v>
      </c>
      <c r="W162" s="151">
        <f>'[1]Income data'!C229</f>
        <v>1549.8820000000001</v>
      </c>
      <c r="X162" s="149">
        <f>'[1]mortality values_starting value'!F$8*(W162/'[1]Income data'!C$26)^'[1]mortality values_starting value'!F$14</f>
        <v>0.13810730014277617</v>
      </c>
      <c r="Y162" s="150">
        <f>X162/'[1]mortality values_starting value'!F$7</f>
        <v>3.0009935893262292E-2</v>
      </c>
      <c r="AB162" s="386">
        <v>998.02349778384394</v>
      </c>
      <c r="AC162" s="387">
        <v>0.22313756873341228</v>
      </c>
      <c r="AD162" s="387">
        <f t="shared" si="9"/>
        <v>1.5529514119072174</v>
      </c>
      <c r="AE162" s="385"/>
      <c r="AH162" s="22" t="s">
        <v>293</v>
      </c>
      <c r="AI162" t="s">
        <v>293</v>
      </c>
      <c r="AJ162" t="s">
        <v>560</v>
      </c>
      <c r="AK162" t="s">
        <v>561</v>
      </c>
      <c r="AL162" t="s">
        <v>721</v>
      </c>
      <c r="AM162" s="390">
        <v>98350</v>
      </c>
      <c r="AP162" s="22" t="s">
        <v>298</v>
      </c>
    </row>
    <row r="163" spans="20:42" x14ac:dyDescent="0.25">
      <c r="T163" s="383"/>
      <c r="U163" s="147"/>
      <c r="V163" s="145" t="s">
        <v>301</v>
      </c>
      <c r="W163" s="151">
        <f>'[1]Income data'!C232</f>
        <v>11631.021000000001</v>
      </c>
      <c r="X163" s="149">
        <f>'[1]mortality values_starting value'!F$8*(W163/'[1]Income data'!C$26)^'[1]mortality values_starting value'!F$14</f>
        <v>1.0364201327674833</v>
      </c>
      <c r="Y163" s="150">
        <f>X163/'[1]mortality values_starting value'!F$7</f>
        <v>0.22520823816470381</v>
      </c>
      <c r="AB163" s="386">
        <v>9549.8386694651435</v>
      </c>
      <c r="AC163" s="387">
        <v>1.359117208738978</v>
      </c>
      <c r="AD163" s="387">
        <f t="shared" si="9"/>
        <v>1.2179285328860343</v>
      </c>
      <c r="AE163" s="385"/>
      <c r="AH163" s="22" t="s">
        <v>294</v>
      </c>
      <c r="AI163" t="s">
        <v>294</v>
      </c>
      <c r="AJ163" t="s">
        <v>560</v>
      </c>
      <c r="AK163" t="s">
        <v>561</v>
      </c>
      <c r="AL163" t="s">
        <v>722</v>
      </c>
      <c r="AM163" s="390">
        <v>7976980</v>
      </c>
      <c r="AP163" s="22" t="s">
        <v>219</v>
      </c>
    </row>
    <row r="164" spans="20:42" x14ac:dyDescent="0.25">
      <c r="T164" s="383"/>
      <c r="U164" s="147"/>
      <c r="V164" s="145" t="s">
        <v>302</v>
      </c>
      <c r="W164" s="151">
        <f>'[1]Income data'!C237</f>
        <v>2280.817</v>
      </c>
      <c r="X164" s="149">
        <f>'[1]mortality values_starting value'!F$8*(W164/'[1]Income data'!C$26)^'[1]mortality values_starting value'!F$14</f>
        <v>0.20323965178623038</v>
      </c>
      <c r="Y164" s="150">
        <f>X164/'[1]mortality values_starting value'!F$7</f>
        <v>4.4162827850289778E-2</v>
      </c>
      <c r="AB164" s="386">
        <v>1272.4581122095781</v>
      </c>
      <c r="AC164" s="387">
        <v>0.27100348723276085</v>
      </c>
      <c r="AD164" s="387">
        <f t="shared" si="9"/>
        <v>1.7924495730860976</v>
      </c>
      <c r="AE164" s="385"/>
      <c r="AH164" s="22" t="s">
        <v>331</v>
      </c>
      <c r="AI164" t="s">
        <v>331</v>
      </c>
      <c r="AJ164" t="s">
        <v>560</v>
      </c>
      <c r="AK164" t="s">
        <v>561</v>
      </c>
      <c r="AL164" t="s">
        <v>723</v>
      </c>
      <c r="AM164" s="390">
        <v>5850340</v>
      </c>
      <c r="AP164" s="22" t="s">
        <v>220</v>
      </c>
    </row>
    <row r="165" spans="20:42" x14ac:dyDescent="0.25">
      <c r="T165" s="383"/>
      <c r="U165" s="147"/>
      <c r="V165" s="145" t="s">
        <v>303</v>
      </c>
      <c r="W165" s="151">
        <f>'[1]Income data'!C250</f>
        <v>3896.22</v>
      </c>
      <c r="X165" s="149">
        <f>'[1]mortality values_starting value'!F$8*(W165/'[1]Income data'!C$26)^'[1]mortality values_starting value'!F$14</f>
        <v>0.34718541473627496</v>
      </c>
      <c r="Y165" s="150">
        <f>X165/'[1]mortality values_starting value'!F$7</f>
        <v>7.5441428719119519E-2</v>
      </c>
      <c r="AB165" s="386">
        <v>1561.938335108114</v>
      </c>
      <c r="AC165" s="387">
        <v>0.31929431846576811</v>
      </c>
      <c r="AD165" s="387">
        <f t="shared" si="9"/>
        <v>2.4944774786709565</v>
      </c>
      <c r="AE165" s="385"/>
      <c r="AH165" s="22" t="s">
        <v>216</v>
      </c>
      <c r="AI165" t="s">
        <v>216</v>
      </c>
      <c r="AJ165" t="s">
        <v>560</v>
      </c>
      <c r="AK165" t="s">
        <v>561</v>
      </c>
      <c r="AL165" t="s">
        <v>724</v>
      </c>
      <c r="AM165" s="390">
        <v>5459640</v>
      </c>
      <c r="AP165" s="22" t="s">
        <v>249</v>
      </c>
    </row>
    <row r="166" spans="20:42" x14ac:dyDescent="0.25">
      <c r="T166" s="383"/>
      <c r="U166" s="147"/>
      <c r="V166" s="145" t="s">
        <v>304</v>
      </c>
      <c r="W166" s="152">
        <f>'[1]Income data'!C251</f>
        <v>2232.9810000000002</v>
      </c>
      <c r="X166" s="149">
        <f>'[1]mortality values_starting value'!F$8*(W166/'[1]Income data'!C$26)^'[1]mortality values_starting value'!F$14</f>
        <v>0.19897706869304663</v>
      </c>
      <c r="Y166" s="150">
        <f>X166/'[1]mortality values_starting value'!F$7</f>
        <v>4.3236592631485965E-2</v>
      </c>
      <c r="AB166" s="386">
        <v>436.35399999999998</v>
      </c>
      <c r="AC166" s="387">
        <v>0.11511482368988442</v>
      </c>
      <c r="AD166" s="387">
        <f t="shared" si="9"/>
        <v>5.1173611333916966</v>
      </c>
      <c r="AE166" s="385"/>
      <c r="AH166" s="22" t="s">
        <v>217</v>
      </c>
      <c r="AI166" t="s">
        <v>217</v>
      </c>
      <c r="AJ166" t="s">
        <v>560</v>
      </c>
      <c r="AK166" t="s">
        <v>561</v>
      </c>
      <c r="AL166" t="s">
        <v>725</v>
      </c>
      <c r="AM166" s="390">
        <v>2078940</v>
      </c>
      <c r="AP166" s="22" t="s">
        <v>334</v>
      </c>
    </row>
    <row r="167" spans="20:42" x14ac:dyDescent="0.25">
      <c r="T167" s="383"/>
      <c r="U167" s="144"/>
      <c r="V167" s="145"/>
      <c r="W167" s="152"/>
      <c r="X167" s="149"/>
      <c r="Y167" s="150">
        <f>X167/'[1]mortality values_starting value'!F$7</f>
        <v>0</v>
      </c>
      <c r="AB167" s="386"/>
      <c r="AC167" s="387">
        <v>0</v>
      </c>
      <c r="AD167" s="387" t="e">
        <f t="shared" si="9"/>
        <v>#DIV/0!</v>
      </c>
      <c r="AE167" s="385"/>
      <c r="AH167" s="22" t="s">
        <v>332</v>
      </c>
      <c r="AI167" t="s">
        <v>332</v>
      </c>
      <c r="AJ167" t="s">
        <v>560</v>
      </c>
      <c r="AK167" t="s">
        <v>561</v>
      </c>
      <c r="AL167" t="s">
        <v>726</v>
      </c>
      <c r="AM167" s="390">
        <v>686880</v>
      </c>
      <c r="AP167" s="22" t="s">
        <v>234</v>
      </c>
    </row>
    <row r="168" spans="20:42" x14ac:dyDescent="0.25">
      <c r="T168" s="383"/>
      <c r="U168" s="147"/>
      <c r="V168" s="145" t="s">
        <v>305</v>
      </c>
      <c r="W168" s="151">
        <f>'[1]Income data'!C35</f>
        <v>1995.6179999999999</v>
      </c>
      <c r="X168" s="149">
        <f>'[1]mortality values_starting value'!F$8*(W168/'[1]Income data'!C$26)^'[1]mortality values_starting value'!F$14</f>
        <v>0.17782606294951916</v>
      </c>
      <c r="Y168" s="150">
        <f>X168/'[1]mortality values_starting value'!F$7</f>
        <v>3.8640598605210137E-2</v>
      </c>
      <c r="AB168" s="386">
        <v>1207.2802412616822</v>
      </c>
      <c r="AC168" s="387">
        <v>0.25984032922401384</v>
      </c>
      <c r="AD168" s="387">
        <f t="shared" si="9"/>
        <v>1.6529865492658573</v>
      </c>
      <c r="AE168" s="385"/>
      <c r="AH168" s="22" t="s">
        <v>295</v>
      </c>
      <c r="AI168" t="s">
        <v>295</v>
      </c>
      <c r="AJ168" t="s">
        <v>560</v>
      </c>
      <c r="AK168" t="s">
        <v>561</v>
      </c>
      <c r="AL168" t="s">
        <v>727</v>
      </c>
      <c r="AM168" s="390">
        <v>15893220</v>
      </c>
      <c r="AP168" s="22" t="s">
        <v>299</v>
      </c>
    </row>
    <row r="169" spans="20:42" x14ac:dyDescent="0.25">
      <c r="T169" s="383"/>
      <c r="U169" s="147"/>
      <c r="V169" s="145" t="s">
        <v>306</v>
      </c>
      <c r="W169" s="151">
        <f>'[1]Income data'!C45</f>
        <v>48712.294999999998</v>
      </c>
      <c r="X169" s="149">
        <f>'[1]mortality values_starting value'!F$8*(W169/'[1]Income data'!C$26)^'[1]mortality values_starting value'!F$15</f>
        <v>4.2112296616991882</v>
      </c>
      <c r="Y169" s="150">
        <f>X169/'[1]mortality values_starting value'!F$7</f>
        <v>0.91507640833428916</v>
      </c>
      <c r="AB169" s="386">
        <v>38159.6336533223</v>
      </c>
      <c r="AC169" s="387">
        <v>4.1166452249819105</v>
      </c>
      <c r="AD169" s="387">
        <f t="shared" si="9"/>
        <v>1.2765399018907759</v>
      </c>
      <c r="AE169" s="385"/>
      <c r="AH169" s="22" t="s">
        <v>296</v>
      </c>
      <c r="AI169" t="s">
        <v>296</v>
      </c>
      <c r="AJ169" t="s">
        <v>560</v>
      </c>
      <c r="AK169" t="s">
        <v>561</v>
      </c>
      <c r="AL169" t="s">
        <v>728</v>
      </c>
      <c r="AM169" s="390">
        <v>59308690</v>
      </c>
      <c r="AP169" s="22" t="s">
        <v>335</v>
      </c>
    </row>
    <row r="170" spans="20:42" x14ac:dyDescent="0.25">
      <c r="T170" s="383"/>
      <c r="U170" s="147"/>
      <c r="V170" s="145"/>
      <c r="W170" s="151"/>
      <c r="X170" s="149"/>
      <c r="Y170" s="150"/>
      <c r="AB170" s="386"/>
      <c r="AC170" s="387"/>
      <c r="AD170" s="387"/>
      <c r="AE170" s="385"/>
      <c r="AH170" s="22" t="s">
        <v>297</v>
      </c>
      <c r="AJ170" t="s">
        <v>560</v>
      </c>
      <c r="AL170" s="13">
        <f>AL171+AL174</f>
        <v>55042.990000000005</v>
      </c>
      <c r="AM170" s="392">
        <f>AM171+AM174</f>
        <v>55042990</v>
      </c>
      <c r="AP170" s="22"/>
    </row>
    <row r="171" spans="20:42" x14ac:dyDescent="0.25">
      <c r="T171" s="383"/>
      <c r="U171" s="147"/>
      <c r="V171" s="145" t="s">
        <v>307</v>
      </c>
      <c r="W171" s="151">
        <f>'[1]Income data'!C50</f>
        <v>3899.0230000000001</v>
      </c>
      <c r="X171" s="149">
        <f>'[1]mortality values_starting value'!F$8*(W171/'[1]Income data'!C$26)^'[1]mortality values_starting value'!F$14</f>
        <v>0.34743518521060801</v>
      </c>
      <c r="Y171" s="150">
        <f>X171/'[1]mortality values_starting value'!F$7</f>
        <v>7.5495702431769146E-2</v>
      </c>
      <c r="AB171" s="386">
        <v>1659.1518597122847</v>
      </c>
      <c r="AC171" s="387">
        <v>0.33509580734025868</v>
      </c>
      <c r="AD171" s="387">
        <f t="shared" si="9"/>
        <v>2.3500097216394247</v>
      </c>
      <c r="AE171" s="385"/>
      <c r="AI171" t="s">
        <v>797</v>
      </c>
      <c r="AJ171" t="s">
        <v>560</v>
      </c>
      <c r="AK171" t="s">
        <v>561</v>
      </c>
      <c r="AL171" t="s">
        <v>729</v>
      </c>
      <c r="AM171" s="390">
        <v>11193730</v>
      </c>
      <c r="AP171" s="22" t="s">
        <v>336</v>
      </c>
    </row>
    <row r="172" spans="20:42" x14ac:dyDescent="0.25">
      <c r="T172" s="383"/>
      <c r="U172" s="147"/>
      <c r="V172" s="145" t="s">
        <v>308</v>
      </c>
      <c r="W172" s="151">
        <f>'[1]Income data'!C57</f>
        <v>8225.2109999999993</v>
      </c>
      <c r="X172" s="149">
        <f>'[1]mortality values_starting value'!F$8*(W172/'[1]Income data'!C$26)^'[1]mortality values_starting value'!F$14</f>
        <v>0.73293430358870149</v>
      </c>
      <c r="Y172" s="150">
        <f>X172/'[1]mortality values_starting value'!F$7</f>
        <v>0.15926248244611896</v>
      </c>
      <c r="AB172" s="386">
        <v>5328.4602374684137</v>
      </c>
      <c r="AC172" s="387">
        <v>0.85219987654165252</v>
      </c>
      <c r="AD172" s="387">
        <f t="shared" si="9"/>
        <v>1.5436374925278322</v>
      </c>
      <c r="AE172" s="385"/>
      <c r="AH172" s="22" t="s">
        <v>218</v>
      </c>
      <c r="AI172" t="s">
        <v>218</v>
      </c>
      <c r="AJ172" t="s">
        <v>560</v>
      </c>
      <c r="AK172" t="s">
        <v>561</v>
      </c>
      <c r="AL172" t="s">
        <v>730</v>
      </c>
      <c r="AM172" s="390">
        <v>46754780</v>
      </c>
      <c r="AP172" s="22" t="s">
        <v>300</v>
      </c>
    </row>
    <row r="173" spans="20:42" x14ac:dyDescent="0.25">
      <c r="T173" s="383"/>
      <c r="U173" s="147"/>
      <c r="V173" s="145" t="s">
        <v>309</v>
      </c>
      <c r="W173" s="151">
        <f>'[1]Income data'!C62</f>
        <v>77422.263000000006</v>
      </c>
      <c r="X173" s="149">
        <f>'[1]mortality values_starting value'!F$8*(W173/'[1]Income data'!C$26)^'[1]mortality values_starting value'!F$14</f>
        <v>6.8989637365128154</v>
      </c>
      <c r="Y173" s="150">
        <f>X173/'[1]mortality values_starting value'!F$7</f>
        <v>1.4991058347288977</v>
      </c>
      <c r="AB173" s="386">
        <v>48621.411999999997</v>
      </c>
      <c r="AC173" s="387">
        <v>4.9971471364868263</v>
      </c>
      <c r="AD173" s="387">
        <f t="shared" si="9"/>
        <v>1.5923491279932391</v>
      </c>
      <c r="AE173" s="385"/>
      <c r="AH173" s="22" t="s">
        <v>333</v>
      </c>
      <c r="AI173" t="s">
        <v>333</v>
      </c>
      <c r="AJ173" t="s">
        <v>560</v>
      </c>
      <c r="AK173" t="s">
        <v>561</v>
      </c>
      <c r="AL173" t="s">
        <v>731</v>
      </c>
      <c r="AM173" s="390">
        <v>21413250</v>
      </c>
      <c r="AP173" s="22" t="s">
        <v>337</v>
      </c>
    </row>
    <row r="174" spans="20:42" x14ac:dyDescent="0.25">
      <c r="T174" s="383"/>
      <c r="U174" s="147"/>
      <c r="V174" s="145" t="s">
        <v>310</v>
      </c>
      <c r="W174" s="151">
        <f>'[1]Income data'!C170</f>
        <v>5803.9629999999997</v>
      </c>
      <c r="X174" s="149">
        <f>'[1]mortality values_starting value'!F$8*(W174/'[1]Income data'!C$26)^'[1]mortality values_starting value'!F$14</f>
        <v>0.51718108866259982</v>
      </c>
      <c r="Y174" s="150">
        <f>X174/'[1]mortality values_starting value'!F$7</f>
        <v>0.11238052803817727</v>
      </c>
      <c r="AB174" s="386">
        <v>1950.2257397842625</v>
      </c>
      <c r="AC174" s="387">
        <v>0.38135372319481464</v>
      </c>
      <c r="AD174" s="387">
        <f t="shared" si="9"/>
        <v>2.9760467629978287</v>
      </c>
      <c r="AE174" s="385"/>
      <c r="AI174" t="s">
        <v>798</v>
      </c>
      <c r="AJ174" t="s">
        <v>560</v>
      </c>
      <c r="AK174" t="s">
        <v>561</v>
      </c>
      <c r="AL174" t="s">
        <v>732</v>
      </c>
      <c r="AM174" s="390">
        <v>43849260</v>
      </c>
      <c r="AP174" s="22" t="s">
        <v>186</v>
      </c>
    </row>
    <row r="175" spans="20:42" x14ac:dyDescent="0.25">
      <c r="T175" s="383"/>
      <c r="U175" s="147"/>
      <c r="V175" s="145" t="s">
        <v>311</v>
      </c>
      <c r="W175" s="151">
        <f>'[1]Income data'!C66</f>
        <v>3740.7579999999998</v>
      </c>
      <c r="X175" s="149">
        <f>'[1]mortality values_starting value'!F$8*(W175/'[1]Income data'!C$26)^'[1]mortality values_starting value'!F$14</f>
        <v>0.33333246522476617</v>
      </c>
      <c r="Y175" s="150">
        <f>X175/'[1]mortality values_starting value'!F$7</f>
        <v>7.243126107162226E-2</v>
      </c>
      <c r="AB175" s="386">
        <v>2193.9685220599604</v>
      </c>
      <c r="AC175" s="387">
        <v>0.41902930568192875</v>
      </c>
      <c r="AD175" s="387">
        <f t="shared" si="9"/>
        <v>1.7050189929287263</v>
      </c>
      <c r="AE175" s="385"/>
      <c r="AH175" s="22" t="s">
        <v>185</v>
      </c>
      <c r="AI175" t="s">
        <v>185</v>
      </c>
      <c r="AJ175" t="s">
        <v>560</v>
      </c>
      <c r="AK175" t="s">
        <v>561</v>
      </c>
      <c r="AL175" t="s">
        <v>733</v>
      </c>
      <c r="AM175" s="390">
        <v>586630</v>
      </c>
      <c r="AP175" s="22" t="s">
        <v>301</v>
      </c>
    </row>
    <row r="176" spans="20:42" x14ac:dyDescent="0.25">
      <c r="T176" s="383"/>
      <c r="U176" s="147"/>
      <c r="V176" s="145" t="s">
        <v>312</v>
      </c>
      <c r="W176" s="151">
        <f>'[1]Income data'!C75</f>
        <v>15394.538</v>
      </c>
      <c r="X176" s="149">
        <f>'[1]mortality values_starting value'!F$8*(W176/'[1]Income data'!C$26)^'[1]mortality values_starting value'!F$14</f>
        <v>1.3717806130565895</v>
      </c>
      <c r="Y176" s="150">
        <f>X176/'[1]mortality values_starting value'!F$7</f>
        <v>0.29808017544973764</v>
      </c>
      <c r="AB176" s="386">
        <v>7598.8349681975033</v>
      </c>
      <c r="AC176" s="387">
        <v>1.1320293674134847</v>
      </c>
      <c r="AD176" s="387">
        <f t="shared" si="9"/>
        <v>2.0259076640602043</v>
      </c>
      <c r="AE176" s="385"/>
      <c r="AH176" s="22" t="s">
        <v>219</v>
      </c>
      <c r="AI176" t="s">
        <v>219</v>
      </c>
      <c r="AJ176" t="s">
        <v>560</v>
      </c>
      <c r="AK176" t="s">
        <v>561</v>
      </c>
      <c r="AL176" t="s">
        <v>734</v>
      </c>
      <c r="AM176" s="390">
        <v>10099260</v>
      </c>
      <c r="AP176" s="22" t="s">
        <v>221</v>
      </c>
    </row>
    <row r="177" spans="20:42" x14ac:dyDescent="0.25">
      <c r="T177" s="383"/>
      <c r="U177" s="147"/>
      <c r="V177" s="145" t="s">
        <v>313</v>
      </c>
      <c r="W177" s="151">
        <f>'[1]Income data'!C99</f>
        <v>9375.3250000000007</v>
      </c>
      <c r="X177" s="149">
        <f>'[1]mortality values_starting value'!F$8*(W177/'[1]Income data'!C$26)^'[1]mortality values_starting value'!F$14</f>
        <v>0.83541896977387509</v>
      </c>
      <c r="Y177" s="150">
        <f>X177/'[1]mortality values_starting value'!F$7</f>
        <v>0.18153182127961956</v>
      </c>
      <c r="AB177" s="386">
        <v>4657.8506554305104</v>
      </c>
      <c r="AC177" s="387">
        <v>0.76525915033000169</v>
      </c>
      <c r="AD177" s="387">
        <f t="shared" si="9"/>
        <v>2.0128006871730562</v>
      </c>
      <c r="AE177" s="385"/>
      <c r="AH177" s="22" t="s">
        <v>220</v>
      </c>
      <c r="AI177" t="s">
        <v>220</v>
      </c>
      <c r="AJ177" t="s">
        <v>560</v>
      </c>
      <c r="AK177" t="s">
        <v>561</v>
      </c>
      <c r="AL177" t="s">
        <v>735</v>
      </c>
      <c r="AM177" s="390">
        <v>8654620</v>
      </c>
      <c r="AP177" s="22" t="s">
        <v>235</v>
      </c>
    </row>
    <row r="178" spans="20:42" x14ac:dyDescent="0.25">
      <c r="T178" s="383"/>
      <c r="U178" s="147"/>
      <c r="V178" s="145" t="s">
        <v>314</v>
      </c>
      <c r="W178" s="151">
        <f>'[1]Income data'!C119</f>
        <v>58376.533000000003</v>
      </c>
      <c r="X178" s="149">
        <f>'[1]mortality values_starting value'!F$8*(W178/'[1]Income data'!C$26)^'[1]mortality values_starting value'!F$14</f>
        <v>5.2018317293353151</v>
      </c>
      <c r="Y178" s="150">
        <f>X178/'[1]mortality values_starting value'!F$7</f>
        <v>1.1303286398583314</v>
      </c>
      <c r="AB178" s="386">
        <v>46501.727500291912</v>
      </c>
      <c r="AC178" s="387">
        <v>4.8220904571384242</v>
      </c>
      <c r="AD178" s="387">
        <f t="shared" si="9"/>
        <v>1.2553626744217954</v>
      </c>
      <c r="AE178" s="385"/>
      <c r="AH178" s="22" t="s">
        <v>249</v>
      </c>
      <c r="AI178" t="s">
        <v>799</v>
      </c>
      <c r="AJ178" t="s">
        <v>560</v>
      </c>
      <c r="AK178" t="s">
        <v>561</v>
      </c>
      <c r="AL178" t="s">
        <v>736</v>
      </c>
      <c r="AM178" s="390">
        <v>17500660</v>
      </c>
      <c r="AP178" s="22" t="s">
        <v>302</v>
      </c>
    </row>
    <row r="179" spans="20:42" x14ac:dyDescent="0.25">
      <c r="T179" s="383"/>
      <c r="U179" s="147"/>
      <c r="V179" s="145" t="s">
        <v>315</v>
      </c>
      <c r="W179" s="151">
        <f>'[1]Income data'!C122</f>
        <v>6693.8360000000002</v>
      </c>
      <c r="X179" s="149">
        <f>'[1]mortality values_starting value'!F$8*(W179/'[1]Income data'!C$26)^'[1]mortality values_starting value'!F$14</f>
        <v>0.59647613015605072</v>
      </c>
      <c r="Y179" s="150">
        <f>X179/'[1]mortality values_starting value'!F$7</f>
        <v>0.12961089246794999</v>
      </c>
      <c r="AB179" s="386">
        <v>3425.4489267523454</v>
      </c>
      <c r="AC179" s="387">
        <v>0.5984585566086732</v>
      </c>
      <c r="AD179" s="387">
        <f t="shared" si="9"/>
        <v>1.9541485344364482</v>
      </c>
      <c r="AE179" s="385"/>
      <c r="AH179" s="22" t="s">
        <v>234</v>
      </c>
      <c r="AI179" t="s">
        <v>234</v>
      </c>
      <c r="AJ179" t="s">
        <v>560</v>
      </c>
      <c r="AK179" t="s">
        <v>561</v>
      </c>
      <c r="AL179" t="s">
        <v>737</v>
      </c>
      <c r="AM179" s="390">
        <v>9537650</v>
      </c>
      <c r="AP179" s="22" t="s">
        <v>236</v>
      </c>
    </row>
    <row r="180" spans="20:42" x14ac:dyDescent="0.25">
      <c r="T180" s="383"/>
      <c r="U180" s="147"/>
      <c r="V180" s="145" t="s">
        <v>316</v>
      </c>
      <c r="W180" s="151">
        <f>'[1]Income data'!C123</f>
        <v>11717.195</v>
      </c>
      <c r="X180" s="149">
        <f>'[1]mortality values_starting value'!F$8*(W180/'[1]Income data'!C$26)^'[1]mortality values_starting value'!F$14</f>
        <v>1.0440989486273382</v>
      </c>
      <c r="Y180" s="150">
        <f>X180/'[1]mortality values_starting value'!F$7</f>
        <v>0.22687680145898426</v>
      </c>
      <c r="AB180" s="386">
        <v>4325.2533282172571</v>
      </c>
      <c r="AC180" s="387">
        <v>0.72122259257051069</v>
      </c>
      <c r="AD180" s="387">
        <f t="shared" si="9"/>
        <v>2.7090193592959988</v>
      </c>
      <c r="AE180" s="385"/>
      <c r="AH180" s="22" t="s">
        <v>335</v>
      </c>
      <c r="AI180" t="s">
        <v>335</v>
      </c>
      <c r="AJ180" t="s">
        <v>560</v>
      </c>
      <c r="AK180" t="s">
        <v>561</v>
      </c>
      <c r="AL180" t="s">
        <v>738</v>
      </c>
      <c r="AM180" s="390">
        <v>69799980</v>
      </c>
      <c r="AP180" s="22" t="s">
        <v>250</v>
      </c>
    </row>
    <row r="181" spans="20:42" x14ac:dyDescent="0.25">
      <c r="T181" s="383"/>
      <c r="U181" s="147"/>
      <c r="V181" s="145" t="s">
        <v>317</v>
      </c>
      <c r="W181" s="151">
        <f>'[1]Income data'!C131</f>
        <v>41220.345999999998</v>
      </c>
      <c r="X181" s="149">
        <f>'[1]mortality values_starting value'!F$8*(W181/'[1]Income data'!C$26)^'[1]mortality values_starting value'!F$15</f>
        <v>3.6845746512379476</v>
      </c>
      <c r="Y181" s="150">
        <f>X181/'[1]mortality values_starting value'!F$7</f>
        <v>0.80063725062526125</v>
      </c>
      <c r="AB181" s="386">
        <v>33732.868222659643</v>
      </c>
      <c r="AC181" s="387">
        <v>3.7299473305574491</v>
      </c>
      <c r="AD181" s="387">
        <f t="shared" si="9"/>
        <v>1.2219638640840726</v>
      </c>
      <c r="AE181" s="385"/>
      <c r="AH181" s="22" t="s">
        <v>336</v>
      </c>
      <c r="AI181" t="s">
        <v>800</v>
      </c>
      <c r="AJ181" t="s">
        <v>560</v>
      </c>
      <c r="AK181" t="s">
        <v>561</v>
      </c>
      <c r="AL181" t="s">
        <v>739</v>
      </c>
      <c r="AM181" s="390">
        <v>1318440</v>
      </c>
      <c r="AP181" s="22" t="s">
        <v>222</v>
      </c>
    </row>
    <row r="182" spans="20:42" x14ac:dyDescent="0.25">
      <c r="T182" s="383"/>
      <c r="U182" s="147"/>
      <c r="V182" s="145" t="s">
        <v>318</v>
      </c>
      <c r="W182" s="151">
        <f>'[1]Income data'!C135</f>
        <v>1910.4</v>
      </c>
      <c r="X182" s="149">
        <f>'[1]mortality values_starting value'!F$8*(W182/'[1]Income data'!C$26)^'[1]mortality values_starting value'!F$14</f>
        <v>0.17023243459357526</v>
      </c>
      <c r="Y182" s="150">
        <f>X182/'[1]mortality values_starting value'!F$7</f>
        <v>3.6990546074145182E-2</v>
      </c>
      <c r="AB182" s="386">
        <v>2457.4759142132998</v>
      </c>
      <c r="AC182" s="387">
        <v>0.45882967626208915</v>
      </c>
      <c r="AD182" s="387">
        <f t="shared" si="9"/>
        <v>0.77738300056200849</v>
      </c>
      <c r="AE182" s="385"/>
      <c r="AH182" s="22" t="s">
        <v>300</v>
      </c>
      <c r="AI182" t="s">
        <v>300</v>
      </c>
      <c r="AJ182" t="s">
        <v>560</v>
      </c>
      <c r="AK182" t="s">
        <v>561</v>
      </c>
      <c r="AL182" t="s">
        <v>740</v>
      </c>
      <c r="AM182" s="390">
        <v>8278719.9999999991</v>
      </c>
      <c r="AP182" s="22" t="s">
        <v>156</v>
      </c>
    </row>
    <row r="183" spans="20:42" x14ac:dyDescent="0.25">
      <c r="T183" s="383"/>
      <c r="U183" s="147"/>
      <c r="V183" s="145" t="s">
        <v>319</v>
      </c>
      <c r="W183" s="151">
        <f>'[1]Income data'!C136</f>
        <v>0</v>
      </c>
      <c r="X183" s="149">
        <f>'[1]mortality values_starting value'!F$8*(W183/'[1]Income data'!C$26)^'[1]mortality values_starting value'!F$14</f>
        <v>0</v>
      </c>
      <c r="Y183" s="150">
        <f>X183/'[1]mortality values_starting value'!F$7</f>
        <v>0</v>
      </c>
      <c r="AB183" s="386">
        <v>1800</v>
      </c>
      <c r="AC183" s="387">
        <v>0.35766635400311081</v>
      </c>
      <c r="AD183" s="387">
        <f t="shared" si="9"/>
        <v>0</v>
      </c>
      <c r="AE183" s="385"/>
      <c r="AI183" t="s">
        <v>801</v>
      </c>
      <c r="AJ183" t="s">
        <v>560</v>
      </c>
      <c r="AK183" t="s">
        <v>561</v>
      </c>
      <c r="AL183" t="s">
        <v>741</v>
      </c>
      <c r="AM183" s="390">
        <v>1360</v>
      </c>
      <c r="AP183" s="22" t="s">
        <v>187</v>
      </c>
    </row>
    <row r="184" spans="20:42" x14ac:dyDescent="0.25">
      <c r="T184" s="383"/>
      <c r="U184" s="147"/>
      <c r="V184" s="145" t="s">
        <v>320</v>
      </c>
      <c r="W184" s="151">
        <f>'[1]Income data'!C137</f>
        <v>37730.497000000003</v>
      </c>
      <c r="X184" s="149">
        <f>'[1]mortality values_starting value'!F$8*(W184/'[1]Income data'!C$26)^'[1]mortality values_starting value'!F$15</f>
        <v>3.4328282411710855</v>
      </c>
      <c r="Y184" s="150">
        <f>X184/'[1]mortality values_starting value'!F$7</f>
        <v>0.74593417830645448</v>
      </c>
      <c r="AB184" s="386">
        <v>29101.071140070613</v>
      </c>
      <c r="AC184" s="387">
        <v>3.3142652493482139</v>
      </c>
      <c r="AD184" s="387">
        <f t="shared" si="9"/>
        <v>1.2965329289218888</v>
      </c>
      <c r="AE184" s="385"/>
      <c r="AH184" s="22" t="s">
        <v>337</v>
      </c>
      <c r="AI184" t="s">
        <v>337</v>
      </c>
      <c r="AJ184" t="s">
        <v>560</v>
      </c>
      <c r="AK184" t="s">
        <v>561</v>
      </c>
      <c r="AL184" t="s">
        <v>742</v>
      </c>
      <c r="AM184" s="390">
        <v>105690</v>
      </c>
      <c r="AP184" s="22" t="s">
        <v>237</v>
      </c>
    </row>
    <row r="185" spans="20:42" x14ac:dyDescent="0.25">
      <c r="T185" s="383"/>
      <c r="U185" s="147"/>
      <c r="V185" s="145" t="s">
        <v>321</v>
      </c>
      <c r="W185" s="151">
        <f>'[1]Income data'!C141</f>
        <v>6870.625</v>
      </c>
      <c r="X185" s="149">
        <f>'[1]mortality values_starting value'!F$8*(W185/'[1]Income data'!C$26)^'[1]mortality values_starting value'!F$14</f>
        <v>0.61222949169256846</v>
      </c>
      <c r="Y185" s="150">
        <f>X185/'[1]mortality values_starting value'!F$7</f>
        <v>0.13303400890948164</v>
      </c>
      <c r="AB185" s="386">
        <v>2550.9784408193786</v>
      </c>
      <c r="AC185" s="387">
        <v>0.47274344329236351</v>
      </c>
      <c r="AD185" s="387">
        <f t="shared" si="9"/>
        <v>2.6933293084958976</v>
      </c>
      <c r="AE185" s="385"/>
      <c r="AH185" s="22" t="s">
        <v>186</v>
      </c>
      <c r="AI185" t="s">
        <v>186</v>
      </c>
      <c r="AJ185" t="s">
        <v>560</v>
      </c>
      <c r="AK185" t="s">
        <v>561</v>
      </c>
      <c r="AL185" t="s">
        <v>743</v>
      </c>
      <c r="AM185" s="390">
        <v>1399490</v>
      </c>
      <c r="AP185" s="22" t="s">
        <v>338</v>
      </c>
    </row>
    <row r="186" spans="20:42" x14ac:dyDescent="0.25">
      <c r="T186" s="383"/>
      <c r="U186" s="147"/>
      <c r="V186" s="145" t="s">
        <v>322</v>
      </c>
      <c r="W186" s="151">
        <f>'[1]Income data'!C154</f>
        <v>27292.112000000001</v>
      </c>
      <c r="X186" s="149">
        <f>'[1]mortality values_starting value'!F$8*(W186/'[1]Income data'!C$26)^'[1]mortality values_starting value'!F$14</f>
        <v>2.4319528219014499</v>
      </c>
      <c r="Y186" s="150">
        <f>X186/'[1]mortality values_starting value'!F$7</f>
        <v>0.52844960552592679</v>
      </c>
      <c r="AB186" s="386">
        <v>14730.935060776512</v>
      </c>
      <c r="AC186" s="387">
        <v>1.9224025572371661</v>
      </c>
      <c r="AD186" s="387">
        <f t="shared" si="9"/>
        <v>1.8527073731164321</v>
      </c>
      <c r="AE186" s="385"/>
      <c r="AH186" s="22" t="s">
        <v>301</v>
      </c>
      <c r="AI186" t="s">
        <v>301</v>
      </c>
      <c r="AJ186" t="s">
        <v>560</v>
      </c>
      <c r="AK186" t="s">
        <v>561</v>
      </c>
      <c r="AL186" t="s">
        <v>744</v>
      </c>
      <c r="AM186" s="390">
        <v>11818620</v>
      </c>
      <c r="AP186" s="22" t="s">
        <v>188</v>
      </c>
    </row>
    <row r="187" spans="20:42" x14ac:dyDescent="0.25">
      <c r="T187" s="383"/>
      <c r="U187" s="147"/>
      <c r="V187" s="145" t="s">
        <v>323</v>
      </c>
      <c r="W187" s="151">
        <f>'[1]Income data'!C155</f>
        <v>18331.75</v>
      </c>
      <c r="X187" s="149">
        <f>'[1]mortality values_starting value'!F$8*(W187/'[1]Income data'!C$26)^'[1]mortality values_starting value'!F$14</f>
        <v>1.6335104862127161</v>
      </c>
      <c r="Y187" s="150">
        <f>X187/'[1]mortality values_starting value'!F$7</f>
        <v>0.35495259788249101</v>
      </c>
      <c r="AB187" s="386">
        <v>8519.334367705238</v>
      </c>
      <c r="AC187" s="387">
        <v>1.2404652841992005</v>
      </c>
      <c r="AD187" s="387">
        <f t="shared" si="9"/>
        <v>2.15178195957319</v>
      </c>
      <c r="AE187" s="385"/>
      <c r="AH187" s="22" t="s">
        <v>235</v>
      </c>
      <c r="AI187" t="s">
        <v>235</v>
      </c>
      <c r="AJ187" t="s">
        <v>560</v>
      </c>
      <c r="AK187" t="s">
        <v>561</v>
      </c>
      <c r="AL187" t="s">
        <v>745</v>
      </c>
      <c r="AM187" s="390">
        <v>6031200</v>
      </c>
      <c r="AP187" s="22" t="s">
        <v>339</v>
      </c>
    </row>
    <row r="188" spans="20:42" x14ac:dyDescent="0.25">
      <c r="T188" s="383"/>
      <c r="U188" s="147"/>
      <c r="V188" s="145" t="s">
        <v>324</v>
      </c>
      <c r="W188" s="151">
        <f>'[1]Income data'!C166</f>
        <v>12271.671</v>
      </c>
      <c r="X188" s="149">
        <f>'[1]mortality values_starting value'!F$8*(W188/'[1]Income data'!C$26)^'[1]mortality values_starting value'!F$14</f>
        <v>1.0935073444626122</v>
      </c>
      <c r="Y188" s="150">
        <f>X188/'[1]mortality values_starting value'!F$7</f>
        <v>0.23761296667307963</v>
      </c>
      <c r="AB188" s="386">
        <v>4035.8701820481929</v>
      </c>
      <c r="AC188" s="387">
        <v>0.68235414512334502</v>
      </c>
      <c r="AD188" s="387">
        <f t="shared" si="9"/>
        <v>3.0406505775594996</v>
      </c>
      <c r="AE188" s="385"/>
      <c r="AI188" t="s">
        <v>802</v>
      </c>
      <c r="AJ188" t="s">
        <v>560</v>
      </c>
      <c r="AK188" t="s">
        <v>561</v>
      </c>
      <c r="AL188" t="s">
        <v>746</v>
      </c>
      <c r="AM188" s="390">
        <v>11790</v>
      </c>
      <c r="AP188" s="22" t="s">
        <v>251</v>
      </c>
    </row>
    <row r="189" spans="20:42" x14ac:dyDescent="0.25">
      <c r="T189" s="383"/>
      <c r="U189" s="147"/>
      <c r="V189" s="145" t="s">
        <v>325</v>
      </c>
      <c r="W189" s="151">
        <f>'[1]Income data'!C172</f>
        <v>2489.0450000000001</v>
      </c>
      <c r="X189" s="149">
        <f>'[1]mortality values_starting value'!F$8*(W189/'[1]Income data'!C$26)^'[1]mortality values_starting value'!F$14</f>
        <v>0.22179448815063102</v>
      </c>
      <c r="Y189" s="150">
        <f>X189/'[1]mortality values_starting value'!F$7</f>
        <v>4.8194688941122638E-2</v>
      </c>
      <c r="AB189" s="386">
        <v>1198.8631872838748</v>
      </c>
      <c r="AC189" s="387">
        <v>0.25839004844179292</v>
      </c>
      <c r="AD189" s="387">
        <f t="shared" si="9"/>
        <v>2.0761710146752779</v>
      </c>
      <c r="AE189" s="385"/>
      <c r="AH189" s="22" t="s">
        <v>221</v>
      </c>
      <c r="AI189" t="s">
        <v>803</v>
      </c>
      <c r="AJ189" t="s">
        <v>560</v>
      </c>
      <c r="AK189" t="s">
        <v>561</v>
      </c>
      <c r="AL189" t="s">
        <v>747</v>
      </c>
      <c r="AM189" s="390">
        <v>84339070</v>
      </c>
      <c r="AP189" s="22" t="s">
        <v>303</v>
      </c>
    </row>
    <row r="190" spans="20:42" x14ac:dyDescent="0.25">
      <c r="T190" s="383"/>
      <c r="U190" s="147"/>
      <c r="V190" s="145" t="s">
        <v>326</v>
      </c>
      <c r="W190" s="151">
        <f>'[1]Income data'!C175</f>
        <v>37164.521000000001</v>
      </c>
      <c r="X190" s="149">
        <f>'[1]mortality values_starting value'!F$8*(W190/'[1]Income data'!C$26)^'[1]mortality values_starting value'!F$15</f>
        <v>3.3915707836269346</v>
      </c>
      <c r="Y190" s="150">
        <f>X190/'[1]mortality values_starting value'!F$7</f>
        <v>0.73696916592304695</v>
      </c>
      <c r="AB190" s="386">
        <v>29534.51533178391</v>
      </c>
      <c r="AC190" s="387">
        <v>3.353698079841783</v>
      </c>
      <c r="AD190" s="387">
        <f t="shared" si="9"/>
        <v>1.2583419968976086</v>
      </c>
      <c r="AE190" s="385"/>
      <c r="AH190" s="22" t="s">
        <v>302</v>
      </c>
      <c r="AI190" t="s">
        <v>302</v>
      </c>
      <c r="AJ190" t="s">
        <v>560</v>
      </c>
      <c r="AK190" t="s">
        <v>561</v>
      </c>
      <c r="AL190" t="s">
        <v>748</v>
      </c>
      <c r="AM190" s="390">
        <v>45741010</v>
      </c>
      <c r="AP190" s="22" t="s">
        <v>304</v>
      </c>
    </row>
    <row r="191" spans="20:42" x14ac:dyDescent="0.25">
      <c r="T191" s="383"/>
      <c r="U191" s="147"/>
      <c r="V191" s="145" t="s">
        <v>327</v>
      </c>
      <c r="W191" s="151">
        <f>'[1]Income data'!C182</f>
        <v>5095.3729999999996</v>
      </c>
      <c r="X191" s="149">
        <f>'[1]mortality values_starting value'!F$8*(W191/'[1]Income data'!C$26)^'[1]mortality values_starting value'!F$14</f>
        <v>0.45403986126066226</v>
      </c>
      <c r="Y191" s="150">
        <f>X191/'[1]mortality values_starting value'!F$7</f>
        <v>9.8660296127227459E-2</v>
      </c>
      <c r="AB191" s="386">
        <v>2687.6381144536285</v>
      </c>
      <c r="AC191" s="387">
        <v>0.49289761486250427</v>
      </c>
      <c r="AD191" s="387">
        <f t="shared" si="9"/>
        <v>1.8958553134806397</v>
      </c>
      <c r="AE191" s="385"/>
      <c r="AH191" s="22" t="s">
        <v>236</v>
      </c>
      <c r="AI191" t="s">
        <v>236</v>
      </c>
      <c r="AJ191" t="s">
        <v>560</v>
      </c>
      <c r="AK191" t="s">
        <v>561</v>
      </c>
      <c r="AL191" t="s">
        <v>749</v>
      </c>
      <c r="AM191" s="390">
        <v>43733760</v>
      </c>
    </row>
    <row r="192" spans="20:42" x14ac:dyDescent="0.25">
      <c r="T192" s="383"/>
      <c r="U192" s="147"/>
      <c r="V192" s="145" t="s">
        <v>328</v>
      </c>
      <c r="W192" s="151">
        <f>'[1]Income data'!C185</f>
        <v>3716.89</v>
      </c>
      <c r="X192" s="149">
        <f>'[1]mortality values_starting value'!F$8*(W192/'[1]Income data'!C$26)^'[1]mortality values_starting value'!F$14</f>
        <v>0.33120562909155876</v>
      </c>
      <c r="Y192" s="150">
        <f>X192/'[1]mortality values_starting value'!F$7</f>
        <v>7.1969111598371785E-2</v>
      </c>
      <c r="AB192" s="386">
        <v>2471.9858187671284</v>
      </c>
      <c r="AC192" s="387">
        <v>0.4609956883496153</v>
      </c>
      <c r="AD192" s="387">
        <f t="shared" si="9"/>
        <v>1.5036049041146002</v>
      </c>
      <c r="AE192" s="385"/>
      <c r="AH192" s="22" t="s">
        <v>250</v>
      </c>
      <c r="AI192" t="s">
        <v>250</v>
      </c>
      <c r="AJ192" t="s">
        <v>560</v>
      </c>
      <c r="AK192" t="s">
        <v>561</v>
      </c>
      <c r="AL192" t="s">
        <v>750</v>
      </c>
      <c r="AM192" s="390">
        <v>9890400</v>
      </c>
    </row>
    <row r="193" spans="4:39" x14ac:dyDescent="0.25">
      <c r="T193" s="383"/>
      <c r="U193" s="147"/>
      <c r="V193" s="145" t="s">
        <v>329</v>
      </c>
      <c r="W193" s="151">
        <f>'[1]Income data'!C188</f>
        <v>7739.4489999999996</v>
      </c>
      <c r="X193" s="149">
        <f>'[1]mortality values_starting value'!F$8*(W193/'[1]Income data'!C$26)^'[1]mortality values_starting value'!F$14</f>
        <v>0.68964889325942802</v>
      </c>
      <c r="Y193" s="150">
        <f>X193/'[1]mortality values_starting value'!F$7</f>
        <v>0.14985680738222196</v>
      </c>
      <c r="AB193" s="386">
        <v>3969.2510250822497</v>
      </c>
      <c r="AC193" s="387">
        <v>0.67332840503793545</v>
      </c>
      <c r="AD193" s="387">
        <f t="shared" si="9"/>
        <v>1.9498512316538672</v>
      </c>
      <c r="AE193" s="385"/>
      <c r="AH193" s="22" t="s">
        <v>222</v>
      </c>
      <c r="AI193" t="s">
        <v>804</v>
      </c>
      <c r="AJ193" t="s">
        <v>560</v>
      </c>
      <c r="AK193" t="s">
        <v>561</v>
      </c>
      <c r="AL193" t="s">
        <v>751</v>
      </c>
      <c r="AM193" s="390">
        <v>67886010</v>
      </c>
    </row>
    <row r="194" spans="4:39" x14ac:dyDescent="0.25">
      <c r="T194" s="383"/>
      <c r="U194" s="147"/>
      <c r="V194" s="145" t="s">
        <v>330</v>
      </c>
      <c r="W194" s="151">
        <f>'[1]Income data'!C196</f>
        <v>5564.9539999999997</v>
      </c>
      <c r="X194" s="149">
        <f>'[1]mortality values_starting value'!F$8*(W194/'[1]Income data'!C$26)^'[1]mortality values_starting value'!F$14</f>
        <v>0.49588341071045583</v>
      </c>
      <c r="Y194" s="150">
        <f>X194/'[1]mortality values_starting value'!F$7</f>
        <v>0.1077526629697961</v>
      </c>
      <c r="AB194" s="386">
        <v>4373.6989724132136</v>
      </c>
      <c r="AC194" s="387">
        <v>0.72767791521616354</v>
      </c>
      <c r="AD194" s="387">
        <f t="shared" si="9"/>
        <v>1.2723678595853396</v>
      </c>
      <c r="AE194" s="385"/>
      <c r="AH194" s="22" t="s">
        <v>299</v>
      </c>
      <c r="AI194" t="s">
        <v>805</v>
      </c>
      <c r="AJ194" t="s">
        <v>560</v>
      </c>
      <c r="AK194" t="s">
        <v>561</v>
      </c>
      <c r="AL194" t="s">
        <v>752</v>
      </c>
      <c r="AM194" s="390">
        <v>59734220</v>
      </c>
    </row>
    <row r="195" spans="4:39" x14ac:dyDescent="0.25">
      <c r="T195" s="383"/>
      <c r="U195" s="147"/>
      <c r="V195" s="145" t="s">
        <v>331</v>
      </c>
      <c r="W195" s="151">
        <f>'[1]Income data'!C204</f>
        <v>87832.34</v>
      </c>
      <c r="X195" s="149">
        <f>'[1]mortality values_starting value'!F$8*(W195/'[1]Income data'!C$26)^'[1]mortality values_starting value'!F$14</f>
        <v>7.8265876644946939</v>
      </c>
      <c r="Y195" s="150">
        <f>X195/'[1]mortality values_starting value'!F$7</f>
        <v>1.7006732723879736</v>
      </c>
      <c r="AB195" s="386">
        <v>57932.427172904943</v>
      </c>
      <c r="AC195" s="387">
        <v>5.7490682314145989</v>
      </c>
      <c r="AD195" s="387">
        <f t="shared" si="9"/>
        <v>1.5161170399067843</v>
      </c>
      <c r="AE195" s="385"/>
      <c r="AH195" s="22" t="s">
        <v>156</v>
      </c>
      <c r="AI195" t="s">
        <v>806</v>
      </c>
      <c r="AJ195" t="s">
        <v>560</v>
      </c>
      <c r="AK195" t="s">
        <v>561</v>
      </c>
      <c r="AL195" t="s">
        <v>753</v>
      </c>
      <c r="AM195" s="390">
        <v>331002650</v>
      </c>
    </row>
    <row r="196" spans="4:39" x14ac:dyDescent="0.25">
      <c r="T196" s="383"/>
      <c r="U196" s="147"/>
      <c r="V196" s="145" t="s">
        <v>332</v>
      </c>
      <c r="W196" s="151">
        <f>'[1]Income data'!C208</f>
        <v>2093.183</v>
      </c>
      <c r="X196" s="149">
        <f>'[1]mortality values_starting value'!F$8*(W196/'[1]Income data'!C$26)^'[1]mortality values_starting value'!F$14</f>
        <v>0.18651991108662247</v>
      </c>
      <c r="Y196" s="150">
        <f>X196/'[1]mortality values_starting value'!F$7</f>
        <v>4.0529722677511211E-2</v>
      </c>
      <c r="AB196" s="386">
        <v>2709.8293297669829</v>
      </c>
      <c r="AC196" s="387">
        <v>0.49615073007263572</v>
      </c>
      <c r="AD196" s="387">
        <f t="shared" si="9"/>
        <v>0.77244089766346724</v>
      </c>
      <c r="AE196" s="385"/>
      <c r="AH196" s="22" t="s">
        <v>187</v>
      </c>
      <c r="AI196" t="s">
        <v>187</v>
      </c>
      <c r="AJ196" t="s">
        <v>560</v>
      </c>
      <c r="AK196" t="s">
        <v>561</v>
      </c>
      <c r="AL196" t="s">
        <v>754</v>
      </c>
      <c r="AM196" s="390">
        <v>3473730</v>
      </c>
    </row>
    <row r="197" spans="4:39" x14ac:dyDescent="0.25">
      <c r="D197" s="156"/>
      <c r="E197" s="156"/>
      <c r="F197" s="156"/>
      <c r="G197" s="156"/>
      <c r="T197" s="383"/>
      <c r="U197" s="147"/>
      <c r="V197" s="145" t="s">
        <v>333</v>
      </c>
      <c r="W197" s="151">
        <f>'[1]Income data'!C213</f>
        <v>12284.843000000001</v>
      </c>
      <c r="X197" s="149">
        <f>'[1]mortality values_starting value'!F$8*(W197/'[1]Income data'!C$26)^'[1]mortality values_starting value'!F$14</f>
        <v>1.0946810785646153</v>
      </c>
      <c r="Y197" s="150">
        <f>X197/'[1]mortality values_starting value'!F$7</f>
        <v>0.23786801246081446</v>
      </c>
      <c r="AB197" s="386">
        <v>5077.9702652392116</v>
      </c>
      <c r="AC197" s="387">
        <v>0.81999689198848813</v>
      </c>
      <c r="AD197" s="387">
        <f t="shared" si="9"/>
        <v>2.4192427994497701</v>
      </c>
      <c r="AE197" s="385"/>
      <c r="AH197" s="22" t="s">
        <v>237</v>
      </c>
      <c r="AI197" t="s">
        <v>237</v>
      </c>
      <c r="AJ197" t="s">
        <v>560</v>
      </c>
      <c r="AK197" t="s">
        <v>561</v>
      </c>
      <c r="AL197" t="s">
        <v>755</v>
      </c>
      <c r="AM197" s="390">
        <v>33469199.999999996</v>
      </c>
    </row>
    <row r="198" spans="4:39" x14ac:dyDescent="0.25">
      <c r="D198" s="156"/>
      <c r="E198" s="156"/>
      <c r="F198" s="156"/>
      <c r="G198" s="156"/>
      <c r="T198" s="383"/>
      <c r="U198" s="147"/>
      <c r="V198" s="145" t="s">
        <v>334</v>
      </c>
      <c r="W198" s="151">
        <f>'[1]Income data'!C224</f>
        <v>48119.466999999997</v>
      </c>
      <c r="X198" s="149">
        <f>'[1]mortality values_starting value'!F$8*(W198/'[1]Income data'!C$26)^'[1]mortality values_starting value'!F$14</f>
        <v>4.2878423465008382</v>
      </c>
      <c r="Y198" s="150">
        <f>X198/'[1]mortality values_starting value'!F$7</f>
        <v>0.93172391181260905</v>
      </c>
      <c r="AB198" s="386">
        <v>35595.160000000003</v>
      </c>
      <c r="AC198" s="387">
        <v>3.8937928477467509</v>
      </c>
      <c r="AD198" s="387">
        <f t="shared" si="9"/>
        <v>1.3518542127637576</v>
      </c>
      <c r="AE198" s="385"/>
      <c r="AH198" s="22" t="s">
        <v>338</v>
      </c>
      <c r="AI198" t="s">
        <v>338</v>
      </c>
      <c r="AJ198" t="s">
        <v>560</v>
      </c>
      <c r="AK198" t="s">
        <v>561</v>
      </c>
      <c r="AL198" t="s">
        <v>756</v>
      </c>
      <c r="AM198" s="390">
        <v>307140</v>
      </c>
    </row>
    <row r="199" spans="4:39" x14ac:dyDescent="0.25">
      <c r="D199" s="156"/>
      <c r="E199" s="156"/>
      <c r="F199" s="156"/>
      <c r="G199" s="156"/>
      <c r="T199" s="383"/>
      <c r="U199" s="147"/>
      <c r="V199" s="145" t="s">
        <v>335</v>
      </c>
      <c r="W199" s="151">
        <f>'[1]Income data'!C227</f>
        <v>16884.531999999999</v>
      </c>
      <c r="X199" s="149">
        <f>'[1]mortality values_starting value'!F$8*(W199/'[1]Income data'!C$26)^'[1]mortality values_starting value'!F$14</f>
        <v>1.504551397263991</v>
      </c>
      <c r="Y199" s="150">
        <f>X199/'[1]mortality values_starting value'!F$7</f>
        <v>0.32693051658625349</v>
      </c>
      <c r="AB199" s="386">
        <v>8553.8059121143579</v>
      </c>
      <c r="AC199" s="387">
        <v>1.2444790700716235</v>
      </c>
      <c r="AD199" s="387">
        <f t="shared" si="9"/>
        <v>1.9739204014539564</v>
      </c>
      <c r="AE199" s="385"/>
      <c r="AH199" s="22" t="s">
        <v>188</v>
      </c>
      <c r="AI199" t="s">
        <v>807</v>
      </c>
      <c r="AJ199" t="s">
        <v>560</v>
      </c>
      <c r="AK199" t="s">
        <v>561</v>
      </c>
      <c r="AL199" t="s">
        <v>757</v>
      </c>
      <c r="AM199" s="390">
        <v>28435940</v>
      </c>
    </row>
    <row r="200" spans="4:39" x14ac:dyDescent="0.25">
      <c r="D200" s="156"/>
      <c r="E200" s="156"/>
      <c r="F200" s="156"/>
      <c r="G200" s="156"/>
      <c r="T200" s="383"/>
      <c r="U200" s="147"/>
      <c r="V200" s="145" t="s">
        <v>336</v>
      </c>
      <c r="W200" s="151">
        <f>'[1]Income data'!C228</f>
        <v>5441.9979999999996</v>
      </c>
      <c r="X200" s="149">
        <f>'[1]mortality values_starting value'!F$8*(W200/'[1]Income data'!C$26)^'[1]mortality values_starting value'!F$14</f>
        <v>0.48492701454845438</v>
      </c>
      <c r="Y200" s="150">
        <f>X200/'[1]mortality values_starting value'!F$7</f>
        <v>0.10537189999707176</v>
      </c>
      <c r="AB200" s="386">
        <v>928.01071678701635</v>
      </c>
      <c r="AC200" s="387">
        <v>0.21052441864612598</v>
      </c>
      <c r="AD200" s="387">
        <f t="shared" si="9"/>
        <v>5.864154261969551</v>
      </c>
      <c r="AE200" s="385"/>
      <c r="AH200" s="22" t="s">
        <v>339</v>
      </c>
      <c r="AI200" t="s">
        <v>339</v>
      </c>
      <c r="AJ200" t="s">
        <v>560</v>
      </c>
      <c r="AK200" t="s">
        <v>561</v>
      </c>
      <c r="AL200" t="s">
        <v>758</v>
      </c>
      <c r="AM200" s="390">
        <v>97338580</v>
      </c>
    </row>
    <row r="201" spans="4:39" x14ac:dyDescent="0.25">
      <c r="D201" s="156"/>
      <c r="E201" s="156"/>
      <c r="F201" s="156"/>
      <c r="G201" s="156"/>
      <c r="T201" s="383"/>
      <c r="U201" s="147"/>
      <c r="V201" s="145" t="s">
        <v>337</v>
      </c>
      <c r="W201" s="151">
        <f>'[1]Income data'!C230</f>
        <v>5359.2179999999998</v>
      </c>
      <c r="X201" s="149">
        <f>'[1]mortality values_starting value'!F$8*(W201/'[1]Income data'!C$26)^'[1]mortality values_starting value'!F$14</f>
        <v>0.4775506321491369</v>
      </c>
      <c r="Y201" s="150">
        <f>X201/'[1]mortality values_starting value'!F$7</f>
        <v>0.10376905378475093</v>
      </c>
      <c r="AB201" s="386">
        <v>4531.5016314210488</v>
      </c>
      <c r="AC201" s="387">
        <v>0.74860684883705864</v>
      </c>
      <c r="AD201" s="387">
        <f t="shared" si="9"/>
        <v>1.1826582964992522</v>
      </c>
      <c r="AE201" s="385"/>
      <c r="AH201" s="22" t="s">
        <v>251</v>
      </c>
      <c r="AI201" t="s">
        <v>251</v>
      </c>
      <c r="AJ201" t="s">
        <v>560</v>
      </c>
      <c r="AK201" t="s">
        <v>561</v>
      </c>
      <c r="AL201" t="s">
        <v>759</v>
      </c>
      <c r="AM201" s="390">
        <v>29825960</v>
      </c>
    </row>
    <row r="202" spans="4:39" x14ac:dyDescent="0.25">
      <c r="D202" s="156"/>
      <c r="E202" s="156"/>
      <c r="F202" s="156"/>
      <c r="G202" s="156"/>
      <c r="T202" s="383"/>
      <c r="U202" s="147"/>
      <c r="V202" s="145" t="s">
        <v>338</v>
      </c>
      <c r="W202" s="151">
        <f>'[1]Income data'!C244</f>
        <v>2693.74</v>
      </c>
      <c r="X202" s="149">
        <f>'[1]mortality values_starting value'!F$8*(W202/'[1]Income data'!C$26)^'[1]mortality values_starting value'!F$14</f>
        <v>0.24003450500528548</v>
      </c>
      <c r="Y202" s="150">
        <f>X202/'[1]mortality values_starting value'!F$7</f>
        <v>5.2158141531494888E-2</v>
      </c>
      <c r="AB202" s="386">
        <v>4443.2574367475772</v>
      </c>
      <c r="AC202" s="387">
        <v>0.73692156318218038</v>
      </c>
      <c r="AD202" s="387">
        <f t="shared" si="9"/>
        <v>0.60625341618103323</v>
      </c>
      <c r="AE202" s="385"/>
      <c r="AH202" s="22" t="s">
        <v>303</v>
      </c>
      <c r="AI202" t="s">
        <v>303</v>
      </c>
      <c r="AJ202" t="s">
        <v>560</v>
      </c>
      <c r="AK202" t="s">
        <v>561</v>
      </c>
      <c r="AL202" t="s">
        <v>760</v>
      </c>
      <c r="AM202" s="390">
        <v>18383960</v>
      </c>
    </row>
    <row r="203" spans="4:39" x14ac:dyDescent="0.25">
      <c r="D203" s="156"/>
      <c r="E203" s="156"/>
      <c r="F203" s="156"/>
      <c r="G203" s="156"/>
      <c r="T203" s="383"/>
      <c r="U203" s="147"/>
      <c r="V203" s="145" t="s">
        <v>339</v>
      </c>
      <c r="W203" s="154">
        <f>'[1]Income data'!C246</f>
        <v>6423.1509999999998</v>
      </c>
      <c r="X203" s="149">
        <f>'[1]mortality values_starting value'!F$8*(W203/'[1]Income data'!C$26)^'[1]mortality values_starting value'!F$14</f>
        <v>0.57235585871658157</v>
      </c>
      <c r="Y203" s="155">
        <f>X203/'[1]mortality values_starting value'!F$7</f>
        <v>0.12436969378490981</v>
      </c>
      <c r="AB203" s="386">
        <v>3205.1357756979151</v>
      </c>
      <c r="AC203" s="387">
        <v>0.56746258088480572</v>
      </c>
      <c r="AD203" s="387">
        <f t="shared" si="9"/>
        <v>2.0040183784730199</v>
      </c>
      <c r="AE203" s="385"/>
      <c r="AH203" s="22" t="s">
        <v>304</v>
      </c>
      <c r="AI203" t="s">
        <v>304</v>
      </c>
      <c r="AJ203" t="s">
        <v>560</v>
      </c>
      <c r="AK203" t="s">
        <v>561</v>
      </c>
      <c r="AL203" t="s">
        <v>761</v>
      </c>
      <c r="AM203" s="390">
        <v>14862920</v>
      </c>
    </row>
    <row r="204" spans="4:39" ht="15.75" thickBot="1" x14ac:dyDescent="0.3">
      <c r="D204" s="156"/>
      <c r="E204" s="156"/>
      <c r="F204" s="156"/>
      <c r="G204" s="156"/>
      <c r="T204" s="319"/>
      <c r="U204" s="10"/>
      <c r="V204" s="10"/>
      <c r="W204" s="10"/>
      <c r="X204" s="388"/>
      <c r="Y204" s="10"/>
      <c r="Z204" s="10"/>
      <c r="AA204" s="10"/>
      <c r="AB204" s="10"/>
      <c r="AC204" s="10"/>
      <c r="AD204" s="10"/>
      <c r="AE204" s="389"/>
      <c r="AM204" s="391">
        <v>7790025390</v>
      </c>
    </row>
    <row r="205" spans="4:39" x14ac:dyDescent="0.25">
      <c r="D205" s="156"/>
      <c r="E205" s="156"/>
      <c r="F205" s="156"/>
      <c r="G205" s="156"/>
    </row>
    <row r="206" spans="4:39" x14ac:dyDescent="0.25">
      <c r="D206" s="156"/>
      <c r="E206" s="156"/>
      <c r="F206" s="156"/>
      <c r="G206" s="156"/>
    </row>
  </sheetData>
  <autoFilter ref="AP2:AP190" xr:uid="{F8D5C541-C07C-4AF4-BDF8-6C5770A15F28}">
    <sortState xmlns:xlrd2="http://schemas.microsoft.com/office/spreadsheetml/2017/richdata2" ref="AP3:AP190">
      <sortCondition ref="AP2:AP190"/>
    </sortState>
  </autoFilter>
  <mergeCells count="7">
    <mergeCell ref="U3:V7"/>
    <mergeCell ref="W3:W4"/>
    <mergeCell ref="X3:X4"/>
    <mergeCell ref="Y3:Y4"/>
    <mergeCell ref="W5:W7"/>
    <mergeCell ref="X5:X7"/>
    <mergeCell ref="Y5:Y7"/>
  </mergeCells>
  <phoneticPr fontId="10" type="noConversion"/>
  <conditionalFormatting sqref="J3:J64 D3:D64 P3:P64">
    <cfRule type="dataBar" priority="5">
      <dataBar>
        <cfvo type="min"/>
        <cfvo type="max"/>
        <color rgb="FFBC8EDE"/>
      </dataBar>
      <extLst>
        <ext xmlns:x14="http://schemas.microsoft.com/office/spreadsheetml/2009/9/main" uri="{B025F937-C7B1-47D3-B67F-A62EFF666E3E}">
          <x14:id>{FC2913A7-E4E7-4EF4-B4BB-F2E2E8BF2AC3}</x14:id>
        </ext>
      </extLst>
    </cfRule>
  </conditionalFormatting>
  <conditionalFormatting sqref="K3:K64 E3:E64 Q3:Q65">
    <cfRule type="dataBar" priority="4">
      <dataBar>
        <cfvo type="min"/>
        <cfvo type="max"/>
        <color rgb="FF638EC6"/>
      </dataBar>
      <extLst>
        <ext xmlns:x14="http://schemas.microsoft.com/office/spreadsheetml/2009/9/main" uri="{B025F937-C7B1-47D3-B67F-A62EFF666E3E}">
          <x14:id>{78A7A019-1506-4A50-A5F2-EA257555BB8A}</x14:id>
        </ext>
      </extLst>
    </cfRule>
  </conditionalFormatting>
  <conditionalFormatting sqref="L3:L64 F3:F64 R3:R64">
    <cfRule type="dataBar" priority="1">
      <dataBar>
        <cfvo type="min"/>
        <cfvo type="max"/>
        <color rgb="FFFF555A"/>
      </dataBar>
      <extLst>
        <ext xmlns:x14="http://schemas.microsoft.com/office/spreadsheetml/2009/9/main" uri="{B025F937-C7B1-47D3-B67F-A62EFF666E3E}">
          <x14:id>{1EA3834E-86CC-4090-8A1C-D338FC121A3E}</x14:id>
        </ext>
      </extLst>
    </cfRule>
  </conditionalFormatting>
  <conditionalFormatting sqref="X8:X203">
    <cfRule type="top10" dxfId="1" priority="11" rank="1"/>
  </conditionalFormatting>
  <conditionalFormatting sqref="X10:X203">
    <cfRule type="duplicateValues" dxfId="0" priority="12"/>
  </conditionalFormatting>
  <pageMargins left="0.7" right="0.7" top="0.78740157499999996" bottom="0.78740157499999996" header="0.3" footer="0.3"/>
  <pageSetup paperSize="9" scale="16" orientation="landscape" r:id="rId1"/>
  <extLst>
    <ext xmlns:x14="http://schemas.microsoft.com/office/spreadsheetml/2009/9/main" uri="{78C0D931-6437-407d-A8EE-F0AAD7539E65}">
      <x14:conditionalFormattings>
        <x14:conditionalFormatting xmlns:xm="http://schemas.microsoft.com/office/excel/2006/main">
          <x14:cfRule type="dataBar" id="{FC2913A7-E4E7-4EF4-B4BB-F2E2E8BF2AC3}">
            <x14:dataBar minLength="0" maxLength="100" border="1" negativeBarBorderColorSameAsPositive="0">
              <x14:cfvo type="autoMin"/>
              <x14:cfvo type="autoMax"/>
              <x14:borderColor theme="1"/>
              <x14:negativeFillColor rgb="FFFF0000"/>
              <x14:negativeBorderColor rgb="FFFF0000"/>
              <x14:axisColor rgb="FF000000"/>
            </x14:dataBar>
          </x14:cfRule>
          <xm:sqref>J3:J64 D3:D64 P3:P64</xm:sqref>
        </x14:conditionalFormatting>
        <x14:conditionalFormatting xmlns:xm="http://schemas.microsoft.com/office/excel/2006/main">
          <x14:cfRule type="dataBar" id="{78A7A019-1506-4A50-A5F2-EA257555BB8A}">
            <x14:dataBar minLength="0" maxLength="100" border="1" negativeBarBorderColorSameAsPositive="0">
              <x14:cfvo type="autoMin"/>
              <x14:cfvo type="autoMax"/>
              <x14:borderColor rgb="FF638EC6"/>
              <x14:negativeFillColor rgb="FFFF0000"/>
              <x14:negativeBorderColor rgb="FFFF0000"/>
              <x14:axisColor rgb="FF000000"/>
            </x14:dataBar>
          </x14:cfRule>
          <xm:sqref>K3:K64 E3:E64 Q3:Q65</xm:sqref>
        </x14:conditionalFormatting>
        <x14:conditionalFormatting xmlns:xm="http://schemas.microsoft.com/office/excel/2006/main">
          <x14:cfRule type="dataBar" id="{1EA3834E-86CC-4090-8A1C-D338FC121A3E}">
            <x14:dataBar minLength="0" maxLength="100" border="1" negativeBarBorderColorSameAsPositive="0">
              <x14:cfvo type="autoMin"/>
              <x14:cfvo type="autoMax"/>
              <x14:borderColor rgb="FFFF555A"/>
              <x14:negativeFillColor rgb="FFFF0000"/>
              <x14:negativeBorderColor rgb="FFFF0000"/>
              <x14:axisColor rgb="FF000000"/>
            </x14:dataBar>
          </x14:cfRule>
          <xm:sqref>L3:L64 F3:F64 R3:R64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FCD2-E70A-4461-872C-A4ED18614C9D}">
  <sheetPr>
    <pageSetUpPr fitToPage="1"/>
  </sheetPr>
  <dimension ref="B3:O44"/>
  <sheetViews>
    <sheetView workbookViewId="0">
      <selection activeCell="E53" sqref="E53"/>
    </sheetView>
  </sheetViews>
  <sheetFormatPr baseColWidth="10" defaultRowHeight="15" x14ac:dyDescent="0.25"/>
  <cols>
    <col min="1" max="1" width="11.42578125" style="18"/>
    <col min="2" max="2" width="20.7109375" style="18" bestFit="1" customWidth="1"/>
    <col min="3" max="10" width="12.7109375" style="18" customWidth="1"/>
    <col min="11" max="11" width="3" style="18" customWidth="1"/>
    <col min="12" max="16384" width="11.42578125" style="18"/>
  </cols>
  <sheetData>
    <row r="3" spans="2:15" ht="15.75" thickBot="1" x14ac:dyDescent="0.3"/>
    <row r="4" spans="2:15" x14ac:dyDescent="0.25">
      <c r="B4" s="832" t="s">
        <v>378</v>
      </c>
      <c r="C4" s="828" t="s">
        <v>373</v>
      </c>
      <c r="D4" s="829"/>
      <c r="E4" s="829"/>
      <c r="F4" s="830"/>
      <c r="G4" s="244" t="s">
        <v>374</v>
      </c>
      <c r="H4" s="245"/>
      <c r="I4" s="245"/>
      <c r="J4" s="246"/>
      <c r="K4" s="19"/>
    </row>
    <row r="5" spans="2:15" x14ac:dyDescent="0.25">
      <c r="B5" s="833"/>
      <c r="C5" s="838" t="s">
        <v>369</v>
      </c>
      <c r="D5" s="839"/>
      <c r="E5" s="839" t="s">
        <v>370</v>
      </c>
      <c r="F5" s="840"/>
      <c r="G5" s="838" t="s">
        <v>369</v>
      </c>
      <c r="H5" s="839"/>
      <c r="I5" s="839" t="s">
        <v>370</v>
      </c>
      <c r="J5" s="840"/>
      <c r="K5" s="217"/>
    </row>
    <row r="6" spans="2:15" ht="15.75" thickBot="1" x14ac:dyDescent="0.3">
      <c r="B6" s="834"/>
      <c r="C6" s="247" t="s">
        <v>367</v>
      </c>
      <c r="D6" s="248" t="s">
        <v>368</v>
      </c>
      <c r="E6" s="248" t="s">
        <v>367</v>
      </c>
      <c r="F6" s="249" t="s">
        <v>368</v>
      </c>
      <c r="G6" s="247" t="s">
        <v>367</v>
      </c>
      <c r="H6" s="248" t="s">
        <v>368</v>
      </c>
      <c r="I6" s="248" t="s">
        <v>367</v>
      </c>
      <c r="J6" s="249" t="s">
        <v>368</v>
      </c>
      <c r="K6" s="19"/>
      <c r="L6" s="18" t="s">
        <v>375</v>
      </c>
    </row>
    <row r="7" spans="2:15" x14ac:dyDescent="0.25">
      <c r="B7" s="218" t="s">
        <v>356</v>
      </c>
      <c r="C7" s="219">
        <v>0.57699999999999996</v>
      </c>
      <c r="D7" s="220">
        <v>1.5529999999999999</v>
      </c>
      <c r="E7" s="220">
        <v>1.6739999999999999</v>
      </c>
      <c r="F7" s="221">
        <v>1.57</v>
      </c>
      <c r="G7" s="219">
        <v>0.85599999999999998</v>
      </c>
      <c r="H7" s="220">
        <v>1.7529999999999999</v>
      </c>
      <c r="I7" s="220">
        <v>1.9530000000000001</v>
      </c>
      <c r="J7" s="221">
        <v>1.77</v>
      </c>
      <c r="K7" s="34"/>
      <c r="L7" s="18" t="str">
        <f>IF(G7&lt;C7,"yes","no")</f>
        <v>no</v>
      </c>
      <c r="M7" s="18" t="str">
        <f t="shared" ref="M7:O17" si="0">IF(H7&lt;D7,"yes","no")</f>
        <v>no</v>
      </c>
      <c r="N7" s="18" t="str">
        <f t="shared" si="0"/>
        <v>no</v>
      </c>
      <c r="O7" s="18" t="str">
        <f t="shared" si="0"/>
        <v>no</v>
      </c>
    </row>
    <row r="8" spans="2:15" x14ac:dyDescent="0.25">
      <c r="B8" s="86" t="s">
        <v>357</v>
      </c>
      <c r="C8" s="222">
        <v>1.7689999999999999</v>
      </c>
      <c r="D8" s="223">
        <v>1.615</v>
      </c>
      <c r="E8" s="223">
        <v>1.7689999999999999</v>
      </c>
      <c r="F8" s="224">
        <v>1.6319999999999999</v>
      </c>
      <c r="G8" s="222">
        <v>1.9079999999999999</v>
      </c>
      <c r="H8" s="223">
        <v>1.7989999999999999</v>
      </c>
      <c r="I8" s="223">
        <v>1.9079999999999999</v>
      </c>
      <c r="J8" s="224">
        <v>1.8160000000000001</v>
      </c>
      <c r="K8" s="34"/>
      <c r="L8" s="18" t="str">
        <f t="shared" ref="L8:L17" si="1">IF(G8&lt;C8,"yes","no")</f>
        <v>no</v>
      </c>
      <c r="M8" s="18" t="str">
        <f t="shared" si="0"/>
        <v>no</v>
      </c>
      <c r="N8" s="18" t="str">
        <f t="shared" si="0"/>
        <v>no</v>
      </c>
      <c r="O8" s="18" t="str">
        <f t="shared" si="0"/>
        <v>no</v>
      </c>
    </row>
    <row r="9" spans="2:15" x14ac:dyDescent="0.25">
      <c r="B9" s="86" t="s">
        <v>358</v>
      </c>
      <c r="C9" s="222">
        <v>1.544</v>
      </c>
      <c r="D9" s="223">
        <v>1.585</v>
      </c>
      <c r="E9" s="223">
        <v>2.702</v>
      </c>
      <c r="F9" s="224">
        <v>1.6040000000000001</v>
      </c>
      <c r="G9" s="222">
        <v>1.823</v>
      </c>
      <c r="H9" s="223">
        <v>1.7849999999999999</v>
      </c>
      <c r="I9" s="223">
        <v>2.9809999999999999</v>
      </c>
      <c r="J9" s="224">
        <v>1.8029999999999999</v>
      </c>
      <c r="K9" s="34"/>
      <c r="L9" s="18" t="str">
        <f t="shared" si="1"/>
        <v>no</v>
      </c>
      <c r="M9" s="18" t="str">
        <f t="shared" si="0"/>
        <v>no</v>
      </c>
      <c r="N9" s="18" t="str">
        <f t="shared" si="0"/>
        <v>no</v>
      </c>
      <c r="O9" s="18" t="str">
        <f t="shared" si="0"/>
        <v>no</v>
      </c>
    </row>
    <row r="10" spans="2:15" x14ac:dyDescent="0.25">
      <c r="B10" s="86" t="s">
        <v>359</v>
      </c>
      <c r="C10" s="222">
        <v>1.7270000000000001</v>
      </c>
      <c r="D10" s="223">
        <v>1.7569999999999999</v>
      </c>
      <c r="E10" s="223">
        <v>1.9710000000000001</v>
      </c>
      <c r="F10" s="224">
        <v>1.6040000000000001</v>
      </c>
      <c r="G10" s="222">
        <v>2.0059999999999998</v>
      </c>
      <c r="H10" s="223">
        <v>1.7849999999999999</v>
      </c>
      <c r="I10" s="223">
        <v>2.25</v>
      </c>
      <c r="J10" s="224">
        <v>1.8029999999999999</v>
      </c>
      <c r="K10" s="34"/>
      <c r="L10" s="18" t="str">
        <f t="shared" si="1"/>
        <v>no</v>
      </c>
      <c r="M10" s="18" t="str">
        <f t="shared" si="0"/>
        <v>no</v>
      </c>
      <c r="N10" s="18" t="str">
        <f t="shared" si="0"/>
        <v>no</v>
      </c>
      <c r="O10" s="18" t="str">
        <f t="shared" si="0"/>
        <v>no</v>
      </c>
    </row>
    <row r="11" spans="2:15" x14ac:dyDescent="0.25">
      <c r="B11" s="86" t="s">
        <v>360</v>
      </c>
      <c r="C11" s="222" t="s">
        <v>65</v>
      </c>
      <c r="D11" s="223" t="s">
        <v>65</v>
      </c>
      <c r="E11" s="223">
        <v>1.419</v>
      </c>
      <c r="F11" s="224">
        <v>1.56</v>
      </c>
      <c r="G11" s="222" t="s">
        <v>65</v>
      </c>
      <c r="H11" s="223" t="s">
        <v>65</v>
      </c>
      <c r="I11" s="223">
        <v>1.67</v>
      </c>
      <c r="J11" s="224">
        <v>1.7549999999999999</v>
      </c>
      <c r="K11" s="34"/>
      <c r="L11" s="18" t="str">
        <f t="shared" si="1"/>
        <v>no</v>
      </c>
      <c r="M11" s="18" t="str">
        <f t="shared" si="0"/>
        <v>no</v>
      </c>
      <c r="N11" s="18" t="str">
        <f t="shared" si="0"/>
        <v>no</v>
      </c>
      <c r="O11" s="18" t="str">
        <f t="shared" si="0"/>
        <v>no</v>
      </c>
    </row>
    <row r="12" spans="2:15" x14ac:dyDescent="0.25">
      <c r="B12" s="86" t="s">
        <v>361</v>
      </c>
      <c r="C12" s="222">
        <v>1.6870000000000001</v>
      </c>
      <c r="D12" s="223">
        <v>1.746</v>
      </c>
      <c r="E12" s="223" t="s">
        <v>65</v>
      </c>
      <c r="F12" s="224" t="s">
        <v>65</v>
      </c>
      <c r="G12" s="222">
        <v>1.6870000000000001</v>
      </c>
      <c r="H12" s="223">
        <v>1.746</v>
      </c>
      <c r="I12" s="223" t="s">
        <v>65</v>
      </c>
      <c r="J12" s="224" t="s">
        <v>65</v>
      </c>
      <c r="K12" s="34"/>
      <c r="L12" s="18" t="str">
        <f t="shared" si="1"/>
        <v>no</v>
      </c>
      <c r="M12" s="18" t="str">
        <f t="shared" si="0"/>
        <v>no</v>
      </c>
      <c r="N12" s="18" t="str">
        <f t="shared" si="0"/>
        <v>no</v>
      </c>
      <c r="O12" s="18" t="str">
        <f t="shared" si="0"/>
        <v>no</v>
      </c>
    </row>
    <row r="13" spans="2:15" x14ac:dyDescent="0.25">
      <c r="B13" s="86" t="s">
        <v>362</v>
      </c>
      <c r="C13" s="222">
        <v>2.113</v>
      </c>
      <c r="D13" s="223">
        <v>1.748</v>
      </c>
      <c r="E13" s="223" t="s">
        <v>65</v>
      </c>
      <c r="F13" s="224" t="s">
        <v>65</v>
      </c>
      <c r="G13" s="222">
        <v>2.113</v>
      </c>
      <c r="H13" s="223">
        <v>1.748</v>
      </c>
      <c r="I13" s="223" t="s">
        <v>65</v>
      </c>
      <c r="J13" s="224" t="s">
        <v>65</v>
      </c>
      <c r="K13" s="34"/>
      <c r="L13" s="18" t="str">
        <f t="shared" si="1"/>
        <v>no</v>
      </c>
      <c r="M13" s="18" t="str">
        <f t="shared" si="0"/>
        <v>no</v>
      </c>
      <c r="N13" s="18" t="str">
        <f t="shared" si="0"/>
        <v>no</v>
      </c>
      <c r="O13" s="18" t="str">
        <f t="shared" si="0"/>
        <v>no</v>
      </c>
    </row>
    <row r="14" spans="2:15" x14ac:dyDescent="0.25">
      <c r="B14" s="86" t="s">
        <v>363</v>
      </c>
      <c r="C14" s="222">
        <v>4.6479999999999997</v>
      </c>
      <c r="D14" s="223">
        <v>4.1829999999999998</v>
      </c>
      <c r="E14" s="223" t="s">
        <v>65</v>
      </c>
      <c r="F14" s="224" t="s">
        <v>65</v>
      </c>
      <c r="G14" s="222">
        <v>4.6479999999999997</v>
      </c>
      <c r="H14" s="223">
        <v>4.1829999999999998</v>
      </c>
      <c r="I14" s="223" t="s">
        <v>65</v>
      </c>
      <c r="J14" s="224" t="s">
        <v>65</v>
      </c>
      <c r="K14" s="34"/>
      <c r="L14" s="18" t="str">
        <f t="shared" si="1"/>
        <v>no</v>
      </c>
      <c r="M14" s="18" t="str">
        <f t="shared" si="0"/>
        <v>no</v>
      </c>
      <c r="N14" s="18" t="str">
        <f t="shared" si="0"/>
        <v>no</v>
      </c>
      <c r="O14" s="18" t="str">
        <f t="shared" si="0"/>
        <v>no</v>
      </c>
    </row>
    <row r="15" spans="2:15" x14ac:dyDescent="0.25">
      <c r="B15" s="86" t="s">
        <v>364</v>
      </c>
      <c r="C15" s="222">
        <v>1.5740000000000001</v>
      </c>
      <c r="D15" s="223">
        <v>1.7150000000000001</v>
      </c>
      <c r="E15" s="223">
        <v>1.5740000000000001</v>
      </c>
      <c r="F15" s="224">
        <v>1.347</v>
      </c>
      <c r="G15" s="222">
        <v>1.825</v>
      </c>
      <c r="H15" s="223">
        <v>1.91</v>
      </c>
      <c r="I15" s="223">
        <v>1.825</v>
      </c>
      <c r="J15" s="224">
        <v>1.5429999999999999</v>
      </c>
      <c r="K15" s="34"/>
      <c r="L15" s="18" t="str">
        <f t="shared" si="1"/>
        <v>no</v>
      </c>
      <c r="M15" s="18" t="str">
        <f t="shared" si="0"/>
        <v>no</v>
      </c>
      <c r="N15" s="18" t="str">
        <f t="shared" si="0"/>
        <v>no</v>
      </c>
      <c r="O15" s="18" t="str">
        <f t="shared" si="0"/>
        <v>no</v>
      </c>
    </row>
    <row r="16" spans="2:15" x14ac:dyDescent="0.25">
      <c r="B16" s="86" t="s">
        <v>365</v>
      </c>
      <c r="C16" s="222">
        <v>1.391</v>
      </c>
      <c r="D16" s="223">
        <v>1.52</v>
      </c>
      <c r="E16" s="223" t="s">
        <v>65</v>
      </c>
      <c r="F16" s="224" t="s">
        <v>65</v>
      </c>
      <c r="G16" s="222">
        <v>1.6419999999999999</v>
      </c>
      <c r="H16" s="223">
        <v>1.716</v>
      </c>
      <c r="I16" s="223" t="s">
        <v>65</v>
      </c>
      <c r="J16" s="224" t="s">
        <v>65</v>
      </c>
      <c r="K16" s="34"/>
      <c r="L16" s="18" t="str">
        <f t="shared" si="1"/>
        <v>no</v>
      </c>
      <c r="M16" s="18" t="str">
        <f t="shared" si="0"/>
        <v>no</v>
      </c>
      <c r="N16" s="18" t="str">
        <f t="shared" si="0"/>
        <v>no</v>
      </c>
      <c r="O16" s="18" t="str">
        <f t="shared" si="0"/>
        <v>no</v>
      </c>
    </row>
    <row r="17" spans="2:15" ht="15.75" thickBot="1" x14ac:dyDescent="0.3">
      <c r="B17" s="225" t="s">
        <v>366</v>
      </c>
      <c r="C17" s="226">
        <v>2.7930000000000001</v>
      </c>
      <c r="D17" s="227">
        <v>0.44</v>
      </c>
      <c r="E17" s="227">
        <v>2.7930000000000001</v>
      </c>
      <c r="F17" s="228">
        <v>0.45900000000000002</v>
      </c>
      <c r="G17" s="226">
        <v>2.7930000000000001</v>
      </c>
      <c r="H17" s="227">
        <v>0.44</v>
      </c>
      <c r="I17" s="227">
        <v>2.7930000000000001</v>
      </c>
      <c r="J17" s="228">
        <v>0.45900000000000002</v>
      </c>
      <c r="K17" s="34"/>
      <c r="L17" s="18" t="str">
        <f t="shared" si="1"/>
        <v>no</v>
      </c>
      <c r="M17" s="18" t="str">
        <f t="shared" si="0"/>
        <v>no</v>
      </c>
      <c r="N17" s="18" t="str">
        <f t="shared" si="0"/>
        <v>no</v>
      </c>
      <c r="O17" s="18" t="str">
        <f t="shared" si="0"/>
        <v>no</v>
      </c>
    </row>
    <row r="18" spans="2:15" ht="18" x14ac:dyDescent="0.35">
      <c r="C18" s="831" t="s">
        <v>377</v>
      </c>
      <c r="D18" s="831"/>
      <c r="E18" s="831"/>
      <c r="F18" s="831"/>
      <c r="G18" s="831" t="s">
        <v>376</v>
      </c>
      <c r="H18" s="831"/>
      <c r="I18" s="831"/>
      <c r="J18" s="831"/>
      <c r="K18" s="28"/>
    </row>
    <row r="19" spans="2:15" ht="15.75" thickBot="1" x14ac:dyDescent="0.3"/>
    <row r="20" spans="2:15" ht="15.75" thickBot="1" x14ac:dyDescent="0.3">
      <c r="B20" s="137" t="s">
        <v>378</v>
      </c>
      <c r="C20" s="835" t="s">
        <v>372</v>
      </c>
      <c r="D20" s="836"/>
      <c r="E20" s="836"/>
      <c r="F20" s="837"/>
      <c r="G20" s="836" t="s">
        <v>371</v>
      </c>
      <c r="H20" s="836"/>
      <c r="I20" s="836"/>
      <c r="J20" s="837"/>
      <c r="K20" s="217"/>
    </row>
    <row r="21" spans="2:15" x14ac:dyDescent="0.25">
      <c r="B21" s="218" t="s">
        <v>356</v>
      </c>
      <c r="C21" s="229">
        <f t="shared" ref="C21:C31" si="2">IFERROR(SQRT((C7-G7)*(C7-G7)),"")</f>
        <v>0.27900000000000003</v>
      </c>
      <c r="D21" s="70">
        <f t="shared" ref="D21:D31" si="3">IFERROR(SQRT((D7-H7)*(D7-H7)),"")</f>
        <v>0.19999999999999996</v>
      </c>
      <c r="E21" s="70">
        <f t="shared" ref="E21:E31" si="4">IFERROR(SQRT((E7-I7)*(E7-I7)),"")</f>
        <v>0.27900000000000014</v>
      </c>
      <c r="F21" s="230">
        <f t="shared" ref="F21:F31" si="5">IFERROR(SQRT((F7-J7)*(F7-J7)),"")</f>
        <v>0.19999999999999996</v>
      </c>
      <c r="G21" s="231">
        <f>IFERROR(100*(C21/C7),"")</f>
        <v>48.353552859618723</v>
      </c>
      <c r="H21" s="232">
        <f t="shared" ref="H21:J31" si="6">IFERROR(100*(D21/D7),"")</f>
        <v>12.878300064391498</v>
      </c>
      <c r="I21" s="232">
        <f t="shared" si="6"/>
        <v>16.666666666666679</v>
      </c>
      <c r="J21" s="233">
        <f t="shared" si="6"/>
        <v>12.738853503184711</v>
      </c>
      <c r="K21" s="243"/>
    </row>
    <row r="22" spans="2:15" x14ac:dyDescent="0.25">
      <c r="B22" s="86" t="s">
        <v>357</v>
      </c>
      <c r="C22" s="234">
        <f t="shared" si="2"/>
        <v>0.13900000000000001</v>
      </c>
      <c r="D22" s="53">
        <f t="shared" si="3"/>
        <v>0.18399999999999994</v>
      </c>
      <c r="E22" s="53">
        <f t="shared" si="4"/>
        <v>0.13900000000000001</v>
      </c>
      <c r="F22" s="235">
        <f t="shared" si="5"/>
        <v>0.18400000000000016</v>
      </c>
      <c r="G22" s="236">
        <f t="shared" ref="G22:G31" si="7">IFERROR(100*(C22/C8),"")</f>
        <v>7.8575466365178075</v>
      </c>
      <c r="H22" s="134">
        <f t="shared" si="6"/>
        <v>11.393188854489161</v>
      </c>
      <c r="I22" s="134">
        <f t="shared" si="6"/>
        <v>7.8575466365178075</v>
      </c>
      <c r="J22" s="237">
        <f t="shared" si="6"/>
        <v>11.27450980392158</v>
      </c>
      <c r="K22" s="243"/>
    </row>
    <row r="23" spans="2:15" x14ac:dyDescent="0.25">
      <c r="B23" s="86" t="s">
        <v>358</v>
      </c>
      <c r="C23" s="234">
        <f t="shared" si="2"/>
        <v>0.27899999999999991</v>
      </c>
      <c r="D23" s="53">
        <f t="shared" si="3"/>
        <v>0.19999999999999996</v>
      </c>
      <c r="E23" s="53">
        <f t="shared" si="4"/>
        <v>0.27899999999999991</v>
      </c>
      <c r="F23" s="235">
        <f t="shared" si="5"/>
        <v>0.19899999999999984</v>
      </c>
      <c r="G23" s="236">
        <f t="shared" si="7"/>
        <v>18.069948186528492</v>
      </c>
      <c r="H23" s="134">
        <f t="shared" si="6"/>
        <v>12.61829652996845</v>
      </c>
      <c r="I23" s="134">
        <f t="shared" si="6"/>
        <v>10.32568467801628</v>
      </c>
      <c r="J23" s="237">
        <f t="shared" si="6"/>
        <v>12.40648379052368</v>
      </c>
      <c r="K23" s="243"/>
    </row>
    <row r="24" spans="2:15" x14ac:dyDescent="0.25">
      <c r="B24" s="86" t="s">
        <v>359</v>
      </c>
      <c r="C24" s="234">
        <f t="shared" si="2"/>
        <v>0.27899999999999969</v>
      </c>
      <c r="D24" s="53">
        <f t="shared" si="3"/>
        <v>2.8000000000000025E-2</v>
      </c>
      <c r="E24" s="53">
        <f t="shared" si="4"/>
        <v>0.27899999999999991</v>
      </c>
      <c r="F24" s="235">
        <f t="shared" si="5"/>
        <v>0.19899999999999984</v>
      </c>
      <c r="G24" s="236">
        <f t="shared" si="7"/>
        <v>16.155182397220592</v>
      </c>
      <c r="H24" s="134">
        <f t="shared" si="6"/>
        <v>1.5936254980079694</v>
      </c>
      <c r="I24" s="134">
        <f t="shared" si="6"/>
        <v>14.155251141552508</v>
      </c>
      <c r="J24" s="237">
        <f t="shared" si="6"/>
        <v>12.40648379052368</v>
      </c>
      <c r="K24" s="243"/>
    </row>
    <row r="25" spans="2:15" x14ac:dyDescent="0.25">
      <c r="B25" s="86" t="s">
        <v>360</v>
      </c>
      <c r="C25" s="234" t="str">
        <f t="shared" si="2"/>
        <v/>
      </c>
      <c r="D25" s="53" t="str">
        <f t="shared" si="3"/>
        <v/>
      </c>
      <c r="E25" s="53">
        <f t="shared" si="4"/>
        <v>0.25099999999999989</v>
      </c>
      <c r="F25" s="235">
        <f t="shared" si="5"/>
        <v>0.19499999999999984</v>
      </c>
      <c r="G25" s="236" t="str">
        <f t="shared" si="7"/>
        <v/>
      </c>
      <c r="H25" s="134" t="str">
        <f t="shared" si="6"/>
        <v/>
      </c>
      <c r="I25" s="134">
        <f t="shared" si="6"/>
        <v>17.688513037350241</v>
      </c>
      <c r="J25" s="237">
        <f t="shared" si="6"/>
        <v>12.499999999999989</v>
      </c>
      <c r="K25" s="243"/>
    </row>
    <row r="26" spans="2:15" x14ac:dyDescent="0.25">
      <c r="B26" s="86" t="s">
        <v>361</v>
      </c>
      <c r="C26" s="234">
        <f t="shared" si="2"/>
        <v>0</v>
      </c>
      <c r="D26" s="53">
        <f t="shared" si="3"/>
        <v>0</v>
      </c>
      <c r="E26" s="53" t="str">
        <f t="shared" si="4"/>
        <v/>
      </c>
      <c r="F26" s="235" t="str">
        <f t="shared" si="5"/>
        <v/>
      </c>
      <c r="G26" s="236">
        <f t="shared" si="7"/>
        <v>0</v>
      </c>
      <c r="H26" s="134">
        <f t="shared" si="6"/>
        <v>0</v>
      </c>
      <c r="I26" s="134" t="str">
        <f t="shared" si="6"/>
        <v/>
      </c>
      <c r="J26" s="237" t="str">
        <f t="shared" si="6"/>
        <v/>
      </c>
      <c r="K26" s="243"/>
    </row>
    <row r="27" spans="2:15" x14ac:dyDescent="0.25">
      <c r="B27" s="86" t="s">
        <v>362</v>
      </c>
      <c r="C27" s="234">
        <f t="shared" si="2"/>
        <v>0</v>
      </c>
      <c r="D27" s="53">
        <f t="shared" si="3"/>
        <v>0</v>
      </c>
      <c r="E27" s="53" t="str">
        <f t="shared" si="4"/>
        <v/>
      </c>
      <c r="F27" s="235" t="str">
        <f t="shared" si="5"/>
        <v/>
      </c>
      <c r="G27" s="236">
        <f t="shared" si="7"/>
        <v>0</v>
      </c>
      <c r="H27" s="134">
        <f t="shared" si="6"/>
        <v>0</v>
      </c>
      <c r="I27" s="134" t="str">
        <f t="shared" si="6"/>
        <v/>
      </c>
      <c r="J27" s="237" t="str">
        <f t="shared" si="6"/>
        <v/>
      </c>
      <c r="K27" s="243"/>
    </row>
    <row r="28" spans="2:15" x14ac:dyDescent="0.25">
      <c r="B28" s="86" t="s">
        <v>363</v>
      </c>
      <c r="C28" s="234">
        <f t="shared" si="2"/>
        <v>0</v>
      </c>
      <c r="D28" s="53">
        <f t="shared" si="3"/>
        <v>0</v>
      </c>
      <c r="E28" s="53" t="str">
        <f t="shared" si="4"/>
        <v/>
      </c>
      <c r="F28" s="235" t="str">
        <f t="shared" si="5"/>
        <v/>
      </c>
      <c r="G28" s="236">
        <f t="shared" si="7"/>
        <v>0</v>
      </c>
      <c r="H28" s="134">
        <f t="shared" si="6"/>
        <v>0</v>
      </c>
      <c r="I28" s="134" t="str">
        <f t="shared" si="6"/>
        <v/>
      </c>
      <c r="J28" s="237" t="str">
        <f t="shared" si="6"/>
        <v/>
      </c>
      <c r="K28" s="243"/>
    </row>
    <row r="29" spans="2:15" x14ac:dyDescent="0.25">
      <c r="B29" s="86" t="s">
        <v>364</v>
      </c>
      <c r="C29" s="234">
        <f t="shared" si="2"/>
        <v>0.25099999999999989</v>
      </c>
      <c r="D29" s="53">
        <f t="shared" si="3"/>
        <v>0.19499999999999984</v>
      </c>
      <c r="E29" s="53">
        <f t="shared" si="4"/>
        <v>0.25099999999999989</v>
      </c>
      <c r="F29" s="235">
        <f t="shared" si="5"/>
        <v>0.19599999999999995</v>
      </c>
      <c r="G29" s="236">
        <f t="shared" si="7"/>
        <v>15.946632782719178</v>
      </c>
      <c r="H29" s="134">
        <f t="shared" si="6"/>
        <v>11.370262390670543</v>
      </c>
      <c r="I29" s="134">
        <f t="shared" si="6"/>
        <v>15.946632782719178</v>
      </c>
      <c r="J29" s="237">
        <f t="shared" si="6"/>
        <v>14.55085374907201</v>
      </c>
      <c r="K29" s="243"/>
    </row>
    <row r="30" spans="2:15" x14ac:dyDescent="0.25">
      <c r="B30" s="86" t="s">
        <v>365</v>
      </c>
      <c r="C30" s="234">
        <f t="shared" si="2"/>
        <v>0.25099999999999989</v>
      </c>
      <c r="D30" s="53">
        <f t="shared" si="3"/>
        <v>0.19599999999999995</v>
      </c>
      <c r="E30" s="53" t="str">
        <f t="shared" si="4"/>
        <v/>
      </c>
      <c r="F30" s="235" t="str">
        <f t="shared" si="5"/>
        <v/>
      </c>
      <c r="G30" s="236">
        <f t="shared" si="7"/>
        <v>18.044572250179719</v>
      </c>
      <c r="H30" s="134">
        <f t="shared" si="6"/>
        <v>12.894736842105258</v>
      </c>
      <c r="I30" s="134" t="str">
        <f t="shared" si="6"/>
        <v/>
      </c>
      <c r="J30" s="237" t="str">
        <f t="shared" si="6"/>
        <v/>
      </c>
      <c r="K30" s="243"/>
    </row>
    <row r="31" spans="2:15" ht="15.75" thickBot="1" x14ac:dyDescent="0.3">
      <c r="B31" s="225" t="s">
        <v>366</v>
      </c>
      <c r="C31" s="238">
        <f t="shared" si="2"/>
        <v>0</v>
      </c>
      <c r="D31" s="78">
        <f t="shared" si="3"/>
        <v>0</v>
      </c>
      <c r="E31" s="78">
        <f t="shared" si="4"/>
        <v>0</v>
      </c>
      <c r="F31" s="239">
        <f t="shared" si="5"/>
        <v>0</v>
      </c>
      <c r="G31" s="240">
        <f t="shared" si="7"/>
        <v>0</v>
      </c>
      <c r="H31" s="241">
        <f t="shared" si="6"/>
        <v>0</v>
      </c>
      <c r="I31" s="241">
        <f t="shared" si="6"/>
        <v>0</v>
      </c>
      <c r="J31" s="242">
        <f t="shared" si="6"/>
        <v>0</v>
      </c>
      <c r="K31" s="243"/>
    </row>
    <row r="37" spans="2:3" x14ac:dyDescent="0.25">
      <c r="B37" s="250" t="s">
        <v>379</v>
      </c>
      <c r="C37" s="18" t="s">
        <v>380</v>
      </c>
    </row>
    <row r="38" spans="2:3" x14ac:dyDescent="0.25">
      <c r="C38" s="18" t="s">
        <v>381</v>
      </c>
    </row>
    <row r="39" spans="2:3" x14ac:dyDescent="0.25">
      <c r="C39" s="18" t="s">
        <v>382</v>
      </c>
    </row>
    <row r="41" spans="2:3" x14ac:dyDescent="0.25">
      <c r="B41" s="18" t="s">
        <v>383</v>
      </c>
      <c r="C41" s="34">
        <f>MIN(C7:C17,E7:E17,G7:G17,I7:I17)</f>
        <v>0.57699999999999996</v>
      </c>
    </row>
    <row r="42" spans="2:3" x14ac:dyDescent="0.25">
      <c r="B42" s="18" t="s">
        <v>384</v>
      </c>
      <c r="C42" s="34">
        <f>MAX(C7:C17,E7:E17,G7:G17,I7:I17)</f>
        <v>4.6479999999999997</v>
      </c>
    </row>
    <row r="43" spans="2:3" x14ac:dyDescent="0.25">
      <c r="B43" s="18" t="s">
        <v>385</v>
      </c>
      <c r="C43" s="34">
        <f>MIN(D7:D17,F7:F17,H7:H17,J7:J17)</f>
        <v>0.44</v>
      </c>
    </row>
    <row r="44" spans="2:3" x14ac:dyDescent="0.25">
      <c r="B44" s="18" t="s">
        <v>386</v>
      </c>
      <c r="C44" s="34">
        <f>MAX(D7:D17,F7:F17,H7:H17,J7:J17)</f>
        <v>4.1829999999999998</v>
      </c>
    </row>
  </sheetData>
  <mergeCells count="10">
    <mergeCell ref="C4:F4"/>
    <mergeCell ref="C18:F18"/>
    <mergeCell ref="G18:J18"/>
    <mergeCell ref="B4:B6"/>
    <mergeCell ref="C20:F20"/>
    <mergeCell ref="G20:J20"/>
    <mergeCell ref="G5:H5"/>
    <mergeCell ref="I5:J5"/>
    <mergeCell ref="E5:F5"/>
    <mergeCell ref="C5:D5"/>
  </mergeCells>
  <conditionalFormatting sqref="C21:F31">
    <cfRule type="dataBar" priority="2">
      <dataBar>
        <cfvo type="min"/>
        <cfvo type="max"/>
        <color rgb="FF638EC6"/>
      </dataBar>
      <extLst>
        <ext xmlns:x14="http://schemas.microsoft.com/office/spreadsheetml/2009/9/main" uri="{B025F937-C7B1-47D3-B67F-A62EFF666E3E}">
          <x14:id>{36DABB35-09C9-493D-B4A0-1747EA8EF614}</x14:id>
        </ext>
      </extLst>
    </cfRule>
  </conditionalFormatting>
  <conditionalFormatting sqref="G21:K31">
    <cfRule type="dataBar" priority="1">
      <dataBar>
        <cfvo type="min"/>
        <cfvo type="max"/>
        <color rgb="FFFFB628"/>
      </dataBar>
      <extLst>
        <ext xmlns:x14="http://schemas.microsoft.com/office/spreadsheetml/2009/9/main" uri="{B025F937-C7B1-47D3-B67F-A62EFF666E3E}">
          <x14:id>{4266F317-AB4C-48BA-BF1F-01BB93956B47}</x14:id>
        </ext>
      </extLst>
    </cfRule>
  </conditionalFormatting>
  <pageMargins left="0.7" right="0.7" top="0.75" bottom="0.75" header="0.3" footer="0.3"/>
  <pageSetup paperSize="9" scale="72" orientation="landscape" r:id="rId1"/>
  <drawing r:id="rId2"/>
  <extLst>
    <ext xmlns:x14="http://schemas.microsoft.com/office/spreadsheetml/2009/9/main" uri="{78C0D931-6437-407d-A8EE-F0AAD7539E65}">
      <x14:conditionalFormattings>
        <x14:conditionalFormatting xmlns:xm="http://schemas.microsoft.com/office/excel/2006/main">
          <x14:cfRule type="dataBar" id="{36DABB35-09C9-493D-B4A0-1747EA8EF614}">
            <x14:dataBar minLength="0" maxLength="100" border="1" negativeBarBorderColorSameAsPositive="0">
              <x14:cfvo type="autoMin"/>
              <x14:cfvo type="autoMax"/>
              <x14:borderColor rgb="FF638EC6"/>
              <x14:negativeFillColor rgb="FFFF0000"/>
              <x14:negativeBorderColor rgb="FFFF0000"/>
              <x14:axisColor rgb="FF000000"/>
            </x14:dataBar>
          </x14:cfRule>
          <xm:sqref>C21:F31</xm:sqref>
        </x14:conditionalFormatting>
        <x14:conditionalFormatting xmlns:xm="http://schemas.microsoft.com/office/excel/2006/main">
          <x14:cfRule type="dataBar" id="{4266F317-AB4C-48BA-BF1F-01BB93956B47}">
            <x14:dataBar minLength="0" maxLength="100" border="1" negativeBarBorderColorSameAsPositive="0">
              <x14:cfvo type="autoMin"/>
              <x14:cfvo type="autoMax"/>
              <x14:borderColor rgb="FFFFB628"/>
              <x14:negativeFillColor rgb="FFFF0000"/>
              <x14:negativeBorderColor rgb="FFFF0000"/>
              <x14:axisColor rgb="FF000000"/>
            </x14:dataBar>
          </x14:cfRule>
          <xm:sqref>G21:K31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18935-9014-49A9-84A9-3BFF56E88716}">
  <sheetPr>
    <pageSetUpPr fitToPage="1"/>
  </sheetPr>
  <dimension ref="B1:AS47"/>
  <sheetViews>
    <sheetView zoomScaleNormal="100" workbookViewId="0">
      <selection activeCell="B44" sqref="B2:U44"/>
    </sheetView>
  </sheetViews>
  <sheetFormatPr baseColWidth="10" defaultColWidth="2.85546875" defaultRowHeight="15" x14ac:dyDescent="0.25"/>
  <cols>
    <col min="1" max="1" width="2.85546875" style="18"/>
    <col min="2" max="2" width="26.5703125" style="18" customWidth="1"/>
    <col min="3" max="3" width="29" style="18" bestFit="1" customWidth="1"/>
    <col min="4" max="4" width="17.140625" style="18" bestFit="1" customWidth="1"/>
    <col min="5" max="5" width="14" style="18" bestFit="1" customWidth="1"/>
    <col min="6" max="6" width="5.140625" style="18" bestFit="1" customWidth="1"/>
    <col min="7" max="8" width="10.5703125" style="18" bestFit="1" customWidth="1"/>
    <col min="9" max="12" width="7.7109375" style="18" customWidth="1"/>
    <col min="13" max="13" width="8.7109375" style="18" customWidth="1"/>
    <col min="14" max="15" width="19.28515625" style="25" customWidth="1"/>
    <col min="16" max="18" width="7.7109375" style="18" customWidth="1"/>
    <col min="19" max="19" width="8.7109375" style="18" customWidth="1"/>
    <col min="20" max="21" width="19.28515625" style="25" customWidth="1"/>
    <col min="22" max="25" width="2.85546875" style="18" customWidth="1"/>
    <col min="26" max="26" width="23.7109375" style="18" bestFit="1" customWidth="1"/>
    <col min="27" max="27" width="4.140625" style="18" bestFit="1" customWidth="1"/>
    <col min="28" max="28" width="4.28515625" style="18" bestFit="1" customWidth="1"/>
    <col min="29" max="29" width="7.140625" style="18" bestFit="1" customWidth="1"/>
    <col min="30" max="30" width="7.28515625" style="18" bestFit="1" customWidth="1"/>
    <col min="31" max="32" width="8.7109375" style="18" bestFit="1" customWidth="1"/>
    <col min="33" max="33" width="7.28515625" style="18" bestFit="1" customWidth="1"/>
    <col min="34" max="34" width="6.5703125" style="18" bestFit="1" customWidth="1"/>
    <col min="35" max="35" width="4.28515625" style="18" bestFit="1" customWidth="1"/>
    <col min="36" max="36" width="2.5703125" style="18" bestFit="1" customWidth="1"/>
    <col min="37" max="37" width="4.140625" style="18" bestFit="1" customWidth="1"/>
    <col min="38" max="38" width="3.5703125" style="18" bestFit="1" customWidth="1"/>
    <col min="39" max="39" width="3" style="18" bestFit="1" customWidth="1"/>
    <col min="40" max="40" width="2.5703125" style="18" bestFit="1" customWidth="1"/>
    <col min="41" max="41" width="8.85546875" style="18" bestFit="1" customWidth="1"/>
    <col min="42" max="42" width="3" style="18" bestFit="1" customWidth="1"/>
    <col min="43" max="43" width="4.28515625" style="18" customWidth="1"/>
    <col min="44" max="44" width="18.42578125" style="18" bestFit="1" customWidth="1"/>
    <col min="45" max="45" width="29" style="18" bestFit="1" customWidth="1"/>
    <col min="46" max="46" width="10.140625" style="18" bestFit="1" customWidth="1"/>
    <col min="47" max="47" width="4.7109375" style="18" bestFit="1" customWidth="1"/>
    <col min="48" max="52" width="2.85546875" style="18"/>
    <col min="53" max="53" width="4.5703125" style="18" bestFit="1" customWidth="1"/>
    <col min="54" max="16384" width="2.85546875" style="18"/>
  </cols>
  <sheetData>
    <row r="1" spans="2:41" ht="15.75" thickBot="1" x14ac:dyDescent="0.3"/>
    <row r="2" spans="2:41" ht="15.75" thickBot="1" x14ac:dyDescent="0.3">
      <c r="B2" s="863" t="s">
        <v>112</v>
      </c>
      <c r="C2" s="864"/>
      <c r="D2" s="111" t="s">
        <v>95</v>
      </c>
      <c r="E2" s="112" t="s">
        <v>387</v>
      </c>
      <c r="F2" s="113" t="s">
        <v>388</v>
      </c>
      <c r="G2" s="114" t="s">
        <v>88</v>
      </c>
      <c r="I2" s="841" t="s">
        <v>112</v>
      </c>
      <c r="J2" s="842"/>
      <c r="K2" s="842"/>
      <c r="L2" s="842"/>
      <c r="M2" s="842"/>
      <c r="N2" s="842"/>
      <c r="O2" s="843"/>
      <c r="P2" s="858" t="s">
        <v>113</v>
      </c>
      <c r="Q2" s="859"/>
      <c r="R2" s="859"/>
      <c r="S2" s="859"/>
      <c r="T2" s="859"/>
      <c r="U2" s="860"/>
    </row>
    <row r="3" spans="2:41" ht="15.75" customHeight="1" x14ac:dyDescent="0.25">
      <c r="B3" s="850" t="s">
        <v>91</v>
      </c>
      <c r="C3" s="851"/>
      <c r="D3" s="115">
        <f>MIN(N16:N35)</f>
        <v>4.5578688361940669</v>
      </c>
      <c r="E3" s="104">
        <f>F17</f>
        <v>51</v>
      </c>
      <c r="F3" s="84">
        <f>G17</f>
        <v>98</v>
      </c>
      <c r="G3" s="103">
        <f>E3/F3</f>
        <v>0.52040816326530615</v>
      </c>
      <c r="I3" s="855" t="s">
        <v>140</v>
      </c>
      <c r="J3" s="871" t="s">
        <v>114</v>
      </c>
      <c r="K3" s="844" t="s">
        <v>115</v>
      </c>
      <c r="L3" s="844" t="s">
        <v>22</v>
      </c>
      <c r="M3" s="844" t="s">
        <v>116</v>
      </c>
      <c r="N3" s="865" t="s">
        <v>53</v>
      </c>
      <c r="O3" s="868" t="s">
        <v>54</v>
      </c>
      <c r="P3" s="871" t="s">
        <v>114</v>
      </c>
      <c r="Q3" s="844" t="s">
        <v>115</v>
      </c>
      <c r="R3" s="844" t="s">
        <v>22</v>
      </c>
      <c r="S3" s="844" t="s">
        <v>116</v>
      </c>
      <c r="T3" s="865" t="s">
        <v>53</v>
      </c>
      <c r="U3" s="868" t="s">
        <v>54</v>
      </c>
    </row>
    <row r="4" spans="2:41" ht="15.75" customHeight="1" x14ac:dyDescent="0.25">
      <c r="B4" s="850" t="s">
        <v>92</v>
      </c>
      <c r="C4" s="851"/>
      <c r="D4" s="116">
        <f>MAX(N16:N35)</f>
        <v>5.8290374726529111</v>
      </c>
      <c r="E4" s="100">
        <v>226</v>
      </c>
      <c r="F4" s="22">
        <v>241</v>
      </c>
      <c r="G4" s="98">
        <f>E4/F4</f>
        <v>0.93775933609958506</v>
      </c>
      <c r="I4" s="856"/>
      <c r="J4" s="872"/>
      <c r="K4" s="845"/>
      <c r="L4" s="845"/>
      <c r="M4" s="845"/>
      <c r="N4" s="866"/>
      <c r="O4" s="869"/>
      <c r="P4" s="872"/>
      <c r="Q4" s="845"/>
      <c r="R4" s="845"/>
      <c r="S4" s="845"/>
      <c r="T4" s="866"/>
      <c r="U4" s="869"/>
    </row>
    <row r="5" spans="2:41" ht="15.75" customHeight="1" x14ac:dyDescent="0.25">
      <c r="B5" s="850" t="s">
        <v>93</v>
      </c>
      <c r="C5" s="851"/>
      <c r="D5" s="116">
        <f>MIN(O16:O35)</f>
        <v>11.134574114495486</v>
      </c>
      <c r="E5" s="100">
        <f>F17</f>
        <v>51</v>
      </c>
      <c r="F5" s="22">
        <f>G17</f>
        <v>98</v>
      </c>
      <c r="G5" s="98">
        <f>E5/F5</f>
        <v>0.52040816326530615</v>
      </c>
      <c r="I5" s="856"/>
      <c r="J5" s="872"/>
      <c r="K5" s="845"/>
      <c r="L5" s="845"/>
      <c r="M5" s="845"/>
      <c r="N5" s="866"/>
      <c r="O5" s="869"/>
      <c r="P5" s="872"/>
      <c r="Q5" s="845"/>
      <c r="R5" s="845"/>
      <c r="S5" s="845"/>
      <c r="T5" s="866"/>
      <c r="U5" s="869"/>
    </row>
    <row r="6" spans="2:41" ht="15.75" thickBot="1" x14ac:dyDescent="0.3">
      <c r="B6" s="861" t="s">
        <v>94</v>
      </c>
      <c r="C6" s="862"/>
      <c r="D6" s="117">
        <f>MAX(O16:O35)</f>
        <v>14.239955577489063</v>
      </c>
      <c r="E6" s="101">
        <v>226</v>
      </c>
      <c r="F6" s="102">
        <v>241</v>
      </c>
      <c r="G6" s="99">
        <f>E6/F6</f>
        <v>0.93775933609958506</v>
      </c>
      <c r="I6" s="856"/>
      <c r="J6" s="872"/>
      <c r="K6" s="845"/>
      <c r="L6" s="845"/>
      <c r="M6" s="845"/>
      <c r="N6" s="866"/>
      <c r="O6" s="869"/>
      <c r="P6" s="872"/>
      <c r="Q6" s="845"/>
      <c r="R6" s="845"/>
      <c r="S6" s="845"/>
      <c r="T6" s="866"/>
      <c r="U6" s="869"/>
    </row>
    <row r="7" spans="2:41" x14ac:dyDescent="0.25">
      <c r="B7" s="863" t="s">
        <v>113</v>
      </c>
      <c r="C7" s="864"/>
      <c r="D7" s="118" t="s">
        <v>95</v>
      </c>
      <c r="E7" s="112" t="s">
        <v>387</v>
      </c>
      <c r="F7" s="113" t="s">
        <v>388</v>
      </c>
      <c r="G7" s="114" t="s">
        <v>88</v>
      </c>
      <c r="I7" s="856"/>
      <c r="J7" s="872"/>
      <c r="K7" s="845"/>
      <c r="L7" s="845"/>
      <c r="M7" s="845"/>
      <c r="N7" s="866"/>
      <c r="O7" s="869"/>
      <c r="P7" s="872"/>
      <c r="Q7" s="845"/>
      <c r="R7" s="845"/>
      <c r="S7" s="845"/>
      <c r="T7" s="866"/>
      <c r="U7" s="869"/>
    </row>
    <row r="8" spans="2:41" x14ac:dyDescent="0.25">
      <c r="B8" s="850" t="s">
        <v>91</v>
      </c>
      <c r="C8" s="851"/>
      <c r="D8" s="115">
        <f>MIN(T16:T35)</f>
        <v>6.0369123658199557</v>
      </c>
      <c r="E8" s="104">
        <v>51</v>
      </c>
      <c r="F8" s="84">
        <v>98</v>
      </c>
      <c r="G8" s="103">
        <f>E8/F8</f>
        <v>0.52040816326530615</v>
      </c>
      <c r="I8" s="856"/>
      <c r="J8" s="872"/>
      <c r="K8" s="845"/>
      <c r="L8" s="845"/>
      <c r="M8" s="845"/>
      <c r="N8" s="866"/>
      <c r="O8" s="869"/>
      <c r="P8" s="872"/>
      <c r="Q8" s="845"/>
      <c r="R8" s="845"/>
      <c r="S8" s="845"/>
      <c r="T8" s="866"/>
      <c r="U8" s="869"/>
    </row>
    <row r="9" spans="2:41" x14ac:dyDescent="0.25">
      <c r="B9" s="850" t="s">
        <v>92</v>
      </c>
      <c r="C9" s="851"/>
      <c r="D9" s="116">
        <f>MAX(T16:T35)</f>
        <v>7.0559353162418637</v>
      </c>
      <c r="E9" s="100">
        <v>226</v>
      </c>
      <c r="F9" s="22">
        <v>241</v>
      </c>
      <c r="G9" s="98">
        <f>E9/F9</f>
        <v>0.93775933609958506</v>
      </c>
      <c r="I9" s="856"/>
      <c r="J9" s="872"/>
      <c r="K9" s="845"/>
      <c r="L9" s="845"/>
      <c r="M9" s="845"/>
      <c r="N9" s="866"/>
      <c r="O9" s="869"/>
      <c r="P9" s="872"/>
      <c r="Q9" s="845"/>
      <c r="R9" s="845"/>
      <c r="S9" s="845"/>
      <c r="T9" s="866"/>
      <c r="U9" s="869"/>
    </row>
    <row r="10" spans="2:41" x14ac:dyDescent="0.25">
      <c r="B10" s="850" t="s">
        <v>93</v>
      </c>
      <c r="C10" s="851"/>
      <c r="D10" s="116">
        <f>MIN(U16:U35)</f>
        <v>7.3738901420499907</v>
      </c>
      <c r="E10" s="100">
        <v>51</v>
      </c>
      <c r="F10" s="22">
        <v>98</v>
      </c>
      <c r="G10" s="98">
        <f>E10/F10</f>
        <v>0.52040816326530615</v>
      </c>
      <c r="I10" s="856"/>
      <c r="J10" s="872"/>
      <c r="K10" s="845"/>
      <c r="L10" s="845"/>
      <c r="M10" s="845"/>
      <c r="N10" s="866"/>
      <c r="O10" s="869"/>
      <c r="P10" s="872"/>
      <c r="Q10" s="845"/>
      <c r="R10" s="845"/>
      <c r="S10" s="845"/>
      <c r="T10" s="866"/>
      <c r="U10" s="869"/>
    </row>
    <row r="11" spans="2:41" ht="15.75" thickBot="1" x14ac:dyDescent="0.3">
      <c r="B11" s="852" t="s">
        <v>94</v>
      </c>
      <c r="C11" s="853"/>
      <c r="D11" s="117">
        <f>MAX(U16:U35)</f>
        <v>8.6185932010479664</v>
      </c>
      <c r="E11" s="101">
        <v>226</v>
      </c>
      <c r="F11" s="102">
        <v>241</v>
      </c>
      <c r="G11" s="99">
        <f>E11/F11</f>
        <v>0.93775933609958506</v>
      </c>
      <c r="I11" s="856"/>
      <c r="J11" s="872"/>
      <c r="K11" s="845"/>
      <c r="L11" s="845"/>
      <c r="M11" s="845"/>
      <c r="N11" s="866"/>
      <c r="O11" s="869"/>
      <c r="P11" s="872"/>
      <c r="Q11" s="845"/>
      <c r="R11" s="845"/>
      <c r="S11" s="845"/>
      <c r="T11" s="866"/>
      <c r="U11" s="869"/>
    </row>
    <row r="12" spans="2:41" x14ac:dyDescent="0.25">
      <c r="I12" s="856"/>
      <c r="J12" s="872"/>
      <c r="K12" s="845"/>
      <c r="L12" s="845"/>
      <c r="M12" s="845"/>
      <c r="N12" s="866"/>
      <c r="O12" s="869"/>
      <c r="P12" s="872"/>
      <c r="Q12" s="845"/>
      <c r="R12" s="845"/>
      <c r="S12" s="845"/>
      <c r="T12" s="866"/>
      <c r="U12" s="869"/>
    </row>
    <row r="13" spans="2:41" x14ac:dyDescent="0.25">
      <c r="I13" s="856"/>
      <c r="J13" s="872"/>
      <c r="K13" s="845"/>
      <c r="L13" s="845"/>
      <c r="M13" s="845"/>
      <c r="N13" s="866"/>
      <c r="O13" s="869"/>
      <c r="P13" s="872"/>
      <c r="Q13" s="845"/>
      <c r="R13" s="845"/>
      <c r="S13" s="845"/>
      <c r="T13" s="866"/>
      <c r="U13" s="869"/>
      <c r="AB13" s="18" t="s">
        <v>390</v>
      </c>
    </row>
    <row r="14" spans="2:41" ht="15.75" customHeight="1" thickBot="1" x14ac:dyDescent="0.3">
      <c r="B14" s="119" t="s">
        <v>108</v>
      </c>
      <c r="F14" s="854"/>
      <c r="G14" s="854"/>
      <c r="H14" s="40"/>
      <c r="I14" s="856"/>
      <c r="J14" s="872"/>
      <c r="K14" s="845"/>
      <c r="L14" s="845"/>
      <c r="M14" s="845"/>
      <c r="N14" s="866"/>
      <c r="O14" s="869"/>
      <c r="P14" s="872"/>
      <c r="Q14" s="845"/>
      <c r="R14" s="845"/>
      <c r="S14" s="845"/>
      <c r="T14" s="866"/>
      <c r="U14" s="869"/>
    </row>
    <row r="15" spans="2:41" ht="15.75" thickBot="1" x14ac:dyDescent="0.3">
      <c r="B15" s="91" t="s">
        <v>117</v>
      </c>
      <c r="C15" s="92" t="s">
        <v>350</v>
      </c>
      <c r="D15" s="93" t="s">
        <v>351</v>
      </c>
      <c r="E15" s="94" t="s">
        <v>27</v>
      </c>
      <c r="F15" s="95" t="s">
        <v>387</v>
      </c>
      <c r="G15" s="96" t="s">
        <v>388</v>
      </c>
      <c r="H15" s="97" t="s">
        <v>389</v>
      </c>
      <c r="I15" s="857"/>
      <c r="J15" s="873"/>
      <c r="K15" s="846"/>
      <c r="L15" s="846"/>
      <c r="M15" s="846"/>
      <c r="N15" s="867"/>
      <c r="O15" s="870"/>
      <c r="P15" s="873"/>
      <c r="Q15" s="846"/>
      <c r="R15" s="846"/>
      <c r="S15" s="846"/>
      <c r="T15" s="867"/>
      <c r="U15" s="870"/>
    </row>
    <row r="16" spans="2:41" ht="18.75" thickBot="1" x14ac:dyDescent="0.4">
      <c r="B16" s="120" t="s">
        <v>118</v>
      </c>
      <c r="C16" s="42" t="s">
        <v>66</v>
      </c>
      <c r="D16" s="43">
        <v>0.89700000000000002</v>
      </c>
      <c r="E16" s="43" t="s">
        <v>70</v>
      </c>
      <c r="F16" s="44">
        <v>37</v>
      </c>
      <c r="G16" s="45">
        <v>71</v>
      </c>
      <c r="H16" s="46">
        <f>F16/G16</f>
        <v>0.52112676056338025</v>
      </c>
      <c r="I16" s="41">
        <f>0.5*F16</f>
        <v>18.5</v>
      </c>
      <c r="J16" s="131">
        <f>F16</f>
        <v>37</v>
      </c>
      <c r="K16" s="42">
        <f t="shared" ref="K16:K35" si="0">F16+(0.5*G16)</f>
        <v>72.5</v>
      </c>
      <c r="L16" s="42">
        <f t="shared" ref="L16:L35" si="1">F16</f>
        <v>37</v>
      </c>
      <c r="M16" s="70">
        <f t="shared" ref="M16:M35" si="2">J16/K16</f>
        <v>0.51034482758620692</v>
      </c>
      <c r="N16" s="71">
        <f t="shared" ref="N16:N35" si="3">(J16*$D$43)/(K16*$D$42)</f>
        <v>4.5609505595451107</v>
      </c>
      <c r="O16" s="72">
        <f t="shared" ref="O16:O35" si="4">(L16*$D$44)/(K16*$D$42)</f>
        <v>11.142102562172632</v>
      </c>
      <c r="P16" s="41">
        <f t="shared" ref="P16:P35" si="5">2*F16</f>
        <v>74</v>
      </c>
      <c r="Q16" s="42">
        <f t="shared" ref="Q16:Q35" si="6">2*F16+(0.5*G16)</f>
        <v>109.5</v>
      </c>
      <c r="R16" s="42">
        <f t="shared" ref="R16:R35" si="7">F16</f>
        <v>37</v>
      </c>
      <c r="S16" s="70">
        <f>P16/Q16</f>
        <v>0.67579908675799083</v>
      </c>
      <c r="T16" s="71">
        <f t="shared" ref="T16:T35" si="8">(P16*$D$43)/(Q16*$D$42)</f>
        <v>6.0396148962012886</v>
      </c>
      <c r="U16" s="72">
        <f t="shared" ref="U16:U35" si="9">(R16*$D$44)/(Q16*$D$42)</f>
        <v>7.3771911941325641</v>
      </c>
      <c r="Z16" s="136" t="s">
        <v>75</v>
      </c>
      <c r="AA16" s="847" t="s">
        <v>74</v>
      </c>
      <c r="AB16" s="848"/>
      <c r="AC16" s="848"/>
      <c r="AD16" s="848"/>
      <c r="AE16" s="848"/>
      <c r="AF16" s="848"/>
      <c r="AG16" s="848"/>
      <c r="AH16" s="848"/>
      <c r="AI16" s="848"/>
      <c r="AJ16" s="848"/>
      <c r="AK16" s="848"/>
      <c r="AL16" s="848"/>
      <c r="AM16" s="848"/>
      <c r="AN16" s="848"/>
      <c r="AO16" s="849"/>
    </row>
    <row r="17" spans="2:45" ht="18.75" thickBot="1" x14ac:dyDescent="0.4">
      <c r="B17" s="125" t="s">
        <v>119</v>
      </c>
      <c r="C17" s="126" t="s">
        <v>67</v>
      </c>
      <c r="D17" s="127">
        <v>0.91300000000000003</v>
      </c>
      <c r="E17" s="127" t="s">
        <v>70</v>
      </c>
      <c r="F17" s="105">
        <v>51</v>
      </c>
      <c r="G17" s="106">
        <v>98</v>
      </c>
      <c r="H17" s="107">
        <f t="shared" ref="H17:H35" si="10">F17/G17</f>
        <v>0.52040816326530615</v>
      </c>
      <c r="I17" s="105">
        <f t="shared" ref="I17:I35" si="11">0.5*F17</f>
        <v>25.5</v>
      </c>
      <c r="J17" s="183">
        <f t="shared" ref="J17:J35" si="12">F17</f>
        <v>51</v>
      </c>
      <c r="K17" s="126">
        <f t="shared" si="0"/>
        <v>100</v>
      </c>
      <c r="L17" s="126">
        <f t="shared" si="1"/>
        <v>51</v>
      </c>
      <c r="M17" s="184">
        <f t="shared" si="2"/>
        <v>0.51</v>
      </c>
      <c r="N17" s="54">
        <f t="shared" si="3"/>
        <v>4.5578688361940669</v>
      </c>
      <c r="O17" s="55">
        <f t="shared" si="4"/>
        <v>11.134574114495486</v>
      </c>
      <c r="P17" s="105">
        <f t="shared" si="5"/>
        <v>102</v>
      </c>
      <c r="Q17" s="126">
        <f t="shared" si="6"/>
        <v>151</v>
      </c>
      <c r="R17" s="126">
        <f t="shared" si="7"/>
        <v>51</v>
      </c>
      <c r="S17" s="184">
        <f t="shared" ref="S17:S35" si="13">P17/Q17</f>
        <v>0.67549668874172186</v>
      </c>
      <c r="T17" s="54">
        <f t="shared" si="8"/>
        <v>6.0369123658199557</v>
      </c>
      <c r="U17" s="55">
        <f t="shared" si="9"/>
        <v>7.3738901420499907</v>
      </c>
      <c r="Z17" s="57" t="s">
        <v>82</v>
      </c>
      <c r="AA17" s="58"/>
      <c r="AB17" s="58"/>
      <c r="AC17" s="58"/>
      <c r="AD17" s="58"/>
      <c r="AE17" s="58"/>
      <c r="AF17" s="58"/>
      <c r="AG17" s="58"/>
      <c r="AH17" s="58"/>
      <c r="AI17" s="58"/>
      <c r="AJ17" s="58"/>
      <c r="AK17" s="58"/>
      <c r="AL17" s="58"/>
      <c r="AM17" s="58"/>
      <c r="AN17" s="58"/>
      <c r="AO17" s="59"/>
    </row>
    <row r="18" spans="2:45" ht="18.75" thickBot="1" x14ac:dyDescent="0.4">
      <c r="B18" s="121" t="s">
        <v>120</v>
      </c>
      <c r="C18" s="51" t="s">
        <v>67</v>
      </c>
      <c r="D18" s="52">
        <v>0.93</v>
      </c>
      <c r="E18" s="52" t="s">
        <v>70</v>
      </c>
      <c r="F18" s="50">
        <v>38</v>
      </c>
      <c r="G18" s="60">
        <v>71</v>
      </c>
      <c r="H18" s="61">
        <f t="shared" si="10"/>
        <v>0.53521126760563376</v>
      </c>
      <c r="I18" s="50">
        <f t="shared" si="11"/>
        <v>19</v>
      </c>
      <c r="J18" s="56">
        <f t="shared" si="12"/>
        <v>38</v>
      </c>
      <c r="K18" s="51">
        <f t="shared" si="0"/>
        <v>73.5</v>
      </c>
      <c r="L18" s="51">
        <f t="shared" si="1"/>
        <v>38</v>
      </c>
      <c r="M18" s="53">
        <f t="shared" si="2"/>
        <v>0.51700680272108845</v>
      </c>
      <c r="N18" s="54">
        <f t="shared" si="3"/>
        <v>4.6204886161231027</v>
      </c>
      <c r="O18" s="55">
        <f t="shared" si="4"/>
        <v>11.287550122737853</v>
      </c>
      <c r="P18" s="50">
        <f t="shared" si="5"/>
        <v>76</v>
      </c>
      <c r="Q18" s="51">
        <f t="shared" si="6"/>
        <v>111.5</v>
      </c>
      <c r="R18" s="51">
        <f t="shared" si="7"/>
        <v>38</v>
      </c>
      <c r="S18" s="53">
        <f t="shared" si="13"/>
        <v>0.68161434977578472</v>
      </c>
      <c r="T18" s="54">
        <f t="shared" si="8"/>
        <v>6.0915858885210428</v>
      </c>
      <c r="U18" s="55">
        <f t="shared" si="9"/>
        <v>7.4406720540020839</v>
      </c>
      <c r="Z18" s="57" t="s">
        <v>81</v>
      </c>
      <c r="AA18" s="58"/>
      <c r="AB18" s="58"/>
      <c r="AC18" s="58"/>
      <c r="AD18" s="58"/>
      <c r="AE18" s="58"/>
      <c r="AF18" s="58"/>
      <c r="AG18" s="58"/>
      <c r="AH18" s="58"/>
      <c r="AI18" s="58"/>
      <c r="AJ18" s="58"/>
      <c r="AK18" s="58"/>
      <c r="AL18" s="58"/>
      <c r="AM18" s="58"/>
      <c r="AN18" s="58"/>
      <c r="AO18" s="59"/>
    </row>
    <row r="19" spans="2:45" ht="18.75" thickBot="1" x14ac:dyDescent="0.4">
      <c r="B19" s="121" t="s">
        <v>121</v>
      </c>
      <c r="C19" s="51" t="s">
        <v>68</v>
      </c>
      <c r="D19" s="52">
        <v>0.96799999999999997</v>
      </c>
      <c r="E19" s="52" t="s">
        <v>70</v>
      </c>
      <c r="F19" s="50">
        <v>38</v>
      </c>
      <c r="G19" s="60">
        <v>69</v>
      </c>
      <c r="H19" s="61">
        <f t="shared" si="10"/>
        <v>0.55072463768115942</v>
      </c>
      <c r="I19" s="50">
        <f t="shared" si="11"/>
        <v>19</v>
      </c>
      <c r="J19" s="56">
        <f t="shared" si="12"/>
        <v>38</v>
      </c>
      <c r="K19" s="51">
        <f t="shared" si="0"/>
        <v>72.5</v>
      </c>
      <c r="L19" s="51">
        <f t="shared" si="1"/>
        <v>38</v>
      </c>
      <c r="M19" s="53">
        <f t="shared" si="2"/>
        <v>0.52413793103448281</v>
      </c>
      <c r="N19" s="54">
        <f t="shared" si="3"/>
        <v>4.6842194935868706</v>
      </c>
      <c r="O19" s="55">
        <f t="shared" si="4"/>
        <v>11.443240469258377</v>
      </c>
      <c r="P19" s="50">
        <f t="shared" si="5"/>
        <v>76</v>
      </c>
      <c r="Q19" s="51">
        <f t="shared" si="6"/>
        <v>110.5</v>
      </c>
      <c r="R19" s="51">
        <f t="shared" si="7"/>
        <v>38</v>
      </c>
      <c r="S19" s="53">
        <f t="shared" si="13"/>
        <v>0.68778280542986425</v>
      </c>
      <c r="T19" s="54">
        <f t="shared" si="8"/>
        <v>6.146713362625305</v>
      </c>
      <c r="U19" s="55">
        <f t="shared" si="9"/>
        <v>7.5080084526808353</v>
      </c>
      <c r="Z19" s="57" t="s">
        <v>83</v>
      </c>
      <c r="AA19" s="58" t="s">
        <v>143</v>
      </c>
      <c r="AB19" s="58"/>
      <c r="AC19" s="58"/>
      <c r="AD19" s="133" t="s">
        <v>144</v>
      </c>
      <c r="AE19" s="58" t="s">
        <v>142</v>
      </c>
      <c r="AF19" s="58"/>
      <c r="AG19" s="58"/>
      <c r="AH19" s="58"/>
      <c r="AI19" s="58"/>
      <c r="AJ19" s="58"/>
      <c r="AK19" s="58"/>
      <c r="AL19" s="58"/>
      <c r="AM19" s="58"/>
      <c r="AN19" s="58"/>
      <c r="AO19" s="59"/>
    </row>
    <row r="20" spans="2:45" ht="18.75" thickBot="1" x14ac:dyDescent="0.4">
      <c r="B20" s="122" t="s">
        <v>122</v>
      </c>
      <c r="C20" s="63" t="s">
        <v>69</v>
      </c>
      <c r="D20" s="64">
        <v>0.98199999999999998</v>
      </c>
      <c r="E20" s="64" t="s">
        <v>70</v>
      </c>
      <c r="F20" s="62">
        <v>40</v>
      </c>
      <c r="G20" s="65">
        <v>74</v>
      </c>
      <c r="H20" s="66">
        <f t="shared" si="10"/>
        <v>0.54054054054054057</v>
      </c>
      <c r="I20" s="62">
        <f t="shared" si="11"/>
        <v>20</v>
      </c>
      <c r="J20" s="132">
        <f t="shared" si="12"/>
        <v>40</v>
      </c>
      <c r="K20" s="63">
        <f t="shared" si="0"/>
        <v>77</v>
      </c>
      <c r="L20" s="63">
        <f t="shared" si="1"/>
        <v>40</v>
      </c>
      <c r="M20" s="78">
        <f t="shared" si="2"/>
        <v>0.51948051948051943</v>
      </c>
      <c r="N20" s="79">
        <f t="shared" si="3"/>
        <v>4.6425962171571848</v>
      </c>
      <c r="O20" s="80">
        <f t="shared" si="4"/>
        <v>11.34155753959306</v>
      </c>
      <c r="P20" s="62">
        <f t="shared" si="5"/>
        <v>80</v>
      </c>
      <c r="Q20" s="63">
        <f t="shared" si="6"/>
        <v>117</v>
      </c>
      <c r="R20" s="63">
        <f t="shared" si="7"/>
        <v>40</v>
      </c>
      <c r="S20" s="78">
        <f t="shared" si="13"/>
        <v>0.68376068376068377</v>
      </c>
      <c r="T20" s="79">
        <f t="shared" si="8"/>
        <v>6.1107676704462097</v>
      </c>
      <c r="U20" s="80">
        <f t="shared" si="9"/>
        <v>7.4641019705014156</v>
      </c>
    </row>
    <row r="21" spans="2:45" ht="18.75" thickBot="1" x14ac:dyDescent="0.4">
      <c r="B21" s="123" t="s">
        <v>123</v>
      </c>
      <c r="C21" s="42" t="s">
        <v>66</v>
      </c>
      <c r="D21" s="43">
        <v>0.89700000000000002</v>
      </c>
      <c r="E21" s="43" t="s">
        <v>71</v>
      </c>
      <c r="F21" s="44">
        <v>47</v>
      </c>
      <c r="G21" s="45">
        <v>72</v>
      </c>
      <c r="H21" s="46">
        <f t="shared" si="10"/>
        <v>0.65277777777777779</v>
      </c>
      <c r="I21" s="41">
        <f t="shared" si="11"/>
        <v>23.5</v>
      </c>
      <c r="J21" s="131">
        <f t="shared" si="12"/>
        <v>47</v>
      </c>
      <c r="K21" s="42">
        <f t="shared" si="0"/>
        <v>83</v>
      </c>
      <c r="L21" s="42">
        <f t="shared" si="1"/>
        <v>47</v>
      </c>
      <c r="M21" s="70">
        <f t="shared" si="2"/>
        <v>0.5662650602409639</v>
      </c>
      <c r="N21" s="71">
        <f t="shared" si="3"/>
        <v>5.0607095511722449</v>
      </c>
      <c r="O21" s="72">
        <f t="shared" si="4"/>
        <v>12.362980944514241</v>
      </c>
      <c r="P21" s="41">
        <f t="shared" si="5"/>
        <v>94</v>
      </c>
      <c r="Q21" s="42">
        <f t="shared" si="6"/>
        <v>130</v>
      </c>
      <c r="R21" s="42">
        <f t="shared" si="7"/>
        <v>47</v>
      </c>
      <c r="S21" s="70">
        <f t="shared" si="13"/>
        <v>0.72307692307692306</v>
      </c>
      <c r="T21" s="71">
        <f t="shared" si="8"/>
        <v>6.4621368114968663</v>
      </c>
      <c r="U21" s="72">
        <f t="shared" si="9"/>
        <v>7.8932878338052452</v>
      </c>
      <c r="Z21" s="137" t="s">
        <v>76</v>
      </c>
      <c r="AA21" s="138"/>
      <c r="AB21" s="138"/>
      <c r="AC21" s="138"/>
      <c r="AD21" s="138"/>
      <c r="AE21" s="138"/>
      <c r="AF21" s="138"/>
      <c r="AG21" s="138"/>
      <c r="AH21" s="138"/>
      <c r="AI21" s="138"/>
      <c r="AJ21" s="138"/>
      <c r="AK21" s="138"/>
      <c r="AL21" s="138"/>
      <c r="AM21" s="138"/>
      <c r="AN21" s="138"/>
      <c r="AO21" s="138"/>
      <c r="AP21" s="138"/>
      <c r="AQ21" s="138"/>
      <c r="AR21" s="138"/>
      <c r="AS21" s="139"/>
    </row>
    <row r="22" spans="2:45" ht="18.75" thickBot="1" x14ac:dyDescent="0.4">
      <c r="B22" s="121" t="s">
        <v>124</v>
      </c>
      <c r="C22" s="51" t="s">
        <v>67</v>
      </c>
      <c r="D22" s="52">
        <v>0.91300000000000003</v>
      </c>
      <c r="E22" s="52" t="s">
        <v>71</v>
      </c>
      <c r="F22" s="50">
        <v>62</v>
      </c>
      <c r="G22" s="60">
        <v>96</v>
      </c>
      <c r="H22" s="61">
        <f t="shared" si="10"/>
        <v>0.64583333333333337</v>
      </c>
      <c r="I22" s="50">
        <f t="shared" si="11"/>
        <v>31</v>
      </c>
      <c r="J22" s="56">
        <f t="shared" si="12"/>
        <v>62</v>
      </c>
      <c r="K22" s="51">
        <f t="shared" si="0"/>
        <v>110</v>
      </c>
      <c r="L22" s="51">
        <f t="shared" si="1"/>
        <v>62</v>
      </c>
      <c r="M22" s="53">
        <f t="shared" si="2"/>
        <v>0.5636363636363636</v>
      </c>
      <c r="N22" s="54">
        <f t="shared" si="3"/>
        <v>5.0372168956155461</v>
      </c>
      <c r="O22" s="55">
        <f t="shared" si="4"/>
        <v>12.305589930458469</v>
      </c>
      <c r="P22" s="50">
        <f t="shared" si="5"/>
        <v>124</v>
      </c>
      <c r="Q22" s="51">
        <f t="shared" si="6"/>
        <v>172</v>
      </c>
      <c r="R22" s="51">
        <f t="shared" si="7"/>
        <v>62</v>
      </c>
      <c r="S22" s="53">
        <f t="shared" si="13"/>
        <v>0.72093023255813948</v>
      </c>
      <c r="T22" s="54">
        <f t="shared" si="8"/>
        <v>6.4429518432291868</v>
      </c>
      <c r="U22" s="55">
        <f t="shared" si="9"/>
        <v>7.8698540252932068</v>
      </c>
      <c r="Z22" s="73" t="s">
        <v>82</v>
      </c>
      <c r="AA22" s="58">
        <v>1</v>
      </c>
      <c r="AB22" s="58" t="s">
        <v>58</v>
      </c>
      <c r="AC22" s="58" t="s">
        <v>77</v>
      </c>
      <c r="AD22" s="58">
        <v>1</v>
      </c>
      <c r="AE22" s="58" t="s">
        <v>78</v>
      </c>
      <c r="AF22" s="74" t="s">
        <v>79</v>
      </c>
      <c r="AG22" s="58"/>
      <c r="AH22" s="58"/>
      <c r="AI22" s="58">
        <v>1</v>
      </c>
      <c r="AJ22" s="58" t="s">
        <v>58</v>
      </c>
      <c r="AK22" s="58" t="s">
        <v>80</v>
      </c>
      <c r="AL22" s="58"/>
      <c r="AM22" s="58" t="s">
        <v>85</v>
      </c>
      <c r="AN22" s="58">
        <v>0.5</v>
      </c>
      <c r="AO22" s="58" t="s">
        <v>109</v>
      </c>
      <c r="AP22" s="58"/>
      <c r="AQ22" s="58"/>
      <c r="AR22" s="58"/>
      <c r="AS22" s="59"/>
    </row>
    <row r="23" spans="2:45" ht="18.75" thickBot="1" x14ac:dyDescent="0.4">
      <c r="B23" s="121" t="s">
        <v>125</v>
      </c>
      <c r="C23" s="51" t="s">
        <v>67</v>
      </c>
      <c r="D23" s="52">
        <v>0.93</v>
      </c>
      <c r="E23" s="52" t="s">
        <v>71</v>
      </c>
      <c r="F23" s="50">
        <v>66</v>
      </c>
      <c r="G23" s="60">
        <v>100</v>
      </c>
      <c r="H23" s="61">
        <f t="shared" si="10"/>
        <v>0.66</v>
      </c>
      <c r="I23" s="50">
        <f t="shared" si="11"/>
        <v>33</v>
      </c>
      <c r="J23" s="56">
        <f t="shared" si="12"/>
        <v>66</v>
      </c>
      <c r="K23" s="51">
        <f t="shared" si="0"/>
        <v>116</v>
      </c>
      <c r="L23" s="51">
        <f t="shared" si="1"/>
        <v>66</v>
      </c>
      <c r="M23" s="53">
        <f t="shared" si="2"/>
        <v>0.56896551724137934</v>
      </c>
      <c r="N23" s="54">
        <f t="shared" si="3"/>
        <v>5.0848435292225904</v>
      </c>
      <c r="O23" s="55">
        <f t="shared" si="4"/>
        <v>12.421938667287055</v>
      </c>
      <c r="P23" s="50">
        <f t="shared" si="5"/>
        <v>132</v>
      </c>
      <c r="Q23" s="51">
        <f t="shared" si="6"/>
        <v>182</v>
      </c>
      <c r="R23" s="51">
        <f t="shared" si="7"/>
        <v>66</v>
      </c>
      <c r="S23" s="53">
        <f t="shared" si="13"/>
        <v>0.72527472527472525</v>
      </c>
      <c r="T23" s="54">
        <f t="shared" si="8"/>
        <v>6.4817785647233013</v>
      </c>
      <c r="U23" s="55">
        <f t="shared" si="9"/>
        <v>7.9172795901390014</v>
      </c>
      <c r="Z23" s="75" t="s">
        <v>81</v>
      </c>
      <c r="AA23" s="76">
        <v>1</v>
      </c>
      <c r="AB23" s="76" t="s">
        <v>58</v>
      </c>
      <c r="AC23" s="76" t="s">
        <v>77</v>
      </c>
      <c r="AD23" s="76">
        <v>1</v>
      </c>
      <c r="AE23" s="76" t="s">
        <v>78</v>
      </c>
      <c r="AF23" s="76" t="s">
        <v>77</v>
      </c>
      <c r="AG23" s="76">
        <v>1</v>
      </c>
      <c r="AH23" s="76" t="s">
        <v>58</v>
      </c>
      <c r="AI23" s="76" t="s">
        <v>110</v>
      </c>
      <c r="AJ23" s="35" t="s">
        <v>79</v>
      </c>
      <c r="AK23" s="76"/>
      <c r="AL23" s="76"/>
      <c r="AM23" s="76">
        <v>1</v>
      </c>
      <c r="AN23" s="76" t="s">
        <v>58</v>
      </c>
      <c r="AO23" s="76" t="s">
        <v>80</v>
      </c>
      <c r="AP23" s="76" t="s">
        <v>85</v>
      </c>
      <c r="AQ23" s="76">
        <v>1</v>
      </c>
      <c r="AR23" s="76" t="s">
        <v>89</v>
      </c>
      <c r="AS23" s="77" t="s">
        <v>109</v>
      </c>
    </row>
    <row r="24" spans="2:45" ht="18.75" thickBot="1" x14ac:dyDescent="0.4">
      <c r="B24" s="121" t="s">
        <v>126</v>
      </c>
      <c r="C24" s="51" t="s">
        <v>68</v>
      </c>
      <c r="D24" s="52">
        <v>0.96799999999999997</v>
      </c>
      <c r="E24" s="52" t="s">
        <v>71</v>
      </c>
      <c r="F24" s="50">
        <v>60</v>
      </c>
      <c r="G24" s="60">
        <v>89</v>
      </c>
      <c r="H24" s="61">
        <f t="shared" si="10"/>
        <v>0.6741573033707865</v>
      </c>
      <c r="I24" s="50">
        <f t="shared" si="11"/>
        <v>30</v>
      </c>
      <c r="J24" s="56">
        <f t="shared" si="12"/>
        <v>60</v>
      </c>
      <c r="K24" s="51">
        <f t="shared" si="0"/>
        <v>104.5</v>
      </c>
      <c r="L24" s="51">
        <f t="shared" si="1"/>
        <v>60</v>
      </c>
      <c r="M24" s="53">
        <f t="shared" si="2"/>
        <v>0.57416267942583732</v>
      </c>
      <c r="N24" s="54">
        <f t="shared" si="3"/>
        <v>5.1312905558053101</v>
      </c>
      <c r="O24" s="55">
        <f t="shared" si="4"/>
        <v>12.535405701655487</v>
      </c>
      <c r="P24" s="50">
        <f t="shared" si="5"/>
        <v>120</v>
      </c>
      <c r="Q24" s="51">
        <f t="shared" si="6"/>
        <v>164.5</v>
      </c>
      <c r="R24" s="51">
        <f t="shared" si="7"/>
        <v>60</v>
      </c>
      <c r="S24" s="53">
        <f t="shared" si="13"/>
        <v>0.72948328267477203</v>
      </c>
      <c r="T24" s="54">
        <f t="shared" si="8"/>
        <v>6.5193904326037071</v>
      </c>
      <c r="U24" s="55">
        <f t="shared" si="9"/>
        <v>7.9632212512036373</v>
      </c>
    </row>
    <row r="25" spans="2:45" ht="15.75" customHeight="1" thickBot="1" x14ac:dyDescent="0.4">
      <c r="B25" s="124" t="s">
        <v>127</v>
      </c>
      <c r="C25" s="63" t="s">
        <v>69</v>
      </c>
      <c r="D25" s="64">
        <v>0.98199999999999998</v>
      </c>
      <c r="E25" s="64" t="s">
        <v>71</v>
      </c>
      <c r="F25" s="62">
        <v>60</v>
      </c>
      <c r="G25" s="65">
        <v>91</v>
      </c>
      <c r="H25" s="66">
        <f t="shared" si="10"/>
        <v>0.65934065934065933</v>
      </c>
      <c r="I25" s="62">
        <f t="shared" si="11"/>
        <v>30</v>
      </c>
      <c r="J25" s="132">
        <f t="shared" si="12"/>
        <v>60</v>
      </c>
      <c r="K25" s="63">
        <f t="shared" si="0"/>
        <v>105.5</v>
      </c>
      <c r="L25" s="63">
        <f t="shared" si="1"/>
        <v>60</v>
      </c>
      <c r="M25" s="78">
        <f t="shared" si="2"/>
        <v>0.56872037914691942</v>
      </c>
      <c r="N25" s="79">
        <f t="shared" si="3"/>
        <v>5.0826527306318008</v>
      </c>
      <c r="O25" s="80">
        <f t="shared" si="4"/>
        <v>12.416586690265389</v>
      </c>
      <c r="P25" s="62">
        <f t="shared" si="5"/>
        <v>120</v>
      </c>
      <c r="Q25" s="63">
        <f t="shared" si="6"/>
        <v>165.5</v>
      </c>
      <c r="R25" s="63">
        <f t="shared" si="7"/>
        <v>60</v>
      </c>
      <c r="S25" s="78">
        <f t="shared" si="13"/>
        <v>0.7250755287009063</v>
      </c>
      <c r="T25" s="79">
        <f t="shared" si="8"/>
        <v>6.4799983453976422</v>
      </c>
      <c r="U25" s="80">
        <f t="shared" si="9"/>
        <v>7.9151051107129806</v>
      </c>
      <c r="Z25" s="137" t="s">
        <v>87</v>
      </c>
      <c r="AA25" s="138"/>
      <c r="AB25" s="138"/>
      <c r="AC25" s="138"/>
      <c r="AD25" s="138"/>
      <c r="AE25" s="138"/>
      <c r="AF25" s="138"/>
      <c r="AG25" s="138"/>
      <c r="AH25" s="138"/>
      <c r="AI25" s="138"/>
      <c r="AJ25" s="138"/>
      <c r="AK25" s="138"/>
      <c r="AL25" s="138"/>
      <c r="AM25" s="138"/>
      <c r="AN25" s="138"/>
      <c r="AO25" s="138"/>
      <c r="AP25" s="139"/>
    </row>
    <row r="26" spans="2:45" ht="18.75" thickBot="1" x14ac:dyDescent="0.4">
      <c r="B26" s="123" t="s">
        <v>128</v>
      </c>
      <c r="C26" s="42" t="s">
        <v>66</v>
      </c>
      <c r="D26" s="43">
        <v>0.89700000000000002</v>
      </c>
      <c r="E26" s="43" t="s">
        <v>72</v>
      </c>
      <c r="F26" s="44">
        <v>86</v>
      </c>
      <c r="G26" s="45">
        <v>107</v>
      </c>
      <c r="H26" s="46">
        <f t="shared" si="10"/>
        <v>0.80373831775700932</v>
      </c>
      <c r="I26" s="41">
        <f t="shared" si="11"/>
        <v>43</v>
      </c>
      <c r="J26" s="131">
        <f t="shared" si="12"/>
        <v>86</v>
      </c>
      <c r="K26" s="42">
        <f t="shared" si="0"/>
        <v>139.5</v>
      </c>
      <c r="L26" s="42">
        <f t="shared" si="1"/>
        <v>86</v>
      </c>
      <c r="M26" s="70">
        <f t="shared" si="2"/>
        <v>0.61648745519713266</v>
      </c>
      <c r="N26" s="71">
        <f t="shared" si="3"/>
        <v>5.5095469802894055</v>
      </c>
      <c r="O26" s="72">
        <f t="shared" si="4"/>
        <v>13.459461295194489</v>
      </c>
      <c r="P26" s="49">
        <f t="shared" si="5"/>
        <v>172</v>
      </c>
      <c r="Q26" s="47">
        <f t="shared" si="6"/>
        <v>225.5</v>
      </c>
      <c r="R26" s="47">
        <f t="shared" si="7"/>
        <v>86</v>
      </c>
      <c r="S26" s="48">
        <f t="shared" si="13"/>
        <v>0.7627494456762749</v>
      </c>
      <c r="T26" s="71">
        <f t="shared" si="8"/>
        <v>6.8166900554356724</v>
      </c>
      <c r="U26" s="72">
        <f t="shared" si="9"/>
        <v>8.3263629741890508</v>
      </c>
      <c r="Z26" s="73">
        <f>AI22</f>
        <v>1</v>
      </c>
      <c r="AA26" s="58" t="s">
        <v>58</v>
      </c>
      <c r="AB26" s="58" t="s">
        <v>80</v>
      </c>
      <c r="AC26" s="58" t="s">
        <v>85</v>
      </c>
      <c r="AD26" s="58">
        <v>1</v>
      </c>
      <c r="AE26" s="58" t="s">
        <v>58</v>
      </c>
      <c r="AF26" s="58" t="s">
        <v>110</v>
      </c>
      <c r="AG26" s="74" t="s">
        <v>79</v>
      </c>
      <c r="AH26" s="58"/>
      <c r="AI26" s="58"/>
      <c r="AJ26" s="58">
        <v>1</v>
      </c>
      <c r="AK26" s="58" t="s">
        <v>58</v>
      </c>
      <c r="AL26" s="58" t="s">
        <v>111</v>
      </c>
      <c r="AM26" s="58" t="s">
        <v>85</v>
      </c>
      <c r="AN26" s="58">
        <v>1</v>
      </c>
      <c r="AO26" s="58" t="s">
        <v>58</v>
      </c>
      <c r="AP26" s="59" t="s">
        <v>109</v>
      </c>
    </row>
    <row r="27" spans="2:45" ht="18.75" thickBot="1" x14ac:dyDescent="0.4">
      <c r="B27" s="121" t="s">
        <v>129</v>
      </c>
      <c r="C27" s="51" t="s">
        <v>67</v>
      </c>
      <c r="D27" s="52">
        <v>0.91300000000000003</v>
      </c>
      <c r="E27" s="52" t="s">
        <v>72</v>
      </c>
      <c r="F27" s="50">
        <v>163</v>
      </c>
      <c r="G27" s="60">
        <v>199</v>
      </c>
      <c r="H27" s="61">
        <f t="shared" si="10"/>
        <v>0.81909547738693467</v>
      </c>
      <c r="I27" s="50">
        <f t="shared" si="11"/>
        <v>81.5</v>
      </c>
      <c r="J27" s="56">
        <f t="shared" si="12"/>
        <v>163</v>
      </c>
      <c r="K27" s="51">
        <f t="shared" si="0"/>
        <v>262.5</v>
      </c>
      <c r="L27" s="51">
        <f t="shared" si="1"/>
        <v>163</v>
      </c>
      <c r="M27" s="53">
        <f t="shared" si="2"/>
        <v>0.62095238095238092</v>
      </c>
      <c r="N27" s="54">
        <f t="shared" si="3"/>
        <v>5.5494500115752228</v>
      </c>
      <c r="O27" s="55">
        <f t="shared" si="4"/>
        <v>13.55694177899357</v>
      </c>
      <c r="P27" s="56">
        <f t="shared" si="5"/>
        <v>326</v>
      </c>
      <c r="Q27" s="51">
        <f t="shared" si="6"/>
        <v>425.5</v>
      </c>
      <c r="R27" s="51">
        <f t="shared" si="7"/>
        <v>163</v>
      </c>
      <c r="S27" s="53">
        <f t="shared" si="13"/>
        <v>0.76615746180963573</v>
      </c>
      <c r="T27" s="54">
        <f t="shared" si="8"/>
        <v>6.8471474878425198</v>
      </c>
      <c r="U27" s="55">
        <f t="shared" si="9"/>
        <v>8.3635657273462094</v>
      </c>
      <c r="Z27" s="75">
        <f>AM23</f>
        <v>1</v>
      </c>
      <c r="AA27" s="76" t="s">
        <v>58</v>
      </c>
      <c r="AB27" s="76" t="s">
        <v>80</v>
      </c>
      <c r="AC27" s="76" t="s">
        <v>85</v>
      </c>
      <c r="AD27" s="76">
        <v>1</v>
      </c>
      <c r="AE27" s="76" t="s">
        <v>58</v>
      </c>
      <c r="AF27" s="76" t="s">
        <v>110</v>
      </c>
      <c r="AG27" s="35" t="s">
        <v>79</v>
      </c>
      <c r="AH27" s="76"/>
      <c r="AI27" s="76"/>
      <c r="AJ27" s="76">
        <v>1</v>
      </c>
      <c r="AK27" s="76" t="s">
        <v>58</v>
      </c>
      <c r="AL27" s="76" t="s">
        <v>111</v>
      </c>
      <c r="AM27" s="76" t="s">
        <v>85</v>
      </c>
      <c r="AN27" s="76">
        <v>1</v>
      </c>
      <c r="AO27" s="76" t="s">
        <v>58</v>
      </c>
      <c r="AP27" s="59" t="s">
        <v>109</v>
      </c>
    </row>
    <row r="28" spans="2:45" ht="18.75" thickBot="1" x14ac:dyDescent="0.4">
      <c r="B28" s="121" t="s">
        <v>130</v>
      </c>
      <c r="C28" s="51" t="s">
        <v>67</v>
      </c>
      <c r="D28" s="52">
        <v>0.93</v>
      </c>
      <c r="E28" s="52" t="s">
        <v>72</v>
      </c>
      <c r="F28" s="50">
        <v>165</v>
      </c>
      <c r="G28" s="60">
        <v>212</v>
      </c>
      <c r="H28" s="61">
        <f t="shared" si="10"/>
        <v>0.77830188679245282</v>
      </c>
      <c r="I28" s="50">
        <f t="shared" si="11"/>
        <v>82.5</v>
      </c>
      <c r="J28" s="56">
        <f t="shared" si="12"/>
        <v>165</v>
      </c>
      <c r="K28" s="51">
        <f t="shared" si="0"/>
        <v>271</v>
      </c>
      <c r="L28" s="51">
        <f t="shared" si="1"/>
        <v>165</v>
      </c>
      <c r="M28" s="53">
        <f t="shared" si="2"/>
        <v>0.60885608856088558</v>
      </c>
      <c r="N28" s="54">
        <f t="shared" si="3"/>
        <v>5.4413454740758338</v>
      </c>
      <c r="O28" s="55">
        <f t="shared" si="4"/>
        <v>13.292849496358841</v>
      </c>
      <c r="P28" s="56">
        <f t="shared" si="5"/>
        <v>330</v>
      </c>
      <c r="Q28" s="51">
        <f t="shared" si="6"/>
        <v>436</v>
      </c>
      <c r="R28" s="51">
        <f t="shared" si="7"/>
        <v>165</v>
      </c>
      <c r="S28" s="53">
        <f t="shared" si="13"/>
        <v>0.75688073394495414</v>
      </c>
      <c r="T28" s="54">
        <f t="shared" si="8"/>
        <v>6.7642413920850952</v>
      </c>
      <c r="U28" s="55">
        <f t="shared" si="9"/>
        <v>8.2622986548468926</v>
      </c>
    </row>
    <row r="29" spans="2:45" ht="18.75" thickBot="1" x14ac:dyDescent="0.4">
      <c r="B29" s="121" t="s">
        <v>131</v>
      </c>
      <c r="C29" s="51" t="s">
        <v>68</v>
      </c>
      <c r="D29" s="52">
        <v>0.96799999999999997</v>
      </c>
      <c r="E29" s="52" t="s">
        <v>72</v>
      </c>
      <c r="F29" s="50">
        <v>122</v>
      </c>
      <c r="G29" s="60">
        <v>144</v>
      </c>
      <c r="H29" s="61">
        <f t="shared" si="10"/>
        <v>0.84722222222222221</v>
      </c>
      <c r="I29" s="50">
        <f t="shared" si="11"/>
        <v>61</v>
      </c>
      <c r="J29" s="56">
        <f t="shared" si="12"/>
        <v>122</v>
      </c>
      <c r="K29" s="51">
        <f t="shared" si="0"/>
        <v>194</v>
      </c>
      <c r="L29" s="51">
        <f t="shared" si="1"/>
        <v>122</v>
      </c>
      <c r="M29" s="53">
        <f t="shared" si="2"/>
        <v>0.62886597938144329</v>
      </c>
      <c r="N29" s="54">
        <f t="shared" si="3"/>
        <v>5.6201738226771401</v>
      </c>
      <c r="O29" s="55">
        <f t="shared" si="4"/>
        <v>13.729715402955826</v>
      </c>
      <c r="P29" s="56">
        <f t="shared" si="5"/>
        <v>244</v>
      </c>
      <c r="Q29" s="51">
        <f t="shared" si="6"/>
        <v>316</v>
      </c>
      <c r="R29" s="51">
        <f t="shared" si="7"/>
        <v>122</v>
      </c>
      <c r="S29" s="53">
        <f t="shared" si="13"/>
        <v>0.77215189873417722</v>
      </c>
      <c r="T29" s="54">
        <f t="shared" si="8"/>
        <v>6.900719756958007</v>
      </c>
      <c r="U29" s="55">
        <f t="shared" si="9"/>
        <v>8.4290024942197164</v>
      </c>
      <c r="Z29" s="137" t="s">
        <v>86</v>
      </c>
      <c r="AA29" s="138"/>
      <c r="AB29" s="138"/>
      <c r="AC29" s="138"/>
      <c r="AD29" s="138"/>
      <c r="AE29" s="139"/>
    </row>
    <row r="30" spans="2:45" ht="18.75" thickBot="1" x14ac:dyDescent="0.4">
      <c r="B30" s="122" t="s">
        <v>132</v>
      </c>
      <c r="C30" s="63" t="s">
        <v>69</v>
      </c>
      <c r="D30" s="64">
        <v>0.98199999999999998</v>
      </c>
      <c r="E30" s="64" t="s">
        <v>72</v>
      </c>
      <c r="F30" s="62">
        <v>133</v>
      </c>
      <c r="G30" s="65">
        <v>164</v>
      </c>
      <c r="H30" s="66">
        <f t="shared" si="10"/>
        <v>0.81097560975609762</v>
      </c>
      <c r="I30" s="62">
        <f t="shared" si="11"/>
        <v>66.5</v>
      </c>
      <c r="J30" s="132">
        <f t="shared" si="12"/>
        <v>133</v>
      </c>
      <c r="K30" s="63">
        <f t="shared" si="0"/>
        <v>215</v>
      </c>
      <c r="L30" s="63">
        <f t="shared" si="1"/>
        <v>133</v>
      </c>
      <c r="M30" s="78">
        <f t="shared" si="2"/>
        <v>0.61860465116279073</v>
      </c>
      <c r="N30" s="79">
        <f t="shared" si="3"/>
        <v>5.5284683558031089</v>
      </c>
      <c r="O30" s="80">
        <f t="shared" si="4"/>
        <v>13.505684972438667</v>
      </c>
      <c r="P30" s="69">
        <f t="shared" si="5"/>
        <v>266</v>
      </c>
      <c r="Q30" s="67">
        <f t="shared" si="6"/>
        <v>348</v>
      </c>
      <c r="R30" s="67">
        <f t="shared" si="7"/>
        <v>133</v>
      </c>
      <c r="S30" s="68">
        <f t="shared" si="13"/>
        <v>0.76436781609195403</v>
      </c>
      <c r="T30" s="79">
        <f t="shared" si="8"/>
        <v>6.8311534281475188</v>
      </c>
      <c r="U30" s="80">
        <f t="shared" si="9"/>
        <v>8.3440295088342324</v>
      </c>
      <c r="Z30" s="83" t="s">
        <v>137</v>
      </c>
      <c r="AA30" s="81">
        <f>AD26</f>
        <v>1</v>
      </c>
      <c r="AB30" s="81" t="s">
        <v>58</v>
      </c>
      <c r="AC30" s="81"/>
      <c r="AD30" s="81"/>
      <c r="AE30" s="82"/>
    </row>
    <row r="31" spans="2:45" ht="18" x14ac:dyDescent="0.35">
      <c r="B31" s="123" t="s">
        <v>133</v>
      </c>
      <c r="C31" s="42" t="s">
        <v>66</v>
      </c>
      <c r="D31" s="43">
        <v>0.89700000000000002</v>
      </c>
      <c r="E31" s="43" t="s">
        <v>73</v>
      </c>
      <c r="F31" s="44">
        <v>147</v>
      </c>
      <c r="G31" s="45">
        <v>158</v>
      </c>
      <c r="H31" s="46">
        <f t="shared" si="10"/>
        <v>0.930379746835443</v>
      </c>
      <c r="I31" s="41">
        <f t="shared" si="11"/>
        <v>73.5</v>
      </c>
      <c r="J31" s="131">
        <f t="shared" si="12"/>
        <v>147</v>
      </c>
      <c r="K31" s="42">
        <f t="shared" si="0"/>
        <v>226</v>
      </c>
      <c r="L31" s="42">
        <f t="shared" si="1"/>
        <v>147</v>
      </c>
      <c r="M31" s="70">
        <f t="shared" si="2"/>
        <v>0.65044247787610621</v>
      </c>
      <c r="N31" s="71">
        <f t="shared" si="3"/>
        <v>5.8130029404869665</v>
      </c>
      <c r="O31" s="72">
        <f t="shared" si="4"/>
        <v>14.200784268877637</v>
      </c>
      <c r="P31" s="41">
        <f t="shared" si="5"/>
        <v>294</v>
      </c>
      <c r="Q31" s="42">
        <f t="shared" si="6"/>
        <v>373</v>
      </c>
      <c r="R31" s="42">
        <f t="shared" si="7"/>
        <v>147</v>
      </c>
      <c r="S31" s="70">
        <f t="shared" si="13"/>
        <v>0.7882037533512064</v>
      </c>
      <c r="T31" s="71">
        <f t="shared" si="8"/>
        <v>7.0441751450405059</v>
      </c>
      <c r="U31" s="72">
        <f t="shared" si="9"/>
        <v>8.6042285382475754</v>
      </c>
      <c r="Z31" s="86" t="s">
        <v>138</v>
      </c>
      <c r="AA31" s="22">
        <f>AN26</f>
        <v>1</v>
      </c>
      <c r="AB31" s="22" t="s">
        <v>58</v>
      </c>
      <c r="AC31" s="22" t="s">
        <v>85</v>
      </c>
      <c r="AD31" s="22">
        <f>AN22</f>
        <v>0.5</v>
      </c>
      <c r="AE31" s="87" t="s">
        <v>78</v>
      </c>
    </row>
    <row r="32" spans="2:45" ht="18.75" thickBot="1" x14ac:dyDescent="0.4">
      <c r="B32" s="121" t="s">
        <v>134</v>
      </c>
      <c r="C32" s="51" t="s">
        <v>67</v>
      </c>
      <c r="D32" s="52">
        <v>0.91300000000000003</v>
      </c>
      <c r="E32" s="52" t="s">
        <v>73</v>
      </c>
      <c r="F32" s="50">
        <v>264</v>
      </c>
      <c r="G32" s="60">
        <v>333</v>
      </c>
      <c r="H32" s="61">
        <f t="shared" si="10"/>
        <v>0.7927927927927928</v>
      </c>
      <c r="I32" s="50">
        <f t="shared" si="11"/>
        <v>132</v>
      </c>
      <c r="J32" s="56">
        <f t="shared" si="12"/>
        <v>264</v>
      </c>
      <c r="K32" s="51">
        <f t="shared" si="0"/>
        <v>430.5</v>
      </c>
      <c r="L32" s="51">
        <f t="shared" si="1"/>
        <v>264</v>
      </c>
      <c r="M32" s="53">
        <f t="shared" si="2"/>
        <v>0.61324041811846686</v>
      </c>
      <c r="N32" s="54">
        <f t="shared" si="3"/>
        <v>5.4805282173270191</v>
      </c>
      <c r="O32" s="55">
        <f t="shared" si="4"/>
        <v>13.388570363812295</v>
      </c>
      <c r="P32" s="50">
        <f t="shared" si="5"/>
        <v>528</v>
      </c>
      <c r="Q32" s="134">
        <f t="shared" si="6"/>
        <v>694.5</v>
      </c>
      <c r="R32" s="51">
        <f t="shared" si="7"/>
        <v>264</v>
      </c>
      <c r="S32" s="53">
        <f t="shared" si="13"/>
        <v>0.76025917926565878</v>
      </c>
      <c r="T32" s="54">
        <f t="shared" si="8"/>
        <v>6.7944345502067156</v>
      </c>
      <c r="U32" s="55">
        <f t="shared" si="9"/>
        <v>8.2991786056460679</v>
      </c>
      <c r="Z32" s="75" t="s">
        <v>139</v>
      </c>
      <c r="AA32" s="76">
        <f>AJ27</f>
        <v>1</v>
      </c>
      <c r="AB32" s="76" t="s">
        <v>58</v>
      </c>
      <c r="AC32" s="76"/>
      <c r="AD32" s="76"/>
      <c r="AE32" s="77"/>
    </row>
    <row r="33" spans="2:41" ht="18.75" thickBot="1" x14ac:dyDescent="0.4">
      <c r="B33" s="121" t="s">
        <v>135</v>
      </c>
      <c r="C33" s="51" t="s">
        <v>67</v>
      </c>
      <c r="D33" s="52">
        <v>0.93</v>
      </c>
      <c r="E33" s="52" t="s">
        <v>73</v>
      </c>
      <c r="F33" s="50">
        <v>330</v>
      </c>
      <c r="G33" s="60">
        <v>411</v>
      </c>
      <c r="H33" s="61">
        <f t="shared" si="10"/>
        <v>0.8029197080291971</v>
      </c>
      <c r="I33" s="50">
        <f t="shared" si="11"/>
        <v>165</v>
      </c>
      <c r="J33" s="56">
        <f t="shared" si="12"/>
        <v>330</v>
      </c>
      <c r="K33" s="51">
        <f t="shared" si="0"/>
        <v>535.5</v>
      </c>
      <c r="L33" s="51">
        <f t="shared" si="1"/>
        <v>330</v>
      </c>
      <c r="M33" s="53">
        <f t="shared" si="2"/>
        <v>0.61624649859943981</v>
      </c>
      <c r="N33" s="54">
        <f t="shared" si="3"/>
        <v>5.5073935517256807</v>
      </c>
      <c r="O33" s="55">
        <f t="shared" si="4"/>
        <v>13.454200610693727</v>
      </c>
      <c r="P33" s="50">
        <f t="shared" si="5"/>
        <v>660</v>
      </c>
      <c r="Q33" s="51">
        <f t="shared" si="6"/>
        <v>865.5</v>
      </c>
      <c r="R33" s="51">
        <f t="shared" si="7"/>
        <v>330</v>
      </c>
      <c r="S33" s="53">
        <f t="shared" si="13"/>
        <v>0.76256499133448874</v>
      </c>
      <c r="T33" s="54">
        <f t="shared" si="8"/>
        <v>6.815041587404048</v>
      </c>
      <c r="U33" s="55">
        <f t="shared" si="9"/>
        <v>8.3243494246406602</v>
      </c>
    </row>
    <row r="34" spans="2:41" ht="18.75" thickBot="1" x14ac:dyDescent="0.4">
      <c r="B34" s="121" t="s">
        <v>136</v>
      </c>
      <c r="C34" s="51" t="s">
        <v>68</v>
      </c>
      <c r="D34" s="52">
        <v>0.96799999999999997</v>
      </c>
      <c r="E34" s="52" t="s">
        <v>73</v>
      </c>
      <c r="F34" s="50">
        <v>199</v>
      </c>
      <c r="G34" s="60">
        <v>218</v>
      </c>
      <c r="H34" s="61">
        <f t="shared" si="10"/>
        <v>0.91284403669724767</v>
      </c>
      <c r="I34" s="50">
        <f t="shared" si="11"/>
        <v>99.5</v>
      </c>
      <c r="J34" s="56">
        <f t="shared" si="12"/>
        <v>199</v>
      </c>
      <c r="K34" s="51">
        <f t="shared" si="0"/>
        <v>308</v>
      </c>
      <c r="L34" s="51">
        <f t="shared" si="1"/>
        <v>199</v>
      </c>
      <c r="M34" s="53">
        <f t="shared" si="2"/>
        <v>0.64610389610389607</v>
      </c>
      <c r="N34" s="54">
        <f t="shared" si="3"/>
        <v>5.7742290450892497</v>
      </c>
      <c r="O34" s="55">
        <f t="shared" si="4"/>
        <v>14.106062189868867</v>
      </c>
      <c r="P34" s="50">
        <f t="shared" si="5"/>
        <v>398</v>
      </c>
      <c r="Q34" s="51">
        <f t="shared" si="6"/>
        <v>507</v>
      </c>
      <c r="R34" s="51">
        <f t="shared" si="7"/>
        <v>199</v>
      </c>
      <c r="S34" s="53">
        <f t="shared" si="13"/>
        <v>0.78500986193293887</v>
      </c>
      <c r="T34" s="54">
        <f t="shared" si="8"/>
        <v>7.0156313447238219</v>
      </c>
      <c r="U34" s="55">
        <f t="shared" si="9"/>
        <v>8.569363223825663</v>
      </c>
      <c r="Z34" s="137" t="s">
        <v>90</v>
      </c>
      <c r="AA34" s="138"/>
      <c r="AB34" s="138"/>
      <c r="AC34" s="138"/>
      <c r="AD34" s="138"/>
      <c r="AE34" s="139"/>
    </row>
    <row r="35" spans="2:41" ht="18.75" thickBot="1" x14ac:dyDescent="0.4">
      <c r="B35" s="128" t="s">
        <v>141</v>
      </c>
      <c r="C35" s="129" t="s">
        <v>69</v>
      </c>
      <c r="D35" s="130">
        <v>0.98199999999999998</v>
      </c>
      <c r="E35" s="130" t="s">
        <v>73</v>
      </c>
      <c r="F35" s="108">
        <v>226</v>
      </c>
      <c r="G35" s="109">
        <v>241</v>
      </c>
      <c r="H35" s="110">
        <f t="shared" si="10"/>
        <v>0.93775933609958506</v>
      </c>
      <c r="I35" s="108">
        <f t="shared" si="11"/>
        <v>113</v>
      </c>
      <c r="J35" s="185">
        <f t="shared" si="12"/>
        <v>226</v>
      </c>
      <c r="K35" s="129">
        <f t="shared" si="0"/>
        <v>346.5</v>
      </c>
      <c r="L35" s="129">
        <f t="shared" si="1"/>
        <v>226</v>
      </c>
      <c r="M35" s="186">
        <f t="shared" si="2"/>
        <v>0.65223665223665228</v>
      </c>
      <c r="N35" s="79">
        <f t="shared" si="3"/>
        <v>5.8290374726529111</v>
      </c>
      <c r="O35" s="80">
        <f t="shared" si="4"/>
        <v>14.239955577489063</v>
      </c>
      <c r="P35" s="191">
        <f t="shared" si="5"/>
        <v>452</v>
      </c>
      <c r="Q35" s="192">
        <f t="shared" si="6"/>
        <v>572.5</v>
      </c>
      <c r="R35" s="192">
        <f t="shared" si="7"/>
        <v>226</v>
      </c>
      <c r="S35" s="193">
        <f t="shared" si="13"/>
        <v>0.78951965065502183</v>
      </c>
      <c r="T35" s="194">
        <f t="shared" si="8"/>
        <v>7.0559353162418637</v>
      </c>
      <c r="U35" s="195">
        <f t="shared" si="9"/>
        <v>8.6185932010479664</v>
      </c>
      <c r="Z35" s="83" t="s">
        <v>137</v>
      </c>
      <c r="AA35" s="84">
        <f>AG23+AD27</f>
        <v>2</v>
      </c>
      <c r="AB35" s="84" t="s">
        <v>58</v>
      </c>
      <c r="AC35" s="84"/>
      <c r="AD35" s="84"/>
      <c r="AE35" s="85"/>
    </row>
    <row r="36" spans="2:41" ht="18.75" thickBot="1" x14ac:dyDescent="0.4">
      <c r="B36" s="18" t="s">
        <v>391</v>
      </c>
      <c r="J36" s="427" t="s">
        <v>905</v>
      </c>
      <c r="K36" s="428" t="s">
        <v>906</v>
      </c>
      <c r="L36" s="428" t="s">
        <v>907</v>
      </c>
      <c r="M36" s="429" t="s">
        <v>908</v>
      </c>
      <c r="N36" s="429" t="s">
        <v>909</v>
      </c>
      <c r="O36" s="430" t="s">
        <v>910</v>
      </c>
      <c r="P36" s="505" t="s">
        <v>911</v>
      </c>
      <c r="Q36" s="428" t="s">
        <v>912</v>
      </c>
      <c r="R36" s="428" t="s">
        <v>913</v>
      </c>
      <c r="S36" s="429" t="s">
        <v>914</v>
      </c>
      <c r="T36" s="429" t="s">
        <v>915</v>
      </c>
      <c r="U36" s="430" t="s">
        <v>916</v>
      </c>
      <c r="Z36" s="86" t="s">
        <v>138</v>
      </c>
      <c r="AA36" s="22">
        <f>AQ23+AN27</f>
        <v>2</v>
      </c>
      <c r="AB36" s="22" t="s">
        <v>58</v>
      </c>
      <c r="AC36" s="22" t="s">
        <v>85</v>
      </c>
      <c r="AD36" s="22">
        <v>0.5</v>
      </c>
      <c r="AE36" s="87" t="s">
        <v>78</v>
      </c>
      <c r="AK36" s="18" t="s">
        <v>96</v>
      </c>
      <c r="AO36" s="88">
        <f>MIN(H16:H35)</f>
        <v>0.52040816326530615</v>
      </c>
    </row>
    <row r="37" spans="2:41" ht="18.75" thickBot="1" x14ac:dyDescent="0.4">
      <c r="B37" s="32" t="s">
        <v>37</v>
      </c>
      <c r="C37" s="33" t="s">
        <v>26</v>
      </c>
      <c r="Z37" s="75" t="s">
        <v>139</v>
      </c>
      <c r="AA37" s="76">
        <f>AJ27</f>
        <v>1</v>
      </c>
      <c r="AB37" s="76" t="s">
        <v>58</v>
      </c>
      <c r="AC37" s="76"/>
      <c r="AD37" s="76"/>
      <c r="AE37" s="77"/>
      <c r="AK37" s="18" t="s">
        <v>97</v>
      </c>
      <c r="AO37" s="88">
        <f>MAX(H16:H35)</f>
        <v>0.93775933609958506</v>
      </c>
    </row>
    <row r="38" spans="2:41" x14ac:dyDescent="0.25">
      <c r="B38" s="16" t="s">
        <v>58</v>
      </c>
      <c r="C38" s="16" t="s">
        <v>30</v>
      </c>
      <c r="D38" s="17" t="s">
        <v>392</v>
      </c>
      <c r="F38" s="25"/>
      <c r="G38" s="25"/>
    </row>
    <row r="39" spans="2:41" x14ac:dyDescent="0.25">
      <c r="B39" s="506" t="s">
        <v>31</v>
      </c>
      <c r="C39" s="3" t="s">
        <v>23</v>
      </c>
      <c r="D39" s="27">
        <v>1.0079</v>
      </c>
      <c r="F39" s="25"/>
      <c r="G39" s="25"/>
    </row>
    <row r="40" spans="2:41" x14ac:dyDescent="0.25">
      <c r="B40" s="506" t="s">
        <v>32</v>
      </c>
      <c r="C40" s="3" t="s">
        <v>24</v>
      </c>
      <c r="D40" s="27">
        <v>15.9994</v>
      </c>
      <c r="F40" s="25"/>
      <c r="G40" s="25"/>
      <c r="N40" s="18"/>
      <c r="Z40" s="19" t="s">
        <v>104</v>
      </c>
      <c r="AA40" s="18" t="s">
        <v>101</v>
      </c>
      <c r="AD40" s="25"/>
      <c r="AE40" s="90">
        <f>(D8/D3)-1</f>
        <v>0.32450331125827803</v>
      </c>
      <c r="AF40" s="18" t="s">
        <v>102</v>
      </c>
    </row>
    <row r="41" spans="2:41" ht="15.75" thickBot="1" x14ac:dyDescent="0.3">
      <c r="B41" s="507" t="s">
        <v>33</v>
      </c>
      <c r="C41" s="29" t="s">
        <v>25</v>
      </c>
      <c r="D41" s="30">
        <v>12.011150000000001</v>
      </c>
      <c r="F41" s="25"/>
      <c r="G41" s="25"/>
      <c r="N41" s="18"/>
      <c r="AD41" s="25"/>
      <c r="AE41" s="90">
        <f>(D5/D10)-1</f>
        <v>0.51</v>
      </c>
      <c r="AF41" s="18" t="s">
        <v>103</v>
      </c>
    </row>
    <row r="42" spans="2:41" ht="18.75" thickTop="1" x14ac:dyDescent="0.25">
      <c r="B42" s="506" t="s">
        <v>34</v>
      </c>
      <c r="C42" s="3" t="s">
        <v>55</v>
      </c>
      <c r="D42" s="27">
        <f>2*D39</f>
        <v>2.0158</v>
      </c>
      <c r="N42" s="18"/>
      <c r="Z42" s="19" t="s">
        <v>105</v>
      </c>
      <c r="AA42" s="18" t="s">
        <v>101</v>
      </c>
      <c r="AD42" s="25"/>
      <c r="AE42" s="90">
        <f>(D9/D4)-1</f>
        <v>0.21048034934497806</v>
      </c>
      <c r="AF42" s="18" t="s">
        <v>106</v>
      </c>
    </row>
    <row r="43" spans="2:41" ht="18" x14ac:dyDescent="0.25">
      <c r="B43" s="506" t="s">
        <v>35</v>
      </c>
      <c r="C43" s="3" t="s">
        <v>56</v>
      </c>
      <c r="D43" s="27">
        <f>2*D39+D40</f>
        <v>18.0152</v>
      </c>
      <c r="N43" s="18"/>
      <c r="AD43" s="25"/>
      <c r="AE43" s="90">
        <f>(D6/D11)-1</f>
        <v>0.65223665223665206</v>
      </c>
      <c r="AF43" s="18" t="s">
        <v>103</v>
      </c>
    </row>
    <row r="44" spans="2:41" ht="18" x14ac:dyDescent="0.25">
      <c r="B44" s="508" t="s">
        <v>36</v>
      </c>
      <c r="C44" s="207" t="s">
        <v>57</v>
      </c>
      <c r="D44" s="208">
        <f>D41+2*D40</f>
        <v>44.009950000000003</v>
      </c>
      <c r="N44" s="18"/>
    </row>
    <row r="45" spans="2:41" x14ac:dyDescent="0.25">
      <c r="N45" s="18"/>
      <c r="Z45" s="89" t="s">
        <v>98</v>
      </c>
    </row>
    <row r="46" spans="2:41" x14ac:dyDescent="0.25">
      <c r="Z46" s="89" t="s">
        <v>99</v>
      </c>
    </row>
    <row r="47" spans="2:41" x14ac:dyDescent="0.25">
      <c r="Z47" s="89" t="s">
        <v>100</v>
      </c>
    </row>
  </sheetData>
  <mergeCells count="27">
    <mergeCell ref="B7:C7"/>
    <mergeCell ref="N3:N15"/>
    <mergeCell ref="O3:O15"/>
    <mergeCell ref="U3:U15"/>
    <mergeCell ref="T3:T15"/>
    <mergeCell ref="S3:S15"/>
    <mergeCell ref="R3:R15"/>
    <mergeCell ref="Q3:Q15"/>
    <mergeCell ref="P3:P15"/>
    <mergeCell ref="M3:M15"/>
    <mergeCell ref="J3:J15"/>
    <mergeCell ref="I2:O2"/>
    <mergeCell ref="K3:K15"/>
    <mergeCell ref="L3:L15"/>
    <mergeCell ref="AA16:AO16"/>
    <mergeCell ref="B10:C10"/>
    <mergeCell ref="B11:C11"/>
    <mergeCell ref="F14:G14"/>
    <mergeCell ref="B3:C3"/>
    <mergeCell ref="B4:C4"/>
    <mergeCell ref="B5:C5"/>
    <mergeCell ref="B8:C8"/>
    <mergeCell ref="B9:C9"/>
    <mergeCell ref="I3:I15"/>
    <mergeCell ref="P2:U2"/>
    <mergeCell ref="B6:C6"/>
    <mergeCell ref="B2:C2"/>
  </mergeCells>
  <phoneticPr fontId="10" type="noConversion"/>
  <conditionalFormatting sqref="C39">
    <cfRule type="dataBar" priority="43">
      <dataBar>
        <cfvo type="min"/>
        <cfvo type="max"/>
        <color theme="0" tint="-0.499984740745262"/>
      </dataBar>
      <extLst>
        <ext xmlns:x14="http://schemas.microsoft.com/office/spreadsheetml/2009/9/main" uri="{B025F937-C7B1-47D3-B67F-A62EFF666E3E}">
          <x14:id>{60D64ADC-BDF9-4E4A-8A0E-6D5048862B3D}</x14:id>
        </ext>
      </extLst>
    </cfRule>
  </conditionalFormatting>
  <conditionalFormatting sqref="D3:D4 D8:D9">
    <cfRule type="dataBar" priority="35">
      <dataBar>
        <cfvo type="min"/>
        <cfvo type="max"/>
        <color rgb="FF638EC6"/>
      </dataBar>
      <extLst>
        <ext xmlns:x14="http://schemas.microsoft.com/office/spreadsheetml/2009/9/main" uri="{B025F937-C7B1-47D3-B67F-A62EFF666E3E}">
          <x14:id>{E5DCC65C-0AC1-4D9A-BAA9-DD306F90822F}</x14:id>
        </ext>
      </extLst>
    </cfRule>
  </conditionalFormatting>
  <conditionalFormatting sqref="D5:D6 D10:D11">
    <cfRule type="dataBar" priority="34">
      <dataBar>
        <cfvo type="min"/>
        <cfvo type="max"/>
        <color rgb="FFFFB628"/>
      </dataBar>
      <extLst>
        <ext xmlns:x14="http://schemas.microsoft.com/office/spreadsheetml/2009/9/main" uri="{B025F937-C7B1-47D3-B67F-A62EFF666E3E}">
          <x14:id>{404B6C79-2171-4F1D-8C1C-114D905395EB}</x14:id>
        </ext>
      </extLst>
    </cfRule>
  </conditionalFormatting>
  <conditionalFormatting sqref="G3:G6 G8:G11">
    <cfRule type="colorScale" priority="46">
      <colorScale>
        <cfvo type="min"/>
        <cfvo type="max"/>
        <color rgb="FFBEE4C8"/>
        <color rgb="FFFFF7CD"/>
      </colorScale>
    </cfRule>
  </conditionalFormatting>
  <conditionalFormatting sqref="N16:N35">
    <cfRule type="top10" priority="11" bottom="1" rank="1"/>
    <cfRule type="dataBar" priority="39">
      <dataBar>
        <cfvo type="min"/>
        <cfvo type="max"/>
        <color rgb="FF638EC6"/>
      </dataBar>
      <extLst>
        <ext xmlns:x14="http://schemas.microsoft.com/office/spreadsheetml/2009/9/main" uri="{B025F937-C7B1-47D3-B67F-A62EFF666E3E}">
          <x14:id>{8A863405-F6D1-446C-B6E6-FAC89BF31FFD}</x14:id>
        </ext>
      </extLst>
    </cfRule>
  </conditionalFormatting>
  <conditionalFormatting sqref="O16:O35">
    <cfRule type="dataBar" priority="37">
      <dataBar>
        <cfvo type="min"/>
        <cfvo type="max"/>
        <color rgb="FFFFB628"/>
      </dataBar>
      <extLst>
        <ext xmlns:x14="http://schemas.microsoft.com/office/spreadsheetml/2009/9/main" uri="{B025F937-C7B1-47D3-B67F-A62EFF666E3E}">
          <x14:id>{3357CF07-76E3-4A9F-A879-BB9112E6FC74}</x14:id>
        </ext>
      </extLst>
    </cfRule>
  </conditionalFormatting>
  <conditionalFormatting sqref="T16:T35">
    <cfRule type="top10" priority="7" bottom="1" rank="1"/>
    <cfRule type="dataBar" priority="9">
      <dataBar>
        <cfvo type="min"/>
        <cfvo type="max"/>
        <color rgb="FF638EC6"/>
      </dataBar>
      <extLst>
        <ext xmlns:x14="http://schemas.microsoft.com/office/spreadsheetml/2009/9/main" uri="{B025F937-C7B1-47D3-B67F-A62EFF666E3E}">
          <x14:id>{110A5C05-C5F9-46AC-B5F6-3B5A06FA57D4}</x14:id>
        </ext>
      </extLst>
    </cfRule>
  </conditionalFormatting>
  <conditionalFormatting sqref="U16:U35">
    <cfRule type="dataBar" priority="3">
      <dataBar>
        <cfvo type="min"/>
        <cfvo type="max"/>
        <color rgb="FFFFB628"/>
      </dataBar>
      <extLst>
        <ext xmlns:x14="http://schemas.microsoft.com/office/spreadsheetml/2009/9/main" uri="{B025F937-C7B1-47D3-B67F-A62EFF666E3E}">
          <x14:id>{2F475473-8068-4C0D-B999-64088659858C}</x14:id>
        </ext>
      </extLst>
    </cfRule>
  </conditionalFormatting>
  <hyperlinks>
    <hyperlink ref="C37" r:id="rId1" xr:uid="{5C59FDD3-5F8E-4DFC-A905-E1324748E952}"/>
  </hyperlinks>
  <pageMargins left="0.25" right="0.25" top="0.75" bottom="0.75" header="0.3" footer="0.3"/>
  <pageSetup paperSize="8" scale="46" orientation="landscape" r:id="rId2"/>
  <drawing r:id="rId3"/>
  <extLst>
    <ext xmlns:x14="http://schemas.microsoft.com/office/spreadsheetml/2009/9/main" uri="{78C0D931-6437-407d-A8EE-F0AAD7539E65}">
      <x14:conditionalFormattings>
        <x14:conditionalFormatting xmlns:xm="http://schemas.microsoft.com/office/excel/2006/main">
          <x14:cfRule type="dataBar" id="{60D64ADC-BDF9-4E4A-8A0E-6D5048862B3D}">
            <x14:dataBar minLength="0" maxLength="100" border="1" negativeBarBorderColorSameAsPositive="0">
              <x14:cfvo type="autoMin"/>
              <x14:cfvo type="autoMax"/>
              <x14:borderColor theme="0" tint="-4.9989318521683403E-2"/>
              <x14:negativeFillColor rgb="FFFF0000"/>
              <x14:negativeBorderColor rgb="FFFF0000"/>
              <x14:axisColor rgb="FF000000"/>
            </x14:dataBar>
          </x14:cfRule>
          <xm:sqref>C39</xm:sqref>
        </x14:conditionalFormatting>
        <x14:conditionalFormatting xmlns:xm="http://schemas.microsoft.com/office/excel/2006/main">
          <x14:cfRule type="dataBar" id="{E5DCC65C-0AC1-4D9A-BAA9-DD306F90822F}">
            <x14:dataBar minLength="0" maxLength="100" border="1" negativeBarBorderColorSameAsPositive="0">
              <x14:cfvo type="autoMin"/>
              <x14:cfvo type="autoMax"/>
              <x14:borderColor rgb="FF638EC6"/>
              <x14:negativeFillColor rgb="FFFF0000"/>
              <x14:negativeBorderColor rgb="FFFF0000"/>
              <x14:axisColor rgb="FF000000"/>
            </x14:dataBar>
          </x14:cfRule>
          <xm:sqref>D3:D4 D8:D9</xm:sqref>
        </x14:conditionalFormatting>
        <x14:conditionalFormatting xmlns:xm="http://schemas.microsoft.com/office/excel/2006/main">
          <x14:cfRule type="dataBar" id="{404B6C79-2171-4F1D-8C1C-114D905395EB}">
            <x14:dataBar minLength="0" maxLength="100" border="1" negativeBarBorderColorSameAsPositive="0">
              <x14:cfvo type="autoMin"/>
              <x14:cfvo type="autoMax"/>
              <x14:borderColor rgb="FFFFB628"/>
              <x14:negativeFillColor rgb="FFFF0000"/>
              <x14:negativeBorderColor rgb="FFFF0000"/>
              <x14:axisColor rgb="FF000000"/>
            </x14:dataBar>
          </x14:cfRule>
          <xm:sqref>D5:D6 D10:D11</xm:sqref>
        </x14:conditionalFormatting>
        <x14:conditionalFormatting xmlns:xm="http://schemas.microsoft.com/office/excel/2006/main">
          <x14:cfRule type="dataBar" id="{8A863405-F6D1-446C-B6E6-FAC89BF31FFD}">
            <x14:dataBar minLength="0" maxLength="100" border="1" negativeBarBorderColorSameAsPositive="0">
              <x14:cfvo type="autoMin"/>
              <x14:cfvo type="autoMax"/>
              <x14:borderColor rgb="FF638EC6"/>
              <x14:negativeFillColor rgb="FFFF0000"/>
              <x14:negativeBorderColor rgb="FFFF0000"/>
              <x14:axisColor rgb="FF000000"/>
            </x14:dataBar>
          </x14:cfRule>
          <xm:sqref>N16:N35</xm:sqref>
        </x14:conditionalFormatting>
        <x14:conditionalFormatting xmlns:xm="http://schemas.microsoft.com/office/excel/2006/main">
          <x14:cfRule type="dataBar" id="{3357CF07-76E3-4A9F-A879-BB9112E6FC74}">
            <x14:dataBar minLength="0" maxLength="100" border="1" negativeBarBorderColorSameAsPositive="0">
              <x14:cfvo type="autoMin"/>
              <x14:cfvo type="autoMax"/>
              <x14:borderColor rgb="FFFFB628"/>
              <x14:negativeFillColor rgb="FFFF0000"/>
              <x14:negativeBorderColor rgb="FFFF0000"/>
              <x14:axisColor rgb="FF000000"/>
            </x14:dataBar>
          </x14:cfRule>
          <xm:sqref>O16:O35</xm:sqref>
        </x14:conditionalFormatting>
        <x14:conditionalFormatting xmlns:xm="http://schemas.microsoft.com/office/excel/2006/main">
          <x14:cfRule type="dataBar" id="{110A5C05-C5F9-46AC-B5F6-3B5A06FA57D4}">
            <x14:dataBar minLength="0" maxLength="100" border="1" negativeBarBorderColorSameAsPositive="0">
              <x14:cfvo type="autoMin"/>
              <x14:cfvo type="autoMax"/>
              <x14:borderColor rgb="FF638EC6"/>
              <x14:negativeFillColor rgb="FFFF0000"/>
              <x14:negativeBorderColor rgb="FFFF0000"/>
              <x14:axisColor rgb="FF000000"/>
            </x14:dataBar>
          </x14:cfRule>
          <xm:sqref>T16:T35</xm:sqref>
        </x14:conditionalFormatting>
        <x14:conditionalFormatting xmlns:xm="http://schemas.microsoft.com/office/excel/2006/main">
          <x14:cfRule type="dataBar" id="{2F475473-8068-4C0D-B999-64088659858C}">
            <x14:dataBar minLength="0" maxLength="100" border="1" negativeBarBorderColorSameAsPositive="0">
              <x14:cfvo type="autoMin"/>
              <x14:cfvo type="autoMax"/>
              <x14:borderColor rgb="FFFFB628"/>
              <x14:negativeFillColor rgb="FFFF0000"/>
              <x14:negativeBorderColor rgb="FFFF0000"/>
              <x14:axisColor rgb="FF000000"/>
            </x14:dataBar>
          </x14:cfRule>
          <xm:sqref>U16:U35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B0302-C0F4-4B9B-BFB5-A0B185008AFC}">
  <sheetPr>
    <pageSetUpPr fitToPage="1"/>
  </sheetPr>
  <dimension ref="B1:AG82"/>
  <sheetViews>
    <sheetView zoomScale="85" zoomScaleNormal="85" workbookViewId="0">
      <selection activeCell="R9" sqref="R9"/>
    </sheetView>
  </sheetViews>
  <sheetFormatPr baseColWidth="10" defaultRowHeight="15" x14ac:dyDescent="0.25"/>
  <cols>
    <col min="1" max="1" width="3" style="18" customWidth="1"/>
    <col min="2" max="2" width="21.28515625" style="36" bestFit="1" customWidth="1"/>
    <col min="3" max="3" width="44.7109375" style="18" customWidth="1"/>
    <col min="4" max="4" width="18.7109375" style="18" bestFit="1" customWidth="1"/>
    <col min="5" max="7" width="2.85546875" style="18" customWidth="1"/>
    <col min="8" max="11" width="8" style="18" customWidth="1"/>
    <col min="12" max="13" width="12.28515625" style="18" customWidth="1"/>
    <col min="14" max="14" width="18.7109375" style="18" customWidth="1"/>
    <col min="15" max="15" width="20.5703125" style="18" customWidth="1"/>
    <col min="16" max="16" width="3" style="18" customWidth="1"/>
    <col min="17" max="17" width="33.42578125" style="18" customWidth="1"/>
    <col min="18" max="18" width="25.140625" style="18" bestFit="1" customWidth="1"/>
    <col min="19" max="19" width="15.7109375" style="18" bestFit="1" customWidth="1"/>
    <col min="20" max="21" width="15.7109375" style="18" customWidth="1"/>
    <col min="22" max="22" width="18.28515625" style="18" bestFit="1" customWidth="1"/>
    <col min="23" max="29" width="15.7109375" style="18" customWidth="1"/>
    <col min="30" max="30" width="3" style="18" customWidth="1"/>
    <col min="31" max="31" width="51" style="18" customWidth="1"/>
    <col min="32" max="32" width="29.7109375" style="18" bestFit="1" customWidth="1"/>
    <col min="33" max="33" width="30.7109375" style="18" bestFit="1" customWidth="1"/>
    <col min="34" max="16384" width="11.42578125" style="18"/>
  </cols>
  <sheetData>
    <row r="1" spans="2:33" ht="18" customHeight="1" x14ac:dyDescent="0.25"/>
    <row r="2" spans="2:33" ht="15.75" thickBot="1" x14ac:dyDescent="0.3"/>
    <row r="3" spans="2:33" ht="18" customHeight="1" x14ac:dyDescent="0.25">
      <c r="B3" s="38" t="s">
        <v>58</v>
      </c>
      <c r="C3" s="16" t="s">
        <v>30</v>
      </c>
      <c r="D3" s="17" t="s">
        <v>392</v>
      </c>
      <c r="H3" s="899" t="s">
        <v>50</v>
      </c>
      <c r="I3" s="879" t="s">
        <v>63</v>
      </c>
      <c r="J3" s="879" t="s">
        <v>51</v>
      </c>
      <c r="K3" s="879" t="s">
        <v>52</v>
      </c>
      <c r="L3" s="879" t="s">
        <v>22</v>
      </c>
      <c r="M3" s="879" t="s">
        <v>523</v>
      </c>
      <c r="N3" s="879" t="s">
        <v>53</v>
      </c>
      <c r="O3" s="890" t="s">
        <v>54</v>
      </c>
    </row>
    <row r="4" spans="2:33" x14ac:dyDescent="0.25">
      <c r="B4" s="431" t="s">
        <v>31</v>
      </c>
      <c r="C4" s="3" t="s">
        <v>23</v>
      </c>
      <c r="D4" s="188">
        <v>1.0079</v>
      </c>
      <c r="E4" s="27"/>
      <c r="F4" s="27"/>
      <c r="G4" s="27"/>
      <c r="H4" s="900"/>
      <c r="I4" s="880"/>
      <c r="J4" s="880"/>
      <c r="K4" s="880"/>
      <c r="L4" s="880"/>
      <c r="M4" s="880"/>
      <c r="N4" s="880"/>
      <c r="O4" s="891"/>
    </row>
    <row r="5" spans="2:33" x14ac:dyDescent="0.25">
      <c r="B5" s="431" t="s">
        <v>32</v>
      </c>
      <c r="C5" s="3" t="s">
        <v>24</v>
      </c>
      <c r="D5" s="188">
        <v>15.9994</v>
      </c>
      <c r="E5" s="27"/>
      <c r="F5" s="27"/>
      <c r="G5" s="27"/>
      <c r="H5" s="900"/>
      <c r="I5" s="880"/>
      <c r="J5" s="880"/>
      <c r="K5" s="880"/>
      <c r="L5" s="880"/>
      <c r="M5" s="880"/>
      <c r="N5" s="880"/>
      <c r="O5" s="891"/>
    </row>
    <row r="6" spans="2:33" ht="15.75" thickBot="1" x14ac:dyDescent="0.3">
      <c r="B6" s="432" t="s">
        <v>33</v>
      </c>
      <c r="C6" s="29" t="s">
        <v>25</v>
      </c>
      <c r="D6" s="189">
        <v>12.011150000000001</v>
      </c>
      <c r="E6" s="27"/>
      <c r="F6" s="27"/>
      <c r="G6" s="27"/>
      <c r="H6" s="900"/>
      <c r="I6" s="880"/>
      <c r="J6" s="880"/>
      <c r="K6" s="880"/>
      <c r="L6" s="880"/>
      <c r="M6" s="880"/>
      <c r="N6" s="880"/>
      <c r="O6" s="891"/>
    </row>
    <row r="7" spans="2:33" ht="18.75" thickTop="1" x14ac:dyDescent="0.25">
      <c r="B7" s="431" t="s">
        <v>34</v>
      </c>
      <c r="C7" s="3" t="s">
        <v>55</v>
      </c>
      <c r="D7" s="188">
        <f>2*D4</f>
        <v>2.0158</v>
      </c>
      <c r="E7" s="23"/>
      <c r="F7" s="23"/>
      <c r="G7" s="23"/>
      <c r="H7" s="900"/>
      <c r="I7" s="880"/>
      <c r="J7" s="880"/>
      <c r="K7" s="880"/>
      <c r="L7" s="880"/>
      <c r="M7" s="880"/>
      <c r="N7" s="880"/>
      <c r="O7" s="891"/>
    </row>
    <row r="8" spans="2:33" ht="18" x14ac:dyDescent="0.25">
      <c r="B8" s="431" t="s">
        <v>35</v>
      </c>
      <c r="C8" s="3" t="s">
        <v>56</v>
      </c>
      <c r="D8" s="188">
        <f>2*D4+D5</f>
        <v>18.0152</v>
      </c>
      <c r="E8" s="23"/>
      <c r="F8" s="23"/>
      <c r="G8" s="23"/>
      <c r="H8" s="900"/>
      <c r="I8" s="880"/>
      <c r="J8" s="880"/>
      <c r="K8" s="880"/>
      <c r="L8" s="880"/>
      <c r="M8" s="880"/>
      <c r="N8" s="880"/>
      <c r="O8" s="891"/>
    </row>
    <row r="9" spans="2:33" ht="18" x14ac:dyDescent="0.25">
      <c r="B9" s="433" t="s">
        <v>36</v>
      </c>
      <c r="C9" s="207" t="s">
        <v>57</v>
      </c>
      <c r="D9" s="209">
        <f>D6+2*D5</f>
        <v>44.009950000000003</v>
      </c>
      <c r="E9" s="23"/>
      <c r="F9" s="23"/>
      <c r="G9" s="23"/>
      <c r="H9" s="900"/>
      <c r="I9" s="880"/>
      <c r="J9" s="880"/>
      <c r="K9" s="880"/>
      <c r="L9" s="880"/>
      <c r="M9" s="880"/>
      <c r="N9" s="880"/>
      <c r="O9" s="891"/>
    </row>
    <row r="10" spans="2:33" x14ac:dyDescent="0.25">
      <c r="B10" s="39" t="s">
        <v>37</v>
      </c>
      <c r="C10" s="33" t="s">
        <v>26</v>
      </c>
      <c r="H10" s="900"/>
      <c r="I10" s="880"/>
      <c r="J10" s="880"/>
      <c r="K10" s="880"/>
      <c r="L10" s="880"/>
      <c r="M10" s="880"/>
      <c r="N10" s="880"/>
      <c r="O10" s="891"/>
    </row>
    <row r="11" spans="2:33" x14ac:dyDescent="0.25">
      <c r="H11" s="900"/>
      <c r="I11" s="880"/>
      <c r="J11" s="880"/>
      <c r="K11" s="880"/>
      <c r="L11" s="880"/>
      <c r="M11" s="880"/>
      <c r="N11" s="880"/>
      <c r="O11" s="891"/>
    </row>
    <row r="12" spans="2:33" ht="15.75" thickBot="1" x14ac:dyDescent="0.3">
      <c r="H12" s="900"/>
      <c r="I12" s="880"/>
      <c r="J12" s="880"/>
      <c r="K12" s="880"/>
      <c r="L12" s="880"/>
      <c r="M12" s="880"/>
      <c r="N12" s="880"/>
      <c r="O12" s="891"/>
    </row>
    <row r="13" spans="2:33" ht="21" customHeight="1" thickBot="1" x14ac:dyDescent="0.3">
      <c r="B13" s="199" t="s">
        <v>11</v>
      </c>
      <c r="C13" s="200" t="s">
        <v>12</v>
      </c>
      <c r="D13" s="894" t="s">
        <v>27</v>
      </c>
      <c r="E13" s="895"/>
      <c r="F13" s="895"/>
      <c r="G13" s="896"/>
      <c r="H13" s="901"/>
      <c r="I13" s="881"/>
      <c r="J13" s="881"/>
      <c r="K13" s="881"/>
      <c r="L13" s="881"/>
      <c r="M13" s="881"/>
      <c r="N13" s="881"/>
      <c r="O13" s="892"/>
      <c r="R13" s="874" t="s">
        <v>394</v>
      </c>
      <c r="S13" s="874"/>
    </row>
    <row r="14" spans="2:33" ht="30" customHeight="1" x14ac:dyDescent="0.25">
      <c r="B14" s="159" t="s">
        <v>340</v>
      </c>
      <c r="C14" s="42"/>
      <c r="D14" s="897" t="s">
        <v>348</v>
      </c>
      <c r="E14" s="897"/>
      <c r="F14" s="897"/>
      <c r="G14" s="898"/>
      <c r="H14" s="201">
        <v>2</v>
      </c>
      <c r="I14" s="160">
        <v>4</v>
      </c>
      <c r="J14" s="160">
        <v>0</v>
      </c>
      <c r="K14" s="160">
        <v>1</v>
      </c>
      <c r="L14" s="160">
        <f>K14-J14</f>
        <v>1</v>
      </c>
      <c r="M14" s="165">
        <f>IF(I14="","",H14/I14)</f>
        <v>0.5</v>
      </c>
      <c r="N14" s="165">
        <f t="shared" ref="N14:N30" si="0">H14*$D$8/(I14*$D$7)</f>
        <v>4.4684988590137911</v>
      </c>
      <c r="O14" s="166">
        <f t="shared" ref="O14:O30" si="1">L14*$D$9/(I14*$D$7)</f>
        <v>5.4581245659291602</v>
      </c>
      <c r="Q14" s="252"/>
      <c r="R14" s="253" t="s">
        <v>45</v>
      </c>
      <c r="S14" s="254" t="s">
        <v>43</v>
      </c>
      <c r="V14" s="21"/>
      <c r="W14" s="21"/>
      <c r="X14" s="21"/>
      <c r="Y14" s="21"/>
      <c r="Z14" s="21"/>
      <c r="AA14" s="21"/>
      <c r="AB14" s="21"/>
      <c r="AC14" s="21"/>
      <c r="AF14" s="190"/>
      <c r="AG14" s="190"/>
    </row>
    <row r="15" spans="2:33" ht="30" customHeight="1" x14ac:dyDescent="0.25">
      <c r="B15" s="161" t="s">
        <v>347</v>
      </c>
      <c r="C15" s="51"/>
      <c r="D15" s="902" t="s">
        <v>348</v>
      </c>
      <c r="E15" s="903"/>
      <c r="F15" s="903"/>
      <c r="G15" s="904"/>
      <c r="H15" s="202">
        <v>6</v>
      </c>
      <c r="I15" s="158">
        <v>14</v>
      </c>
      <c r="J15" s="158">
        <v>0</v>
      </c>
      <c r="K15" s="158">
        <v>4</v>
      </c>
      <c r="L15" s="158">
        <f t="shared" ref="L15:L30" si="2">K15-J15</f>
        <v>4</v>
      </c>
      <c r="M15" s="167">
        <f t="shared" ref="M15:M30" si="3">IF(I15="","",H15/I15)</f>
        <v>0.42857142857142855</v>
      </c>
      <c r="N15" s="167">
        <f t="shared" si="0"/>
        <v>3.8301418791546782</v>
      </c>
      <c r="O15" s="168">
        <f t="shared" si="1"/>
        <v>6.2378566467761827</v>
      </c>
      <c r="Q15" s="255"/>
      <c r="R15" s="26" t="s">
        <v>44</v>
      </c>
      <c r="S15" s="256" t="s">
        <v>44</v>
      </c>
      <c r="V15" s="21"/>
      <c r="W15" s="21"/>
      <c r="X15" s="21"/>
      <c r="Y15" s="21"/>
      <c r="Z15" s="21"/>
      <c r="AA15" s="21"/>
      <c r="AB15" s="21"/>
      <c r="AC15" s="21"/>
      <c r="AF15" s="190"/>
      <c r="AG15" s="190"/>
    </row>
    <row r="16" spans="2:33" ht="30" customHeight="1" x14ac:dyDescent="0.25">
      <c r="B16" s="161" t="s">
        <v>341</v>
      </c>
      <c r="C16" s="51"/>
      <c r="D16" s="902" t="s">
        <v>348</v>
      </c>
      <c r="E16" s="903"/>
      <c r="F16" s="903"/>
      <c r="G16" s="904"/>
      <c r="H16" s="202">
        <v>270</v>
      </c>
      <c r="I16" s="158">
        <f>120+270</f>
        <v>390</v>
      </c>
      <c r="J16" s="158">
        <v>0</v>
      </c>
      <c r="K16" s="158">
        <v>270</v>
      </c>
      <c r="L16" s="158">
        <f t="shared" si="2"/>
        <v>270</v>
      </c>
      <c r="M16" s="167">
        <f t="shared" ref="M16" si="4">IF(I16="","",H16/I16)</f>
        <v>0.69230769230769229</v>
      </c>
      <c r="N16" s="167">
        <f t="shared" si="0"/>
        <v>6.1871522663267875</v>
      </c>
      <c r="O16" s="168">
        <f t="shared" si="1"/>
        <v>15.114806490265366</v>
      </c>
      <c r="Q16" s="257" t="s">
        <v>39</v>
      </c>
      <c r="R16" s="16" t="s">
        <v>46</v>
      </c>
      <c r="S16" s="258" t="s">
        <v>47</v>
      </c>
      <c r="V16" s="21"/>
      <c r="W16" s="21"/>
      <c r="X16" s="21"/>
      <c r="Y16" s="21"/>
      <c r="Z16" s="21"/>
      <c r="AA16" s="21"/>
      <c r="AB16" s="21"/>
      <c r="AC16" s="21"/>
      <c r="AF16" s="190"/>
      <c r="AG16" s="190"/>
    </row>
    <row r="17" spans="2:33" ht="34.5" customHeight="1" x14ac:dyDescent="0.25">
      <c r="B17" s="161" t="s">
        <v>342</v>
      </c>
      <c r="C17" s="51"/>
      <c r="D17" s="902" t="s">
        <v>348</v>
      </c>
      <c r="E17" s="903"/>
      <c r="F17" s="903"/>
      <c r="G17" s="904"/>
      <c r="H17" s="202">
        <f>270+270</f>
        <v>540</v>
      </c>
      <c r="I17" s="158">
        <f>390+270</f>
        <v>660</v>
      </c>
      <c r="J17" s="158">
        <v>0</v>
      </c>
      <c r="K17" s="158">
        <v>270</v>
      </c>
      <c r="L17" s="158">
        <f t="shared" si="2"/>
        <v>270</v>
      </c>
      <c r="M17" s="167">
        <f t="shared" si="3"/>
        <v>0.81818181818181823</v>
      </c>
      <c r="N17" s="167">
        <f t="shared" si="0"/>
        <v>7.312089042022567</v>
      </c>
      <c r="O17" s="168">
        <f t="shared" si="1"/>
        <v>8.931476562429534</v>
      </c>
      <c r="Q17" s="259" t="s">
        <v>40</v>
      </c>
      <c r="R17" s="28" t="str">
        <f>CONCATENATE(ROUND(MIN(N14:N21),2)," - ",ROUND(MAX(N14:N21),2))</f>
        <v>3.83 - 7.31</v>
      </c>
      <c r="S17" s="260" t="str">
        <f>CONCATENATE(ROUND(MIN(O14:O21),2)," - ",ROUND(MAX(O14:O21),2))</f>
        <v>5.46 - 15.11</v>
      </c>
      <c r="V17" s="28"/>
      <c r="W17" s="28"/>
      <c r="X17" s="28"/>
      <c r="Y17" s="28"/>
      <c r="Z17" s="28"/>
      <c r="AA17" s="28"/>
      <c r="AB17" s="28"/>
      <c r="AC17" s="28"/>
      <c r="AF17" s="190"/>
      <c r="AG17" s="190"/>
    </row>
    <row r="18" spans="2:33" ht="40.5" customHeight="1" x14ac:dyDescent="0.25">
      <c r="B18" s="162" t="s">
        <v>343</v>
      </c>
      <c r="C18" s="51"/>
      <c r="D18" s="902" t="s">
        <v>348</v>
      </c>
      <c r="E18" s="903"/>
      <c r="F18" s="903"/>
      <c r="G18" s="904"/>
      <c r="H18" s="202">
        <v>51</v>
      </c>
      <c r="I18" s="158">
        <v>100</v>
      </c>
      <c r="J18" s="158">
        <v>0</v>
      </c>
      <c r="K18" s="158">
        <v>51</v>
      </c>
      <c r="L18" s="158">
        <f t="shared" si="2"/>
        <v>51</v>
      </c>
      <c r="M18" s="167">
        <f t="shared" si="3"/>
        <v>0.51</v>
      </c>
      <c r="N18" s="167">
        <f t="shared" si="0"/>
        <v>4.5578688361940669</v>
      </c>
      <c r="O18" s="168">
        <f t="shared" si="1"/>
        <v>11.134574114495486</v>
      </c>
      <c r="Q18" s="259" t="s">
        <v>42</v>
      </c>
      <c r="R18" s="28" t="str">
        <f>CONCATENATE(ROUND(MIN(N23:N29),2)," - ",ROUND(MAX(N23:N29),2))</f>
        <v>4.47 - 8.94</v>
      </c>
      <c r="S18" s="260" t="str">
        <f>CONCATENATE(ROUND(MIN(O23:O29),2)," - ",ROUND(MAX(O23:O29),2))</f>
        <v>0 - 14.55</v>
      </c>
      <c r="V18" s="28"/>
      <c r="W18" s="28"/>
      <c r="X18" s="28"/>
      <c r="Y18" s="28"/>
      <c r="Z18" s="28"/>
      <c r="AA18" s="28"/>
      <c r="AB18" s="28"/>
      <c r="AC18" s="28"/>
      <c r="AF18" s="190"/>
      <c r="AG18" s="190"/>
    </row>
    <row r="19" spans="2:33" ht="40.5" customHeight="1" thickBot="1" x14ac:dyDescent="0.3">
      <c r="B19" s="162" t="s">
        <v>344</v>
      </c>
      <c r="C19" s="51"/>
      <c r="D19" s="902" t="s">
        <v>348</v>
      </c>
      <c r="E19" s="903"/>
      <c r="F19" s="903"/>
      <c r="G19" s="904"/>
      <c r="H19" s="202">
        <v>226</v>
      </c>
      <c r="I19" s="158">
        <v>346.5</v>
      </c>
      <c r="J19" s="158">
        <v>0</v>
      </c>
      <c r="K19" s="158">
        <v>226</v>
      </c>
      <c r="L19" s="158">
        <f t="shared" si="2"/>
        <v>226</v>
      </c>
      <c r="M19" s="167">
        <f t="shared" si="3"/>
        <v>0.65223665223665228</v>
      </c>
      <c r="N19" s="167">
        <f t="shared" si="0"/>
        <v>5.8290374726529111</v>
      </c>
      <c r="O19" s="168">
        <f t="shared" si="1"/>
        <v>14.239955577489063</v>
      </c>
      <c r="Q19" s="261" t="s">
        <v>41</v>
      </c>
      <c r="R19" s="262">
        <f>N30</f>
        <v>8.9369977180275821</v>
      </c>
      <c r="S19" s="263">
        <f>O30</f>
        <v>0</v>
      </c>
      <c r="V19" s="31"/>
      <c r="W19" s="31"/>
      <c r="X19" s="31"/>
      <c r="Y19" s="31"/>
      <c r="Z19" s="31"/>
      <c r="AA19" s="31"/>
      <c r="AB19" s="31"/>
      <c r="AC19" s="31"/>
      <c r="AF19" s="190"/>
      <c r="AG19" s="190"/>
    </row>
    <row r="20" spans="2:33" ht="40.5" customHeight="1" x14ac:dyDescent="0.25">
      <c r="B20" s="162" t="s">
        <v>345</v>
      </c>
      <c r="C20" s="51"/>
      <c r="D20" s="902" t="s">
        <v>348</v>
      </c>
      <c r="E20" s="903"/>
      <c r="F20" s="903"/>
      <c r="G20" s="904"/>
      <c r="H20" s="202">
        <v>102</v>
      </c>
      <c r="I20" s="158">
        <v>151</v>
      </c>
      <c r="J20" s="158">
        <v>0</v>
      </c>
      <c r="K20" s="158">
        <v>51</v>
      </c>
      <c r="L20" s="158">
        <f t="shared" si="2"/>
        <v>51</v>
      </c>
      <c r="M20" s="167">
        <f t="shared" si="3"/>
        <v>0.67549668874172186</v>
      </c>
      <c r="N20" s="167">
        <f t="shared" si="0"/>
        <v>6.0369123658199557</v>
      </c>
      <c r="O20" s="168">
        <f t="shared" si="1"/>
        <v>7.3738901420499907</v>
      </c>
      <c r="AF20" s="190"/>
      <c r="AG20" s="190"/>
    </row>
    <row r="21" spans="2:33" ht="40.5" customHeight="1" thickBot="1" x14ac:dyDescent="0.3">
      <c r="B21" s="180" t="s">
        <v>346</v>
      </c>
      <c r="C21" s="67"/>
      <c r="D21" s="905" t="s">
        <v>348</v>
      </c>
      <c r="E21" s="906"/>
      <c r="F21" s="906"/>
      <c r="G21" s="907"/>
      <c r="H21" s="203">
        <v>452</v>
      </c>
      <c r="I21" s="163">
        <v>572.5</v>
      </c>
      <c r="J21" s="163">
        <v>0</v>
      </c>
      <c r="K21" s="163">
        <v>226</v>
      </c>
      <c r="L21" s="163">
        <f t="shared" si="2"/>
        <v>226</v>
      </c>
      <c r="M21" s="169">
        <f t="shared" si="3"/>
        <v>0.78951965065502183</v>
      </c>
      <c r="N21" s="169">
        <f t="shared" si="0"/>
        <v>7.0559353162418637</v>
      </c>
      <c r="O21" s="170">
        <f t="shared" si="1"/>
        <v>8.6185932010479664</v>
      </c>
      <c r="AF21" s="190"/>
      <c r="AG21" s="190"/>
    </row>
    <row r="22" spans="2:33" ht="18.75" customHeight="1" thickBot="1" x14ac:dyDescent="0.3">
      <c r="B22" s="182" t="s">
        <v>84</v>
      </c>
      <c r="C22" s="179"/>
      <c r="D22" s="884" t="s">
        <v>349</v>
      </c>
      <c r="E22" s="884"/>
      <c r="F22" s="884"/>
      <c r="G22" s="885"/>
      <c r="H22" s="204">
        <v>0</v>
      </c>
      <c r="I22" s="173">
        <v>2</v>
      </c>
      <c r="J22" s="173">
        <v>0</v>
      </c>
      <c r="K22" s="173">
        <v>0</v>
      </c>
      <c r="L22" s="173">
        <f t="shared" si="2"/>
        <v>0</v>
      </c>
      <c r="M22" s="174">
        <f t="shared" si="3"/>
        <v>0</v>
      </c>
      <c r="N22" s="174">
        <f t="shared" si="0"/>
        <v>0</v>
      </c>
      <c r="O22" s="175">
        <f t="shared" si="1"/>
        <v>0</v>
      </c>
      <c r="AF22" s="190"/>
      <c r="AG22" s="190"/>
    </row>
    <row r="23" spans="2:33" ht="18.75" customHeight="1" x14ac:dyDescent="0.25">
      <c r="B23" s="181" t="s">
        <v>13</v>
      </c>
      <c r="C23" s="164"/>
      <c r="D23" s="886" t="s">
        <v>28</v>
      </c>
      <c r="E23" s="886"/>
      <c r="F23" s="886"/>
      <c r="G23" s="887"/>
      <c r="H23" s="205">
        <v>2</v>
      </c>
      <c r="I23" s="164">
        <v>2</v>
      </c>
      <c r="J23" s="164">
        <v>0</v>
      </c>
      <c r="K23" s="164">
        <v>0</v>
      </c>
      <c r="L23" s="164">
        <f t="shared" si="2"/>
        <v>0</v>
      </c>
      <c r="M23" s="171">
        <f t="shared" si="3"/>
        <v>1</v>
      </c>
      <c r="N23" s="171">
        <f t="shared" si="0"/>
        <v>8.9369977180275821</v>
      </c>
      <c r="O23" s="172">
        <f t="shared" si="1"/>
        <v>0</v>
      </c>
      <c r="AF23" s="190"/>
      <c r="AG23" s="190"/>
    </row>
    <row r="24" spans="2:33" ht="53.25" customHeight="1" x14ac:dyDescent="0.25">
      <c r="B24" s="161" t="s">
        <v>14</v>
      </c>
      <c r="C24" s="51"/>
      <c r="D24" s="888" t="s">
        <v>28</v>
      </c>
      <c r="E24" s="888"/>
      <c r="F24" s="888"/>
      <c r="G24" s="889"/>
      <c r="H24" s="202">
        <v>12</v>
      </c>
      <c r="I24" s="158">
        <v>12</v>
      </c>
      <c r="J24" s="158">
        <v>6</v>
      </c>
      <c r="K24" s="158">
        <v>6</v>
      </c>
      <c r="L24" s="158">
        <f t="shared" si="2"/>
        <v>0</v>
      </c>
      <c r="M24" s="167">
        <f t="shared" si="3"/>
        <v>1</v>
      </c>
      <c r="N24" s="167">
        <f t="shared" si="0"/>
        <v>8.9369977180275821</v>
      </c>
      <c r="O24" s="168">
        <f t="shared" si="1"/>
        <v>0</v>
      </c>
      <c r="AF24" s="190"/>
      <c r="AG24" s="190"/>
    </row>
    <row r="25" spans="2:33" ht="18.75" customHeight="1" x14ac:dyDescent="0.25">
      <c r="B25" s="161" t="s">
        <v>9</v>
      </c>
      <c r="C25" s="51"/>
      <c r="D25" s="888" t="s">
        <v>28</v>
      </c>
      <c r="E25" s="888"/>
      <c r="F25" s="888"/>
      <c r="G25" s="889"/>
      <c r="H25" s="202">
        <v>2</v>
      </c>
      <c r="I25" s="158">
        <v>4</v>
      </c>
      <c r="J25" s="158">
        <v>0</v>
      </c>
      <c r="K25" s="158">
        <v>2</v>
      </c>
      <c r="L25" s="158">
        <f t="shared" si="2"/>
        <v>2</v>
      </c>
      <c r="M25" s="167">
        <f t="shared" si="3"/>
        <v>0.5</v>
      </c>
      <c r="N25" s="167">
        <f t="shared" si="0"/>
        <v>4.4684988590137911</v>
      </c>
      <c r="O25" s="168">
        <f t="shared" si="1"/>
        <v>10.91624913185832</v>
      </c>
      <c r="AF25" s="190"/>
      <c r="AG25" s="190"/>
    </row>
    <row r="26" spans="2:33" ht="17.25" customHeight="1" x14ac:dyDescent="0.25">
      <c r="B26" s="893" t="s">
        <v>10</v>
      </c>
      <c r="C26" s="51"/>
      <c r="D26" s="888" t="s">
        <v>28</v>
      </c>
      <c r="E26" s="888"/>
      <c r="F26" s="888"/>
      <c r="G26" s="889"/>
      <c r="H26" s="202">
        <v>3</v>
      </c>
      <c r="I26" s="158">
        <v>6</v>
      </c>
      <c r="J26" s="158">
        <v>0</v>
      </c>
      <c r="K26" s="158">
        <v>4</v>
      </c>
      <c r="L26" s="158">
        <f t="shared" si="2"/>
        <v>4</v>
      </c>
      <c r="M26" s="167">
        <f t="shared" si="3"/>
        <v>0.5</v>
      </c>
      <c r="N26" s="167">
        <f t="shared" si="0"/>
        <v>4.4684988590137911</v>
      </c>
      <c r="O26" s="168">
        <f t="shared" si="1"/>
        <v>14.554998842477762</v>
      </c>
      <c r="AF26" s="190"/>
      <c r="AG26" s="190"/>
    </row>
    <row r="27" spans="2:33" ht="18" customHeight="1" x14ac:dyDescent="0.25">
      <c r="B27" s="893"/>
      <c r="C27" s="51"/>
      <c r="D27" s="888" t="s">
        <v>28</v>
      </c>
      <c r="E27" s="888"/>
      <c r="F27" s="888"/>
      <c r="G27" s="889"/>
      <c r="H27" s="202">
        <v>3</v>
      </c>
      <c r="I27" s="158">
        <v>6</v>
      </c>
      <c r="J27" s="158">
        <v>0</v>
      </c>
      <c r="K27" s="158">
        <v>3</v>
      </c>
      <c r="L27" s="158">
        <f t="shared" si="2"/>
        <v>3</v>
      </c>
      <c r="M27" s="167">
        <f t="shared" si="3"/>
        <v>0.5</v>
      </c>
      <c r="N27" s="167">
        <f t="shared" si="0"/>
        <v>4.4684988590137911</v>
      </c>
      <c r="O27" s="168">
        <f t="shared" si="1"/>
        <v>10.91624913185832</v>
      </c>
      <c r="AF27" s="190"/>
      <c r="AG27" s="190"/>
    </row>
    <row r="28" spans="2:33" ht="19.5" customHeight="1" x14ac:dyDescent="0.25">
      <c r="B28" s="893"/>
      <c r="C28" s="51"/>
      <c r="D28" s="888" t="s">
        <v>28</v>
      </c>
      <c r="E28" s="888"/>
      <c r="F28" s="888"/>
      <c r="G28" s="889"/>
      <c r="H28" s="202">
        <v>2</v>
      </c>
      <c r="I28" s="158">
        <v>4</v>
      </c>
      <c r="J28" s="158">
        <v>0</v>
      </c>
      <c r="K28" s="158">
        <v>2</v>
      </c>
      <c r="L28" s="158">
        <f t="shared" si="2"/>
        <v>2</v>
      </c>
      <c r="M28" s="167">
        <f t="shared" si="3"/>
        <v>0.5</v>
      </c>
      <c r="N28" s="167">
        <f t="shared" si="0"/>
        <v>4.4684988590137911</v>
      </c>
      <c r="O28" s="168">
        <f t="shared" si="1"/>
        <v>10.91624913185832</v>
      </c>
      <c r="AF28" s="190"/>
      <c r="AG28" s="190"/>
    </row>
    <row r="29" spans="2:33" ht="18.75" customHeight="1" thickBot="1" x14ac:dyDescent="0.3">
      <c r="B29" s="196" t="s">
        <v>15</v>
      </c>
      <c r="C29" s="67"/>
      <c r="D29" s="882" t="s">
        <v>28</v>
      </c>
      <c r="E29" s="882"/>
      <c r="F29" s="882"/>
      <c r="G29" s="883"/>
      <c r="H29" s="206">
        <v>2</v>
      </c>
      <c r="I29" s="176">
        <v>4</v>
      </c>
      <c r="J29" s="176">
        <v>0</v>
      </c>
      <c r="K29" s="176">
        <v>2</v>
      </c>
      <c r="L29" s="176">
        <f t="shared" si="2"/>
        <v>2</v>
      </c>
      <c r="M29" s="177">
        <f t="shared" si="3"/>
        <v>0.5</v>
      </c>
      <c r="N29" s="177">
        <f t="shared" si="0"/>
        <v>4.4684988590137911</v>
      </c>
      <c r="O29" s="178">
        <f t="shared" si="1"/>
        <v>10.91624913185832</v>
      </c>
      <c r="AF29" s="190"/>
      <c r="AG29" s="190"/>
    </row>
    <row r="30" spans="2:33" ht="18.75" customHeight="1" thickBot="1" x14ac:dyDescent="0.3">
      <c r="B30" s="197" t="s">
        <v>16</v>
      </c>
      <c r="C30" s="198"/>
      <c r="D30" s="884" t="s">
        <v>29</v>
      </c>
      <c r="E30" s="884"/>
      <c r="F30" s="884"/>
      <c r="G30" s="885"/>
      <c r="H30" s="210">
        <v>2</v>
      </c>
      <c r="I30" s="211">
        <v>2</v>
      </c>
      <c r="J30" s="211">
        <v>0</v>
      </c>
      <c r="K30" s="211">
        <v>0</v>
      </c>
      <c r="L30" s="211">
        <f t="shared" si="2"/>
        <v>0</v>
      </c>
      <c r="M30" s="212">
        <f t="shared" si="3"/>
        <v>1</v>
      </c>
      <c r="N30" s="212">
        <f t="shared" si="0"/>
        <v>8.9369977180275821</v>
      </c>
      <c r="O30" s="213">
        <f t="shared" si="1"/>
        <v>0</v>
      </c>
      <c r="AF30" s="190"/>
      <c r="AG30" s="190"/>
    </row>
    <row r="31" spans="2:33" ht="19.5" thickBot="1" x14ac:dyDescent="0.4">
      <c r="B31" s="2"/>
      <c r="H31" s="427" t="s">
        <v>857</v>
      </c>
      <c r="I31" s="428" t="s">
        <v>858</v>
      </c>
      <c r="J31" s="428" t="s">
        <v>859</v>
      </c>
      <c r="K31" s="428" t="s">
        <v>860</v>
      </c>
      <c r="L31" s="429" t="s">
        <v>861</v>
      </c>
      <c r="M31" s="429" t="s">
        <v>862</v>
      </c>
      <c r="N31" s="429" t="s">
        <v>863</v>
      </c>
      <c r="O31" s="430" t="s">
        <v>864</v>
      </c>
    </row>
    <row r="32" spans="2:33" x14ac:dyDescent="0.25">
      <c r="B32" s="24"/>
      <c r="H32" s="3"/>
      <c r="L32" s="25"/>
      <c r="M32" s="25"/>
      <c r="N32" s="25"/>
      <c r="O32" s="25"/>
    </row>
    <row r="33" spans="2:23" x14ac:dyDescent="0.25">
      <c r="B33" s="18"/>
      <c r="H33" s="3"/>
      <c r="L33" s="25"/>
      <c r="M33" s="25"/>
      <c r="N33" s="25"/>
    </row>
    <row r="34" spans="2:23" ht="15.75" thickBot="1" x14ac:dyDescent="0.3">
      <c r="B34" s="18" t="s">
        <v>48</v>
      </c>
      <c r="C34" s="18" t="s">
        <v>49</v>
      </c>
      <c r="D34" s="251">
        <f>D8/D7</f>
        <v>8.9369977180275821</v>
      </c>
      <c r="E34" s="34"/>
      <c r="F34" s="34"/>
      <c r="G34" s="34"/>
      <c r="H34" s="18" t="s">
        <v>354</v>
      </c>
      <c r="L34" s="25"/>
      <c r="M34" s="25"/>
      <c r="N34" s="25"/>
      <c r="O34" s="135"/>
    </row>
    <row r="35" spans="2:23" x14ac:dyDescent="0.25">
      <c r="B35" s="18" t="s">
        <v>352</v>
      </c>
      <c r="C35" s="18" t="s">
        <v>353</v>
      </c>
      <c r="D35" s="251">
        <f>D5/D7</f>
        <v>7.9369977180275821</v>
      </c>
      <c r="H35" s="25" t="s">
        <v>355</v>
      </c>
      <c r="L35" s="25"/>
      <c r="M35" s="25"/>
      <c r="N35" s="25"/>
      <c r="O35" s="25"/>
      <c r="Q35" s="269" t="s">
        <v>39</v>
      </c>
      <c r="R35" s="271" t="s">
        <v>399</v>
      </c>
      <c r="S35" s="875" t="s">
        <v>398</v>
      </c>
      <c r="T35" s="876"/>
      <c r="V35" s="877" t="s">
        <v>397</v>
      </c>
      <c r="W35" s="878"/>
    </row>
    <row r="36" spans="2:23" ht="15.75" thickBot="1" x14ac:dyDescent="0.3">
      <c r="B36" s="18">
        <v>1</v>
      </c>
      <c r="C36"/>
      <c r="H36" s="25"/>
      <c r="L36" s="25"/>
      <c r="M36" s="25"/>
      <c r="N36" s="25"/>
      <c r="O36" s="25"/>
      <c r="S36" s="276" t="s">
        <v>394</v>
      </c>
      <c r="T36" s="277" t="s">
        <v>393</v>
      </c>
      <c r="V36" s="69" t="s">
        <v>394</v>
      </c>
      <c r="W36" s="268" t="s">
        <v>393</v>
      </c>
    </row>
    <row r="37" spans="2:23" ht="18" x14ac:dyDescent="0.25">
      <c r="B37" s="18"/>
      <c r="H37" s="25"/>
      <c r="L37" s="25"/>
      <c r="M37" s="25"/>
      <c r="N37" s="135"/>
      <c r="O37" s="25"/>
      <c r="S37" s="269" t="s">
        <v>395</v>
      </c>
      <c r="T37" s="278" t="s">
        <v>46</v>
      </c>
      <c r="V37" s="273" t="s">
        <v>396</v>
      </c>
      <c r="W37" s="270" t="s">
        <v>403</v>
      </c>
    </row>
    <row r="38" spans="2:23" x14ac:dyDescent="0.25">
      <c r="B38" s="18">
        <v>2</v>
      </c>
      <c r="C38"/>
      <c r="H38" s="25"/>
      <c r="L38" s="25"/>
      <c r="M38" s="25"/>
      <c r="N38" s="25"/>
      <c r="O38" s="25"/>
      <c r="Q38" s="264" t="s">
        <v>40</v>
      </c>
      <c r="R38" s="157" t="s">
        <v>401</v>
      </c>
      <c r="S38" s="279">
        <v>4.47</v>
      </c>
      <c r="T38" s="265">
        <v>21.87</v>
      </c>
      <c r="V38" s="274">
        <v>5.46</v>
      </c>
      <c r="W38" s="265">
        <v>12.13</v>
      </c>
    </row>
    <row r="39" spans="2:23" x14ac:dyDescent="0.25">
      <c r="B39" s="18"/>
      <c r="H39" s="25"/>
      <c r="I39" s="25"/>
      <c r="J39" s="25"/>
      <c r="K39" s="25"/>
      <c r="L39" s="25"/>
      <c r="M39" s="25"/>
      <c r="N39" s="25"/>
      <c r="O39" s="25"/>
      <c r="Q39" s="264" t="s">
        <v>42</v>
      </c>
      <c r="R39" s="157" t="s">
        <v>400</v>
      </c>
      <c r="S39" s="279">
        <v>4.47</v>
      </c>
      <c r="T39" s="265">
        <v>30.96</v>
      </c>
      <c r="V39" s="274">
        <v>10.92</v>
      </c>
      <c r="W39" s="265">
        <v>16.27</v>
      </c>
    </row>
    <row r="40" spans="2:23" ht="15.75" thickBot="1" x14ac:dyDescent="0.3">
      <c r="B40" s="18"/>
      <c r="Q40" s="266" t="s">
        <v>41</v>
      </c>
      <c r="R40" s="272" t="s">
        <v>402</v>
      </c>
      <c r="S40" s="280">
        <v>8.9369977180275821</v>
      </c>
      <c r="T40" s="267">
        <v>18.04</v>
      </c>
      <c r="V40" s="275">
        <v>0</v>
      </c>
      <c r="W40" s="267">
        <v>2.21</v>
      </c>
    </row>
    <row r="41" spans="2:23" x14ac:dyDescent="0.25">
      <c r="D41" s="34"/>
      <c r="E41" s="34"/>
      <c r="F41" s="34"/>
      <c r="G41" s="34"/>
      <c r="H41" s="20"/>
      <c r="I41" s="20"/>
      <c r="J41" s="20"/>
      <c r="K41" s="20"/>
    </row>
    <row r="42" spans="2:23" x14ac:dyDescent="0.25">
      <c r="B42" s="2"/>
      <c r="H42" s="20"/>
      <c r="I42" s="20"/>
      <c r="J42" s="20"/>
      <c r="K42" s="20"/>
      <c r="L42" s="20"/>
      <c r="M42" s="23"/>
    </row>
    <row r="43" spans="2:23" x14ac:dyDescent="0.25">
      <c r="M43" s="20"/>
    </row>
    <row r="44" spans="2:23" x14ac:dyDescent="0.25">
      <c r="B44" s="2"/>
      <c r="H44" s="20"/>
      <c r="I44" s="20"/>
      <c r="J44" s="20"/>
      <c r="K44" s="20"/>
      <c r="L44" s="20"/>
      <c r="M44" s="20"/>
    </row>
    <row r="45" spans="2:23" x14ac:dyDescent="0.25">
      <c r="B45" s="2"/>
      <c r="H45" s="20"/>
      <c r="I45" s="20"/>
      <c r="J45" s="20"/>
      <c r="K45" s="20"/>
      <c r="L45" s="20"/>
      <c r="M45" s="20"/>
    </row>
    <row r="46" spans="2:23" x14ac:dyDescent="0.25">
      <c r="B46" s="2"/>
      <c r="K46" s="20"/>
      <c r="L46" s="20"/>
      <c r="M46" s="20"/>
      <c r="R46" s="18" t="s">
        <v>44</v>
      </c>
      <c r="S46" s="18" t="s">
        <v>401</v>
      </c>
      <c r="T46" s="18" t="s">
        <v>400</v>
      </c>
      <c r="U46" s="18" t="s">
        <v>402</v>
      </c>
    </row>
    <row r="47" spans="2:23" x14ac:dyDescent="0.25">
      <c r="B47" s="2"/>
      <c r="K47" s="20"/>
      <c r="L47" s="20"/>
      <c r="M47" s="20"/>
      <c r="Q47" s="874" t="s">
        <v>1175</v>
      </c>
      <c r="R47" s="18" t="s">
        <v>405</v>
      </c>
      <c r="S47" s="18">
        <v>4.47</v>
      </c>
      <c r="T47" s="18">
        <v>4.47</v>
      </c>
      <c r="U47" s="18">
        <v>8.94</v>
      </c>
    </row>
    <row r="48" spans="2:23" x14ac:dyDescent="0.25">
      <c r="B48" s="2"/>
      <c r="K48" s="20"/>
      <c r="L48" s="20"/>
      <c r="M48" s="20"/>
      <c r="Q48" s="874"/>
      <c r="R48" s="18" t="s">
        <v>406</v>
      </c>
      <c r="S48" s="18">
        <v>21.87</v>
      </c>
      <c r="T48" s="18">
        <v>30.96</v>
      </c>
      <c r="U48" s="18">
        <v>18.04</v>
      </c>
    </row>
    <row r="49" spans="2:21" x14ac:dyDescent="0.25">
      <c r="B49" s="2"/>
      <c r="K49" s="20"/>
      <c r="L49" s="20"/>
      <c r="M49" s="20"/>
      <c r="Q49" s="874" t="s">
        <v>404</v>
      </c>
      <c r="R49" s="18" t="s">
        <v>405</v>
      </c>
      <c r="S49" s="18">
        <v>5.46</v>
      </c>
      <c r="T49" s="18">
        <v>10.92</v>
      </c>
      <c r="U49" s="18">
        <v>0</v>
      </c>
    </row>
    <row r="50" spans="2:21" x14ac:dyDescent="0.25">
      <c r="B50" s="2"/>
      <c r="K50" s="20"/>
      <c r="L50" s="20"/>
      <c r="M50" s="20"/>
      <c r="Q50" s="874"/>
      <c r="R50" s="18" t="s">
        <v>406</v>
      </c>
      <c r="S50" s="18">
        <v>12.13</v>
      </c>
      <c r="T50" s="18">
        <v>16.29</v>
      </c>
      <c r="U50" s="18">
        <v>2.21</v>
      </c>
    </row>
    <row r="51" spans="2:21" x14ac:dyDescent="0.25">
      <c r="B51" s="2"/>
      <c r="K51" s="20"/>
      <c r="L51" s="20"/>
      <c r="M51" s="20"/>
    </row>
    <row r="52" spans="2:21" x14ac:dyDescent="0.25">
      <c r="B52" s="2"/>
      <c r="H52" s="20"/>
      <c r="I52" s="20"/>
      <c r="J52" s="20"/>
      <c r="K52" s="20"/>
      <c r="L52" s="20"/>
      <c r="M52" s="20"/>
    </row>
    <row r="53" spans="2:21" x14ac:dyDescent="0.25">
      <c r="B53" s="2"/>
      <c r="H53" s="20"/>
      <c r="I53" s="20"/>
      <c r="J53" s="20"/>
      <c r="K53" s="20"/>
      <c r="L53" s="20"/>
      <c r="M53" s="20"/>
    </row>
    <row r="54" spans="2:21" x14ac:dyDescent="0.25">
      <c r="H54" s="20"/>
      <c r="I54" s="20"/>
      <c r="J54" s="20"/>
      <c r="K54" s="20"/>
      <c r="L54" s="20"/>
      <c r="M54" s="20"/>
    </row>
    <row r="55" spans="2:21" x14ac:dyDescent="0.25">
      <c r="H55" s="20"/>
      <c r="I55" s="20"/>
      <c r="J55" s="20"/>
      <c r="K55" s="20"/>
      <c r="L55" s="20"/>
      <c r="M55" s="20"/>
    </row>
    <row r="57" spans="2:21" x14ac:dyDescent="0.25">
      <c r="H57" s="20"/>
      <c r="I57" s="20"/>
      <c r="J57" s="20"/>
      <c r="K57" s="20"/>
      <c r="L57" s="20"/>
      <c r="M57" s="20"/>
    </row>
    <row r="58" spans="2:21" x14ac:dyDescent="0.25">
      <c r="H58" s="20"/>
      <c r="I58" s="20"/>
      <c r="J58" s="20"/>
      <c r="K58" s="20"/>
      <c r="L58" s="20"/>
      <c r="M58" s="20"/>
    </row>
    <row r="59" spans="2:21" x14ac:dyDescent="0.25">
      <c r="H59" s="20"/>
      <c r="I59" s="20"/>
      <c r="J59" s="20"/>
      <c r="K59" s="20"/>
      <c r="L59" s="20"/>
      <c r="M59" s="20"/>
    </row>
    <row r="60" spans="2:21" x14ac:dyDescent="0.25">
      <c r="H60" s="20"/>
      <c r="I60" s="20"/>
      <c r="J60" s="20"/>
      <c r="K60" s="20"/>
      <c r="L60" s="20"/>
      <c r="M60" s="20"/>
    </row>
    <row r="61" spans="2:21" x14ac:dyDescent="0.25">
      <c r="H61" s="20"/>
      <c r="I61" s="20"/>
      <c r="J61" s="20"/>
      <c r="K61" s="20"/>
      <c r="L61" s="20"/>
      <c r="M61" s="20"/>
    </row>
    <row r="62" spans="2:21" x14ac:dyDescent="0.25">
      <c r="H62" s="20"/>
      <c r="I62" s="20"/>
      <c r="J62" s="20"/>
      <c r="K62" s="20"/>
      <c r="L62" s="20"/>
      <c r="M62" s="20"/>
    </row>
    <row r="63" spans="2:21" x14ac:dyDescent="0.25">
      <c r="H63" s="20"/>
      <c r="I63" s="20"/>
      <c r="J63" s="20"/>
    </row>
    <row r="64" spans="2:21" x14ac:dyDescent="0.25">
      <c r="H64" s="20"/>
      <c r="I64" s="20"/>
      <c r="J64" s="20"/>
    </row>
    <row r="65" spans="8:10" x14ac:dyDescent="0.25">
      <c r="H65" s="20"/>
      <c r="I65" s="20"/>
      <c r="J65" s="20"/>
    </row>
    <row r="66" spans="8:10" x14ac:dyDescent="0.25">
      <c r="H66" s="20"/>
      <c r="I66" s="20"/>
      <c r="J66" s="20"/>
    </row>
    <row r="67" spans="8:10" x14ac:dyDescent="0.25">
      <c r="H67" s="20"/>
      <c r="I67" s="20"/>
      <c r="J67" s="20"/>
    </row>
    <row r="68" spans="8:10" x14ac:dyDescent="0.25">
      <c r="H68" s="20"/>
      <c r="I68" s="20"/>
      <c r="J68" s="20"/>
    </row>
    <row r="69" spans="8:10" x14ac:dyDescent="0.25">
      <c r="H69" s="20"/>
      <c r="I69" s="20"/>
      <c r="J69" s="20"/>
    </row>
    <row r="70" spans="8:10" x14ac:dyDescent="0.25">
      <c r="H70" s="20"/>
      <c r="I70" s="20"/>
      <c r="J70" s="20"/>
    </row>
    <row r="71" spans="8:10" x14ac:dyDescent="0.25">
      <c r="H71" s="20"/>
      <c r="I71" s="20"/>
      <c r="J71" s="20"/>
    </row>
    <row r="72" spans="8:10" x14ac:dyDescent="0.25">
      <c r="H72" s="20"/>
      <c r="I72" s="20"/>
      <c r="J72" s="20"/>
    </row>
    <row r="73" spans="8:10" x14ac:dyDescent="0.25">
      <c r="H73" s="20"/>
      <c r="I73" s="20"/>
      <c r="J73" s="20"/>
    </row>
    <row r="74" spans="8:10" x14ac:dyDescent="0.25">
      <c r="H74" s="20"/>
      <c r="I74" s="20"/>
      <c r="J74" s="20"/>
    </row>
    <row r="75" spans="8:10" x14ac:dyDescent="0.25">
      <c r="H75" s="20"/>
      <c r="I75" s="20"/>
      <c r="J75" s="20"/>
    </row>
    <row r="76" spans="8:10" x14ac:dyDescent="0.25">
      <c r="H76" s="20"/>
      <c r="I76" s="20"/>
      <c r="J76" s="20"/>
    </row>
    <row r="77" spans="8:10" x14ac:dyDescent="0.25">
      <c r="H77" s="20"/>
      <c r="I77" s="20"/>
      <c r="J77" s="20"/>
    </row>
    <row r="78" spans="8:10" x14ac:dyDescent="0.25">
      <c r="H78" s="20"/>
      <c r="I78" s="20"/>
      <c r="J78" s="20"/>
    </row>
    <row r="79" spans="8:10" x14ac:dyDescent="0.25">
      <c r="H79" s="20"/>
      <c r="I79" s="20"/>
      <c r="J79" s="20"/>
    </row>
    <row r="80" spans="8:10" x14ac:dyDescent="0.25">
      <c r="H80" s="20"/>
      <c r="I80" s="20"/>
      <c r="J80" s="20"/>
    </row>
    <row r="81" spans="8:10" x14ac:dyDescent="0.25">
      <c r="H81" s="20"/>
      <c r="I81" s="20"/>
      <c r="J81" s="20"/>
    </row>
    <row r="82" spans="8:10" x14ac:dyDescent="0.25">
      <c r="H82" s="20"/>
      <c r="I82" s="20"/>
      <c r="J82" s="20"/>
    </row>
  </sheetData>
  <mergeCells count="32">
    <mergeCell ref="O3:O13"/>
    <mergeCell ref="B26:B28"/>
    <mergeCell ref="D13:G13"/>
    <mergeCell ref="D14:G14"/>
    <mergeCell ref="H3:H13"/>
    <mergeCell ref="D15:G15"/>
    <mergeCell ref="D16:G16"/>
    <mergeCell ref="D17:G17"/>
    <mergeCell ref="D18:G18"/>
    <mergeCell ref="D19:G19"/>
    <mergeCell ref="D20:G20"/>
    <mergeCell ref="D21:G21"/>
    <mergeCell ref="D22:G22"/>
    <mergeCell ref="D28:G28"/>
    <mergeCell ref="K3:K13"/>
    <mergeCell ref="L3:L13"/>
    <mergeCell ref="M3:M13"/>
    <mergeCell ref="N3:N13"/>
    <mergeCell ref="D29:G29"/>
    <mergeCell ref="D30:G30"/>
    <mergeCell ref="I3:I13"/>
    <mergeCell ref="J3:J13"/>
    <mergeCell ref="D23:G23"/>
    <mergeCell ref="D24:G24"/>
    <mergeCell ref="D25:G25"/>
    <mergeCell ref="D26:G26"/>
    <mergeCell ref="D27:G27"/>
    <mergeCell ref="Q47:Q48"/>
    <mergeCell ref="Q49:Q50"/>
    <mergeCell ref="R13:S13"/>
    <mergeCell ref="S35:T35"/>
    <mergeCell ref="V35:W35"/>
  </mergeCells>
  <conditionalFormatting sqref="M14:M30">
    <cfRule type="dataBar" priority="6">
      <dataBar>
        <cfvo type="min"/>
        <cfvo type="max"/>
        <color theme="4" tint="0.79998168889431442"/>
      </dataBar>
      <extLst>
        <ext xmlns:x14="http://schemas.microsoft.com/office/spreadsheetml/2009/9/main" uri="{B025F937-C7B1-47D3-B67F-A62EFF666E3E}">
          <x14:id>{EEE2F5D0-4CCA-4B1C-8F3B-3A8AD3EF2E03}</x14:id>
        </ext>
      </extLst>
    </cfRule>
  </conditionalFormatting>
  <conditionalFormatting sqref="N14:N30">
    <cfRule type="dataBar" priority="4">
      <dataBar>
        <cfvo type="min"/>
        <cfvo type="max"/>
        <color rgb="FF638EC6"/>
      </dataBar>
      <extLst>
        <ext xmlns:x14="http://schemas.microsoft.com/office/spreadsheetml/2009/9/main" uri="{B025F937-C7B1-47D3-B67F-A62EFF666E3E}">
          <x14:id>{1B2D740F-85EE-4D26-9868-A551B1FE191B}</x14:id>
        </ext>
      </extLst>
    </cfRule>
  </conditionalFormatting>
  <conditionalFormatting sqref="O14:O30">
    <cfRule type="dataBar" priority="7">
      <dataBar>
        <cfvo type="min"/>
        <cfvo type="max"/>
        <color rgb="FFFFB628"/>
      </dataBar>
      <extLst>
        <ext xmlns:x14="http://schemas.microsoft.com/office/spreadsheetml/2009/9/main" uri="{B025F937-C7B1-47D3-B67F-A62EFF666E3E}">
          <x14:id>{F8CF15C7-C7A9-480A-BF86-346C448D2F24}</x14:id>
        </ext>
      </extLst>
    </cfRule>
  </conditionalFormatting>
  <hyperlinks>
    <hyperlink ref="C10" r:id="rId1" xr:uid="{0238C131-9C40-44D4-8C7C-149EC29AB0FE}"/>
  </hyperlinks>
  <pageMargins left="0.25" right="0.25" top="0.75" bottom="0.75" header="0.3" footer="0.3"/>
  <pageSetup paperSize="8" scale="48" orientation="landscape" r:id="rId2"/>
  <drawing r:id="rId3"/>
  <extLst>
    <ext xmlns:x14="http://schemas.microsoft.com/office/spreadsheetml/2009/9/main" uri="{78C0D931-6437-407d-A8EE-F0AAD7539E65}">
      <x14:conditionalFormattings>
        <x14:conditionalFormatting xmlns:xm="http://schemas.microsoft.com/office/excel/2006/main">
          <x14:cfRule type="dataBar" id="{EEE2F5D0-4CCA-4B1C-8F3B-3A8AD3EF2E03}">
            <x14:dataBar minLength="0" maxLength="100" gradient="0">
              <x14:cfvo type="autoMin"/>
              <x14:cfvo type="autoMax"/>
              <x14:negativeFillColor rgb="FFFF0000"/>
              <x14:axisColor rgb="FF000000"/>
            </x14:dataBar>
          </x14:cfRule>
          <xm:sqref>M14:M30</xm:sqref>
        </x14:conditionalFormatting>
        <x14:conditionalFormatting xmlns:xm="http://schemas.microsoft.com/office/excel/2006/main">
          <x14:cfRule type="dataBar" id="{1B2D740F-85EE-4D26-9868-A551B1FE191B}">
            <x14:dataBar minLength="0" maxLength="100" border="1" negativeBarBorderColorSameAsPositive="0">
              <x14:cfvo type="autoMin"/>
              <x14:cfvo type="autoMax"/>
              <x14:borderColor rgb="FF638EC6"/>
              <x14:negativeFillColor rgb="FFFF0000"/>
              <x14:negativeBorderColor rgb="FFFF0000"/>
              <x14:axisColor rgb="FF000000"/>
            </x14:dataBar>
          </x14:cfRule>
          <xm:sqref>N14:N30</xm:sqref>
        </x14:conditionalFormatting>
        <x14:conditionalFormatting xmlns:xm="http://schemas.microsoft.com/office/excel/2006/main">
          <x14:cfRule type="dataBar" id="{F8CF15C7-C7A9-480A-BF86-346C448D2F24}">
            <x14:dataBar minLength="0" maxLength="100" border="1" negativeBarBorderColorSameAsPositive="0">
              <x14:cfvo type="autoMin"/>
              <x14:cfvo type="autoMax"/>
              <x14:borderColor rgb="FFFFB628"/>
              <x14:negativeFillColor rgb="FFFF0000"/>
              <x14:negativeBorderColor rgb="FFFF0000"/>
              <x14:axisColor rgb="FF000000"/>
            </x14:dataBar>
          </x14:cfRule>
          <xm:sqref>O14:O30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0 E A A B Q S w M E F A A C A A g A i g x K V 9 Q E i W q k A A A A 9 g A A A B I A H A B D b 2 5 m a W c v U G F j a 2 F n Z S 5 4 b W w g o h g A K K A U A A A A A A A A A A A A A A A A A A A A A A A A A A A A h Y + 9 D o I w H M R f h X S n X y 6 G / C m D u k l i Y m J c m 1 K h A Y q h x f J u D j 6 S r y B G U T f H u / t d c n e / 3 i A b 2 y a 6 6 N 6 Z z q a I Y Y o i b V V X G F u m a P C n e I k y A T u p a l n q a I K t S 0 Z n U l R 5 f 0 4 I C S H g s M B d X x J O K S P H f L t X l W 5 l b K z z 0 i q N P q 3 i f w s J O L z G C I 4 Z Z 5 h T j i m Q 2 Y T c 2 C 8 w 5 f S Z / p i w G h o / 9 F o U O l 5 v g M w S y P u D e A B Q S w M E F A A C A A g A i g x K 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o M S l c T o T l R 1 w E A A J Q K A A A T A B w A R m 9 y b X V s Y X M v U 2 V j d G l v b j E u b S C i G A A o o B Q A A A A A A A A A A A A A A A A A A A A A A A A A A A D t V N t q G z E Q f T f 4 H w b l Z Q 1 i i S / N Q 8 M + F L u N C 6 G 4 r E s o 2 T 4 o u x N 7 s V Y y G i m p M f 6 b f k N / I D 9 W b d b N x e 2 m x E 4 D p d H L i i P N 0 c w 5 M 0 u Y 2 l w r i K t v + 7 D Z a D Z o K g x m s M d G w q K y 8 C 6 X u Z o Q H B l E B c N F Z v Q E F Y M I J N p m A / z 6 6 F B K 9 E i f L s K B T l 3 h A w M f i G F f q 5 K F A t Z / n X w i N J Q c u 5 m g Z I A 0 s 3 q e P P h K m N I F a / H T A c q 8 y C 2 a i H H G o a + l K x R F X Q 5 v V a o z H x k d v N r f b 3 O f i r Y Y 2 4 X E 6 H Y b f t A K v 7 R 4 l e 0 e G 1 5 9 n 6 K B C Z J 1 5 x Z h i C J D U 5 Y 0 F m f + + s j o w s d W M A V V e R x O 1 / g b K e N U S G E o s s b d J T 7 C q 2 / K x / h M Y b y Y 3 z K O j V B 0 r k 1 R p e 7 P k I L a R P h y y X 7 K 6 I t 1 y v q i 3 y t 7 0 A v L y B W H J R u 5 M 5 m n 4 t q / z y j M r z e O c S I k x F Z Y R / 7 U e h w s f r W r V a v Z y F V d z v e b I E 6 n 2 l c q F 3 C i z e y v d c H D z 7 y 0 w Q 5 t c M N Q I l v 3 w b w a 0 2 x N R r s 7 r y + V 1 C K j Z J P 6 D 2 5 3 X t y u c f s x f t L N w F 2 W A / e E d m 4 w / 8 b N w z t u 9 r Z 0 8 3 G i r 8 3 0 C l d o + 9 4 c l M p W e K c G 7 9 b g v a 3 n a U M l C D q t Z / X g K S b q O T z Y S d P u v 6 f p f / + X + g F Q S w E C L Q A U A A I A C A C K D E p X 1 A S J a q Q A A A D 2 A A A A E g A A A A A A A A A A A A A A A A A A A A A A Q 2 9 u Z m l n L 1 B h Y 2 t h Z 2 U u e G 1 s U E s B A i 0 A F A A C A A g A i g x K V w / K 6 a u k A A A A 6 Q A A A B M A A A A A A A A A A A A A A A A A 8 A A A A F t D b 2 5 0 Z W 5 0 X 1 R 5 c G V z X S 5 4 b W x Q S w E C L Q A U A A I A C A C K D E p X E 6 E 5 U d c B A A C U C g A A E w A A A A A A A A A A A A A A A A D h A Q A A R m 9 y b X V s Y X M v U 2 V j d G l v b j E u b V B L B Q Y A A A A A A w A D A M I A A A A F 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D N w A A A A A A A K E 3 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G F y b H k l M j B X b 3 J r c y U y M E d y Z W V u J T I w S H l k c m 9 n Z W 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U Y W J l b G x l M y I g L z 4 8 R W 5 0 c n k g V H l w Z T 0 i U m V j b 3 Z l c n l U Y X J n Z X R D b 2 x 1 b W 4 i I F Z h b H V l P S J s M S I g L z 4 8 R W 5 0 c n k g V H l w Z T 0 i U m V j b 3 Z l c n l U Y X J n Z X R S b 3 c i I F Z h b H V l P S J s M S 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M t M T A t M D l U M T Q 6 N T I 6 M z k u M z M 0 M j U z O F o i I C 8 + P E V u d H J 5 I F R 5 c G U 9 I k Z p b G x D b 2 x 1 b W 5 U e X B l c y I g V m F s d W U 9 I n N B d 0 1 H I i A v P j x F b n R y e S B U e X B l P S J G a W x s Q 2 9 s d W 1 u T m F t Z X M i I F Z h b H V l P S J z W y Z x d W 9 0 O 0 R v Y 3 V t Z W 5 0 I E N v d W 5 0 J n F 1 b 3 Q 7 L C Z x d W 9 0 O 1 B 1 Y m x p Y 2 F 0 a W 9 u I F l l Y X I m c X V v d D s s J n F 1 b 3 Q 7 R G 9 j d W 1 l b n Q g V H l w 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j a G 9 s Y X J s e S B X b 3 J r c y B H c m V l b i B I e W R y b 2 d l b i 9 H Z c O k b m R l c n R l c i B U e X A u e 0 R v Y 3 V t Z W 5 0 I E N v d W 5 0 L D B 9 J n F 1 b 3 Q 7 L C Z x d W 9 0 O 1 N l Y 3 R p b 2 4 x L 1 N j a G 9 s Y X J s e S B X b 3 J r c y B H c m V l b i B I e W R y b 2 d l b i 9 H Z c O k b m R l c n R l c i B U e X A u e 1 B 1 Y m x p Y 2 F 0 a W 9 u I F l l Y X I s M X 0 m c X V v d D s s J n F 1 b 3 Q 7 U 2 V j d G l v b j E v U 2 N o b 2 x h c m x 5 I F d v c m t z I E d y Z W V u I E h 5 Z H J v Z 2 V u L 0 d l w 6 R u Z G V y d G V y I F R 5 c C 5 7 R G 9 j d W 1 l b n Q g V H l w Z S w y f S Z x d W 9 0 O 1 0 s J n F 1 b 3 Q 7 Q 2 9 s d W 1 u Q 2 9 1 b n Q m c X V v d D s 6 M y w m c X V v d D t L Z X l D b 2 x 1 b W 5 O Y W 1 l c y Z x d W 9 0 O z p b X S w m c X V v d D t D b 2 x 1 b W 5 J Z G V u d G l 0 a W V z J n F 1 b 3 Q 7 O l s m c X V v d D t T Z W N 0 a W 9 u M S 9 T Y 2 h v b G F y b H k g V 2 9 y a 3 M g R 3 J l Z W 4 g S H l k c m 9 n Z W 4 v R 2 X D p G 5 k Z X J 0 Z X I g V H l w L n t E b 2 N 1 b W V u d C B D b 3 V u d C w w f S Z x d W 9 0 O y w m c X V v d D t T Z W N 0 a W 9 u M S 9 T Y 2 h v b G F y b H k g V 2 9 y a 3 M g R 3 J l Z W 4 g S H l k c m 9 n Z W 4 v R 2 X D p G 5 k Z X J 0 Z X I g V H l w L n t Q d W J s a W N h d G l v b i B Z Z W F y L D F 9 J n F 1 b 3 Q 7 L C Z x d W 9 0 O 1 N l Y 3 R p b 2 4 x L 1 N j a G 9 s Y X J s e S B X b 3 J r c y B H c m V l b i B I e W R y b 2 d l b i 9 H Z c O k b m R l c n R l c i B U e X A u e 0 R v Y 3 V t Z W 5 0 I F R 5 c G U s M n 0 m c X V v d D t d L C Z x d W 9 0 O 1 J l b G F 0 a W 9 u c 2 h p c E l u Z m 8 m c X V v d D s 6 W 1 1 9 I i A v P j w v U 3 R h Y m x l R W 5 0 c m l l c z 4 8 L 0 l 0 Z W 0 + P E l 0 Z W 0 + P E l 0 Z W 1 M b 2 N h d G l v b j 4 8 S X R l b V R 5 c G U + R m 9 y b X V s Y T w v S X R l b V R 5 c G U + P E l 0 Z W 1 Q Y X R o P l N l Y 3 R p b 2 4 x L 1 N j a G 9 s Y X J s e S U y M F d v c m t z J T I w R 3 J l Z W 4 l M j B I e W R y b 2 d l b i 9 R d W V s b G U 8 L 0 l 0 Z W 1 Q Y X R o P j w v S X R l b U x v Y 2 F 0 a W 9 u P j x T d G F i b G V F b n R y a W V z I C 8 + P C 9 J d G V t P j x J d G V t P j x J d G V t T G 9 j Y X R p b 2 4 + P E l 0 Z W 1 U e X B l P k Z v c m 1 1 b G E 8 L 0 l 0 Z W 1 U e X B l P j x J d G V t U G F 0 a D 5 T Z W N 0 a W 9 u M S 9 T Y 2 h v b G F y b H k l M j B X b 3 J r c y U y M E d y Z W V u J T I w S H l k c m 9 n Z W 4 v S C V D M y V C N m h l c i U y M G d l c 3 R 1 Z n R l J T I w S G V h Z G V y P C 9 J d G V t U G F 0 a D 4 8 L 0 l 0 Z W 1 M b 2 N h d G l v b j 4 8 U 3 R h Y m x l R W 5 0 c m l l c y A v P j w v S X R l b T 4 8 S X R l b T 4 8 S X R l b U x v Y 2 F 0 a W 9 u P j x J d G V t V H l w Z T 5 G b 3 J t d W x h P C 9 J d G V t V H l w Z T 4 8 S X R l b V B h d G g + U 2 V j d G l v b j E v U 2 N o b 2 x h c m x 5 J T I w V 2 9 y a 3 M l M j B H c m V l b i U y M E h 5 Z H J v Z 2 V u L 0 d l J U M z J U E 0 b m R l c n R l c i U y M F R 5 c D w v S X R l b V B h d G g + P C 9 J d G V t T G 9 j Y X R p b 2 4 + P F N 0 Y W J s Z U V u d H J p Z X M g L z 4 8 L 0 l 0 Z W 0 + P E l 0 Z W 0 + P E l 0 Z W 1 M b 2 N h d G l v b j 4 8 S X R l b V R 5 c G U + R m 9 y b X V s Y T w v S X R l b V R 5 c G U + P E l 0 Z W 1 Q Y X R o P l N l Y 3 R p b 2 4 x L 1 B h d G V u d C U y M E Z p b G l u Z 3 M l M j B H c m V l b i U y M E h 5 Z H J v Z 2 V u 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U m V j b 3 Z l c n l U Y X J n Z X R T a G V l d C I g V m F s d W U 9 I n N U Y W J l b G x l M i I g L z 4 8 R W 5 0 c n k g V H l w Z T 0 i U m V j b 3 Z l c n l U Y X J n Z X R D b 2 x 1 b W 4 i I F Z h b H V l P S J s M S I g L z 4 8 R W 5 0 c n k g V H l w Z T 0 i U m V j b 3 Z l c n l U Y X J n Z X R S b 3 c i I F Z h b H V l P S J s M S I g L z 4 8 R W 5 0 c n k g V H l w Z T 0 i R m l s b E N v d W 5 0 I i B W Y W x 1 Z T 0 i b D U y I i A v P j x F b n R y e S B U e X B l P S J B Z G R l Z F R v R G F 0 Y U 1 v Z G V s I i B W Y W x 1 Z T 0 i b D A i I C 8 + P E V u d H J 5 I F R 5 c G U 9 I k Z p b G x F c n J v c k N v Z G U i I F Z h b H V l P S J z V W 5 r b m 9 3 b i I g L z 4 8 R W 5 0 c n k g V H l w Z T 0 i R m l s b E V y c m 9 y Q 2 9 1 b n Q i I F Z h b H V l P S J s M C I g L z 4 8 R W 5 0 c n k g V H l w Z T 0 i R m l s b E x h c 3 R V c G R h d G V k I i B W Y W x 1 Z T 0 i Z D I w M j M t M T A t M D l U M T Q 6 N T E 6 N D g u M z A 3 M D c z N F o i I C 8 + P E V u d H J 5 I F R 5 c G U 9 I k Z p b G x D b 2 x 1 b W 5 U e X B l c y I g V m F s d W U 9 I n N B d 0 1 H I i A v P j x F b n R y e S B U e X B l P S J G a W x s Q 2 9 s d W 1 u T m F t Z X M i I F Z h b H V l P S J z W y Z x d W 9 0 O 0 R v Y 3 V t Z W 5 0 I E N v d W 5 0 J n F 1 b 3 Q 7 L C Z x d W 9 0 O 1 B 1 Y m x p Y 2 F 0 a W 9 u I F l l Y X I m c X V v d D s s J n F 1 b 3 Q 7 T G V n Y W w g U 3 R h d H V 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G F 0 Z W 5 0 I E Z p b G l u Z 3 M g R 3 J l Z W 4 g S H l k c m 9 n Z W 4 v R 2 X D p G 5 k Z X J 0 Z X I g V H l w L n t E b 2 N 1 b W V u d C B D b 3 V u d C w w f S Z x d W 9 0 O y w m c X V v d D t T Z W N 0 a W 9 u M S 9 Q Y X R l b n Q g R m l s a W 5 n c y B H c m V l b i B I e W R y b 2 d l b i 9 H Z c O k b m R l c n R l c i B U e X A u e 1 B 1 Y m x p Y 2 F 0 a W 9 u I F l l Y X I s M X 0 m c X V v d D s s J n F 1 b 3 Q 7 U 2 V j d G l v b j E v U G F 0 Z W 5 0 I E Z p b G l u Z 3 M g R 3 J l Z W 4 g S H l k c m 9 n Z W 4 v R 2 X D p G 5 k Z X J 0 Z X I g V H l w L n t M Z W d h b C B T d G F 0 d X M s M n 0 m c X V v d D t d L C Z x d W 9 0 O 0 N v b H V t b k N v d W 5 0 J n F 1 b 3 Q 7 O j M s J n F 1 b 3 Q 7 S 2 V 5 Q 2 9 s d W 1 u T m F t Z X M m c X V v d D s 6 W 1 0 s J n F 1 b 3 Q 7 Q 2 9 s d W 1 u S W R l b n R p d G l l c y Z x d W 9 0 O z p b J n F 1 b 3 Q 7 U 2 V j d G l v b j E v U G F 0 Z W 5 0 I E Z p b G l u Z 3 M g R 3 J l Z W 4 g S H l k c m 9 n Z W 4 v R 2 X D p G 5 k Z X J 0 Z X I g V H l w L n t E b 2 N 1 b W V u d C B D b 3 V u d C w w f S Z x d W 9 0 O y w m c X V v d D t T Z W N 0 a W 9 u M S 9 Q Y X R l b n Q g R m l s a W 5 n c y B H c m V l b i B I e W R y b 2 d l b i 9 H Z c O k b m R l c n R l c i B U e X A u e 1 B 1 Y m x p Y 2 F 0 a W 9 u I F l l Y X I s M X 0 m c X V v d D s s J n F 1 b 3 Q 7 U 2 V j d G l v b j E v U G F 0 Z W 5 0 I E Z p b G l u Z 3 M g R 3 J l Z W 4 g S H l k c m 9 n Z W 4 v R 2 X D p G 5 k Z X J 0 Z X I g V H l w L n t M Z W d h b C B T d G F 0 d X M s M n 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B h d G V u d C U y M E Z p b G l u Z 3 M l M j B H c m V l b i U y M E h 5 Z H J v Z 2 V u L 1 F 1 Z W x s Z T w v S X R l b V B h d G g + P C 9 J d G V t T G 9 j Y X R p b 2 4 + P F N 0 Y W J s Z U V u d H J p Z X M g L z 4 8 L 0 l 0 Z W 0 + P E l 0 Z W 0 + P E l 0 Z W 1 M b 2 N h d G l v b j 4 8 S X R l b V R 5 c G U + R m 9 y b X V s Y T w v S X R l b V R 5 c G U + P E l 0 Z W 1 Q Y X R o P l N l Y 3 R p b 2 4 x L 1 B h d G V u d C U y M E Z p b G l u Z 3 M l M j B H c m V l b i U y M E h 5 Z H J v Z 2 V u L 0 g l Q z M l Q j Z o Z X I l M j B n Z X N 0 d W Z 0 Z S U y M E h l Y W R l c j w v S X R l b V B h d G g + P C 9 J d G V t T G 9 j Y X R p b 2 4 + P F N 0 Y W J s Z U V u d H J p Z X M g L z 4 8 L 0 l 0 Z W 0 + P E l 0 Z W 0 + P E l 0 Z W 1 M b 2 N h d G l v b j 4 8 S X R l b V R 5 c G U + R m 9 y b X V s Y T w v S X R l b V R 5 c G U + P E l 0 Z W 1 Q Y X R o P l N l Y 3 R p b 2 4 x L 1 B h d G V u d C U y M E Z p b G l u Z 3 M l M j B H c m V l b i U y M E h 5 Z H J v Z 2 V u L 0 d l J U M z J U E 0 b m R l c n R l c i U y M F R 5 c D w v S X R l b V B h d G g + P C 9 J d G V t T G 9 j Y X R p b 2 4 + P F N 0 Y W J s Z U V u d H J p Z X M g L z 4 8 L 0 l 0 Z W 0 + P E l 0 Z W 0 + P E l 0 Z W 1 M b 2 N h d G l v b j 4 8 S X R l b V R 5 c G U + R m 9 y b X V s Y T w v S X R l b V R 5 c G U + P E l 0 Z W 1 Q Y X R o P l N l Y 3 R p b 2 4 x L 3 B h d G V u d C U y M G R v Y 3 V t Z W 5 0 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w Y X R l b n R f Z G 9 j d W 1 l b n R z I i A v P j x F b n R y e S B U e X B l P S J G a W x s Z W R D b 2 1 w b G V 0 Z V J l c 3 V s d F R v V 2 9 y a 3 N o Z W V 0 I i B W Y W x 1 Z T 0 i b D E i I C 8 + P E V u d H J 5 I F R 5 c G U 9 I l J l Y 2 9 2 Z X J 5 V G F y Z 2 V 0 U 2 h l Z X Q i I F Z h b H V l P S J z V G F i Z W x s Z T I i I C 8 + P E V u d H J 5 I F R 5 c G U 9 I l J l Y 2 9 2 Z X J 5 V G F y Z 2 V 0 Q 2 9 s d W 1 u I i B W Y W x 1 Z T 0 i b D E i I C 8 + P E V u d H J 5 I F R 5 c G U 9 I l J l Y 2 9 2 Z X J 5 V G F y Z 2 V 0 U m 9 3 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z L T E w L T A 5 V D I z O j I 3 O j Q z L j A w O D U 5 M D F a I i A v P j x F b n R y e S B U e X B l P S J G a W x s Q 2 9 s d W 1 u V H l w Z X M i I F Z h b H V l P S J z Q X d N P S I g L z 4 8 R W 5 0 c n k g V H l w Z T 0 i R m l s b E N v b H V t b k 5 h b W V z I i B W Y W x 1 Z T 0 i c 1 s m c X V v d D t E b 2 N 1 b W V u d C B D b 3 V u d C Z x d W 9 0 O y w m c X V v d D t Q d W J s a W N h d G l v b i B Z Z W F 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G F 0 Z W 5 0 I G R v Y 3 V t Z W 5 0 c y 9 H Z c O k b m R l c n R l c i B U e X A u e 0 R v Y 3 V t Z W 5 0 I E N v d W 5 0 L D B 9 J n F 1 b 3 Q 7 L C Z x d W 9 0 O 1 N l Y 3 R p b 2 4 x L 3 B h d G V u d C B k b 2 N 1 b W V u d H M v R 2 X D p G 5 k Z X J 0 Z X I g V H l w L n t Q d W J s a W N h d G l v b i B Z Z W F y L D F 9 J n F 1 b 3 Q 7 X S w m c X V v d D t D b 2 x 1 b W 5 D b 3 V u d C Z x d W 9 0 O z o y L C Z x d W 9 0 O 0 t l e U N v b H V t b k 5 h b W V z J n F 1 b 3 Q 7 O l t d L C Z x d W 9 0 O 0 N v b H V t b k l k Z W 5 0 a X R p Z X M m c X V v d D s 6 W y Z x d W 9 0 O 1 N l Y 3 R p b 2 4 x L 3 B h d G V u d C B k b 2 N 1 b W V u d H M v R 2 X D p G 5 k Z X J 0 Z X I g V H l w L n t E b 2 N 1 b W V u d C B D b 3 V u d C w w f S Z x d W 9 0 O y w m c X V v d D t T Z W N 0 a W 9 u M S 9 w Y X R l b n Q g Z G 9 j d W 1 l b n R z L 0 d l w 6 R u Z G V y d G V y I F R 5 c C 5 7 U H V i b G l j Y X R p b 2 4 g W W V h c i w x f S Z x d W 9 0 O 1 0 s J n F 1 b 3 Q 7 U m V s Y X R p b 2 5 z a G l w S W 5 m b y Z x d W 9 0 O z p b X X 0 i I C 8 + P C 9 T d G F i b G V F b n R y a W V z P j w v S X R l b T 4 8 S X R l b T 4 8 S X R l b U x v Y 2 F 0 a W 9 u P j x J d G V t V H l w Z T 5 G b 3 J t d W x h P C 9 J d G V t V H l w Z T 4 8 S X R l b V B h d G g + U 2 V j d G l v b j E v c G F 0 Z W 5 0 J T I w Z G 9 j d W 1 l b n R z L 1 F 1 Z W x s Z T w v S X R l b V B h d G g + P C 9 J d G V t T G 9 j Y X R p b 2 4 + P F N 0 Y W J s Z U V u d H J p Z X M g L z 4 8 L 0 l 0 Z W 0 + P E l 0 Z W 0 + P E l 0 Z W 1 M b 2 N h d G l v b j 4 8 S X R l b V R 5 c G U + R m 9 y b X V s Y T w v S X R l b V R 5 c G U + P E l 0 Z W 1 Q Y X R o P l N l Y 3 R p b 2 4 x L 3 B h d G V u d C U y M G R v Y 3 V t Z W 5 0 c y 9 I J U M z J U I 2 a G V y J T I w Z 2 V z d H V m d G U l M j B I Z W F k Z X I 8 L 0 l 0 Z W 1 Q Y X R o P j w v S X R l b U x v Y 2 F 0 a W 9 u P j x T d G F i b G V F b n R y a W V z I C 8 + P C 9 J d G V t P j x J d G V t P j x J d G V t T G 9 j Y X R p b 2 4 + P E l 0 Z W 1 U e X B l P k Z v c m 1 1 b G E 8 L 0 l 0 Z W 1 U e X B l P j x J d G V t U G F 0 a D 5 T Z W N 0 a W 9 u M S 9 w Y X R l b n Q l M j B k b 2 N 1 b W V u d H M v R 2 U l Q z M l Q T R u Z G V y d G V y J T I w V H l w P C 9 J d G V t U G F 0 a D 4 8 L 0 l 0 Z W 1 M b 2 N h d G l v b j 4 8 U 3 R h Y m x l R W 5 0 c m l l c y A v P j w v S X R l b T 4 8 S X R l b T 4 8 S X R l b U x v Y 2 F 0 a W 9 u P j x J d G V t V H l w Z T 5 G b 3 J t d W x h P C 9 J d G V t V H l w Z T 4 8 S X R l b V B h d G g + U 2 V j d G l v b j E v c 2 N o b 2 x h c m x 5 J T I w d 2 9 y a 3 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U Y W J l b G x l N C I g L z 4 8 R W 5 0 c n k g V H l w Z T 0 i U m V j b 3 Z l c n l U Y X J n Z X R D b 2 x 1 b W 4 i I F Z h b H V l P S J s M S I g L z 4 8 R W 5 0 c n k g V H l w Z T 0 i U m V j b 3 Z l c n l U Y X J n Z X R S b 3 c i I F Z h b H V l P S J s M S I g L z 4 8 R W 5 0 c n k g V H l w Z T 0 i Q W R k Z W R U b 0 R h d G F N b 2 R l b C I g V m F s d W U 9 I m w w I i A v P j x F b n R y e S B U e X B l P S J G a W x s Q 2 9 1 b n Q i I F Z h b H V l P S J s N T U i I C 8 + P E V u d H J 5 I F R 5 c G U 9 I k Z p b G x F c n J v c k N v Z G U i I F Z h b H V l P S J z V W 5 r b m 9 3 b i I g L z 4 8 R W 5 0 c n k g V H l w Z T 0 i R m l s b E V y c m 9 y Q 2 9 1 b n Q i I F Z h b H V l P S J s M C I g L z 4 8 R W 5 0 c n k g V H l w Z T 0 i R m l s b E x h c 3 R V c G R h d G V k I i B W Y W x 1 Z T 0 i Z D I w M j M t M T A t M D l U M j M 6 M j k 6 M T Y u O T c x M T A z O F 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N o b 2 x h c m x 5 I H d v c m t z L 0 d l w 6 R u Z G V y d G V y I F R 5 c C 5 7 Q 2 9 s d W 1 u M S w w f S Z x d W 9 0 O y w m c X V v d D t T Z W N 0 a W 9 u M S 9 z Y 2 h v b G F y b H k g d 2 9 y a 3 M v R 2 X D p G 5 k Z X J 0 Z X I g V H l w L n t D b 2 x 1 b W 4 y L D F 9 J n F 1 b 3 Q 7 L C Z x d W 9 0 O 1 N l Y 3 R p b 2 4 x L 3 N j a G 9 s Y X J s e S B 3 b 3 J r c y 9 H Z c O k b m R l c n R l c i B U e X A u e 0 N v b H V t b j M s M n 0 m c X V v d D s s J n F 1 b 3 Q 7 U 2 V j d G l v b j E v c 2 N o b 2 x h c m x 5 I H d v c m t z L 0 d l w 6 R u Z G V y d G V y I F R 5 c C 5 7 Q 2 9 s d W 1 u N C w z f S Z x d W 9 0 O 1 0 s J n F 1 b 3 Q 7 Q 2 9 s d W 1 u Q 2 9 1 b n Q m c X V v d D s 6 N C w m c X V v d D t L Z X l D b 2 x 1 b W 5 O Y W 1 l c y Z x d W 9 0 O z p b X S w m c X V v d D t D b 2 x 1 b W 5 J Z G V u d G l 0 a W V z J n F 1 b 3 Q 7 O l s m c X V v d D t T Z W N 0 a W 9 u M S 9 z Y 2 h v b G F y b H k g d 2 9 y a 3 M v R 2 X D p G 5 k Z X J 0 Z X I g V H l w L n t D b 2 x 1 b W 4 x L D B 9 J n F 1 b 3 Q 7 L C Z x d W 9 0 O 1 N l Y 3 R p b 2 4 x L 3 N j a G 9 s Y X J s e S B 3 b 3 J r c y 9 H Z c O k b m R l c n R l c i B U e X A u e 0 N v b H V t b j I s M X 0 m c X V v d D s s J n F 1 b 3 Q 7 U 2 V j d G l v b j E v c 2 N o b 2 x h c m x 5 I H d v c m t z L 0 d l w 6 R u Z G V y d G V y I F R 5 c C 5 7 Q 2 9 s d W 1 u M y w y f S Z x d W 9 0 O y w m c X V v d D t T Z W N 0 a W 9 u M S 9 z Y 2 h v b G F y b H k g d 2 9 y a 3 M v R 2 X D p G 5 k Z X J 0 Z X I g V H l w L n t D b 2 x 1 b W 4 0 L D N 9 J n F 1 b 3 Q 7 X S w m c X V v d D t S Z W x h d G l v b n N o a X B J b m Z v J n F 1 b 3 Q 7 O l t d f S I g L z 4 8 L 1 N 0 Y W J s Z U V u d H J p Z X M + P C 9 J d G V t P j x J d G V t P j x J d G V t T G 9 j Y X R p b 2 4 + P E l 0 Z W 1 U e X B l P k Z v c m 1 1 b G E 8 L 0 l 0 Z W 1 U e X B l P j x J d G V t U G F 0 a D 5 T Z W N 0 a W 9 u M S 9 z Y 2 h v b G F y b H k l M j B 3 b 3 J r c y 9 R d W V s b G U 8 L 0 l 0 Z W 1 Q Y X R o P j w v S X R l b U x v Y 2 F 0 a W 9 u P j x T d G F i b G V F b n R y a W V z I C 8 + P C 9 J d G V t P j x J d G V t P j x J d G V t T G 9 j Y X R p b 2 4 + P E l 0 Z W 1 U e X B l P k Z v c m 1 1 b G E 8 L 0 l 0 Z W 1 U e X B l P j x J d G V t U G F 0 a D 5 T Z W N 0 a W 9 u M S 9 z Y 2 h v b G F y b H k l M j B 3 b 3 J r c y 9 H Z S V D M y V B N G 5 k Z X J 0 Z X I l M j B U e X A 8 L 0 l 0 Z W 1 Q Y X R o P j w v S X R l b U x v Y 2 F 0 a W 9 u P j x T d G F i b G V F b n R y a W V z I C 8 + P C 9 J d G V t P j x J d G V t P j x J d G V t T G 9 j Y X R p b 2 4 + P E l 0 Z W 1 U e X B l P k Z v c m 1 1 b G E 8 L 0 l 0 Z W 1 U e X B l P j x J d G V t U G F 0 a D 5 T Z W N 0 a W 9 u M S 9 z Y 2 h v b G F y b H k l M j B 3 b 3 J r c y 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R h Y m V s b G U 1 I i A v P j x F b n R y e S B U e X B l P S J S Z W N v d m V y e V R h c m d l d E N v b H V t b i I g V m F s d W U 9 I m w x I i A v P j x F b n R y e S B U e X B l P S J S Z W N v d m V y e V R h c m d l d F J v d y I g V m F s d W U 9 I m w x I i A v P j x F b n R y e S B U e X B l P S J B Z G R l Z F R v R G F 0 Y U 1 v Z G V s I i B W Y W x 1 Z T 0 i b D A i I C 8 + P E V u d H J 5 I F R 5 c G U 9 I k Z p b G x D b 3 V u d C I g V m F s d W U 9 I m w 1 N S I g L z 4 8 R W 5 0 c n k g V H l w Z T 0 i R m l s b E V y c m 9 y Q 2 9 k Z S I g V m F s d W U 9 I n N V b m t u b 3 d u I i A v P j x F b n R y e S B U e X B l P S J G a W x s R X J y b 3 J D b 3 V u d C I g V m F s d W U 9 I m w w I i A v P j x F b n R y e S B U e X B l P S J G a W x s T G F z d F V w Z G F 0 Z W Q i I F Z h b H V l P S J k M j A y M y 0 x M C 0 w O V Q y M z o z M D o w O C 4 5 N z E x O D Y 4 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N o b 2 x h c m x 5 I H d v c m t z I C g y K S 9 H Z c O k b m R l c n R l c i B U e X A u e 0 N v b H V t b j E s M H 0 m c X V v d D s s J n F 1 b 3 Q 7 U 2 V j d G l v b j E v c 2 N o b 2 x h c m x 5 I H d v c m t z I C g y K S 9 H Z c O k b m R l c n R l c i B U e X A u e 0 N v b H V t b j I s M X 0 m c X V v d D t d L C Z x d W 9 0 O 0 N v b H V t b k N v d W 5 0 J n F 1 b 3 Q 7 O j I s J n F 1 b 3 Q 7 S 2 V 5 Q 2 9 s d W 1 u T m F t Z X M m c X V v d D s 6 W 1 0 s J n F 1 b 3 Q 7 Q 2 9 s d W 1 u S W R l b n R p d G l l c y Z x d W 9 0 O z p b J n F 1 b 3 Q 7 U 2 V j d G l v b j E v c 2 N o b 2 x h c m x 5 I H d v c m t z I C g y K S 9 H Z c O k b m R l c n R l c i B U e X A u e 0 N v b H V t b j E s M H 0 m c X V v d D s s J n F 1 b 3 Q 7 U 2 V j d G l v b j E v c 2 N o b 2 x h c m x 5 I H d v c m t z I C g y K S 9 H Z c O k b m R l c n R l c i B U e X A u e 0 N v b H V t b j I s M X 0 m c X V v d D t d L C Z x d W 9 0 O 1 J l b G F 0 a W 9 u c 2 h p c E l u Z m 8 m c X V v d D s 6 W 1 1 9 I i A v P j w v U 3 R h Y m x l R W 5 0 c m l l c z 4 8 L 0 l 0 Z W 0 + P E l 0 Z W 0 + P E l 0 Z W 1 M b 2 N h d G l v b j 4 8 S X R l b V R 5 c G U + R m 9 y b X V s Y T w v S X R l b V R 5 c G U + P E l 0 Z W 1 Q Y X R o P l N l Y 3 R p b 2 4 x L 3 N j a G 9 s Y X J s e S U y M H d v c m t z J T I w K D I p L 1 F 1 Z W x s Z T w v S X R l b V B h d G g + P C 9 J d G V t T G 9 j Y X R p b 2 4 + P F N 0 Y W J s Z U V u d H J p Z X M g L z 4 8 L 0 l 0 Z W 0 + P E l 0 Z W 0 + P E l 0 Z W 1 M b 2 N h d G l v b j 4 8 S X R l b V R 5 c G U + R m 9 y b X V s Y T w v S X R l b V R 5 c G U + P E l 0 Z W 1 Q Y X R o P l N l Y 3 R p b 2 4 x L 3 N j a G 9 s Y X J s e S U y M H d v c m t z J T I w K D I p L 0 d l J U M z J U E 0 b m R l c n R l c i U y M F R 5 c D w v S X R l b V B h d G g + P C 9 J d G V t T G 9 j Y X R p b 2 4 + P F N 0 Y W J s Z U V u d H J p Z X M g L z 4 8 L 0 l 0 Z W 0 + P E l 0 Z W 0 + P E l 0 Z W 1 M b 2 N h d G l v b j 4 8 S X R l b V R 5 c G U + R m 9 y b X V s Y T w v S X R l b V R 5 c G U + P E l 0 Z W 1 Q Y X R o P l N l Y 3 R p b 2 4 x L 3 N j a G 9 s Y X J s e S U y M H d v c m t z J T I w K D M 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j a G 9 s Y X J s e V 9 3 b 3 J r c 1 9 f M y I g L z 4 8 R W 5 0 c n k g V H l w Z T 0 i R m l s b G V k Q 2 9 t c G x l d G V S Z X N 1 b H R U b 1 d v c m t z a G V l d C I g V m F s d W U 9 I m w x I i A v P j x F b n R y e S B U e X B l P S J S Z W N v d m V y e V R h c m d l d F N o Z W V 0 I i B W Y W x 1 Z T 0 i c 1 R h Y m V s b G U 3 I i A v P j x F b n R y e S B U e X B l P S J S Z W N v d m V y e V R h c m d l d E N v b H V t b i I g V m F s d W U 9 I m w x I i A v P j x F b n R y e S B U e X B l P S J S Z W N v d m V y e V R h c m d l d F J v d y I g V m F s d W U 9 I m w x I i A v P j x F b n R y e S B U e X B l P S J B Z G R l Z F R v R G F 0 Y U 1 v Z G V s I i B W Y W x 1 Z T 0 i b D A i I C 8 + P E V u d H J 5 I F R 5 c G U 9 I k Z p b G x D b 3 V u d C I g V m F s d W U 9 I m w 1 N C I g L z 4 8 R W 5 0 c n k g V H l w Z T 0 i R m l s b E V y c m 9 y Q 2 9 k Z S I g V m F s d W U 9 I n N V b m t u b 3 d u I i A v P j x F b n R y e S B U e X B l P S J G a W x s R X J y b 3 J D b 3 V u d C I g V m F s d W U 9 I m w w I i A v P j x F b n R y e S B U e X B l P S J G a W x s T G F z d F V w Z G F 0 Z W Q i I F Z h b H V l P S J k M j A y M y 0 x M C 0 w O V Q y M z o z M z o z M y 4 2 M j E 4 N T M 1 W i I g L z 4 8 R W 5 0 c n k g V H l w Z T 0 i R m l s b E N v b H V t b l R 5 c G V z I i B W Y W x 1 Z T 0 i c 0 F 3 T T 0 i I C 8 + P E V u d H J 5 I F R 5 c G U 9 I k Z p b G x D b 2 x 1 b W 5 O Y W 1 l c y I g V m F s d W U 9 I n N b J n F 1 b 3 Q 7 R G 9 j d W 1 l b n Q g Q 2 9 1 b n Q m c X V v d D s s J n F 1 b 3 Q 7 U H V i b G l j Y X R p b 2 4 g W W V h 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j a G 9 s Y X J s e S B 3 b 3 J r c y A o M y k v R 2 X D p G 5 k Z X J 0 Z X I g V H l w L n t E b 2 N 1 b W V u d C B D b 3 V u d C w w f S Z x d W 9 0 O y w m c X V v d D t T Z W N 0 a W 9 u M S 9 z Y 2 h v b G F y b H k g d 2 9 y a 3 M g K D M p L 0 d l w 6 R u Z G V y d G V y I F R 5 c C 5 7 U H V i b G l j Y X R p b 2 4 g W W V h c i w x f S Z x d W 9 0 O 1 0 s J n F 1 b 3 Q 7 Q 2 9 s d W 1 u Q 2 9 1 b n Q m c X V v d D s 6 M i w m c X V v d D t L Z X l D b 2 x 1 b W 5 O Y W 1 l c y Z x d W 9 0 O z p b X S w m c X V v d D t D b 2 x 1 b W 5 J Z G V u d G l 0 a W V z J n F 1 b 3 Q 7 O l s m c X V v d D t T Z W N 0 a W 9 u M S 9 z Y 2 h v b G F y b H k g d 2 9 y a 3 M g K D M p L 0 d l w 6 R u Z G V y d G V y I F R 5 c C 5 7 R G 9 j d W 1 l b n Q g Q 2 9 1 b n Q s M H 0 m c X V v d D s s J n F 1 b 3 Q 7 U 2 V j d G l v b j E v c 2 N o b 2 x h c m x 5 I H d v c m t z I C g z K S 9 H Z c O k b m R l c n R l c i B U e X A u e 1 B 1 Y m x p Y 2 F 0 a W 9 u I F l l Y X I s M X 0 m c X V v d D t d L C Z x d W 9 0 O 1 J l b G F 0 a W 9 u c 2 h p c E l u Z m 8 m c X V v d D s 6 W 1 1 9 I i A v P j w v U 3 R h Y m x l R W 5 0 c m l l c z 4 8 L 0 l 0 Z W 0 + P E l 0 Z W 0 + P E l 0 Z W 1 M b 2 N h d G l v b j 4 8 S X R l b V R 5 c G U + R m 9 y b X V s Y T w v S X R l b V R 5 c G U + P E l 0 Z W 1 Q Y X R o P l N l Y 3 R p b 2 4 x L 3 N j a G 9 s Y X J s e S U y M H d v c m t z J T I w K D M p L 1 F 1 Z W x s Z T w v S X R l b V B h d G g + P C 9 J d G V t T G 9 j Y X R p b 2 4 + P F N 0 Y W J s Z U V u d H J p Z X M g L z 4 8 L 0 l 0 Z W 0 + P E l 0 Z W 0 + P E l 0 Z W 1 M b 2 N h d G l v b j 4 8 S X R l b V R 5 c G U + R m 9 y b X V s Y T w v S X R l b V R 5 c G U + P E l 0 Z W 1 Q Y X R o P l N l Y 3 R p b 2 4 x L 3 N j a G 9 s Y X J s e S U y M H d v c m t z J T I w K D M p L 0 g l Q z M l Q j Z o Z X I l M j B n Z X N 0 d W Z 0 Z S U y M E h l Y W R l c j w v S X R l b V B h d G g + P C 9 J d G V t T G 9 j Y X R p b 2 4 + P F N 0 Y W J s Z U V u d H J p Z X M g L z 4 8 L 0 l 0 Z W 0 + P E l 0 Z W 0 + P E l 0 Z W 1 M b 2 N h d G l v b j 4 8 S X R l b V R 5 c G U + R m 9 y b X V s Y T w v S X R l b V R 5 c G U + P E l 0 Z W 1 Q Y X R o P l N l Y 3 R p b 2 4 x L 3 N j a G 9 s Y X J s e S U y M H d v c m t z J T I w K D M p L 0 d l J U M z J U E 0 b m R l c n R l c i U y M F R 5 c D w v S X R l b V B h d G g + P C 9 J d G V t T G 9 j Y X R p b 2 4 + P F N 0 Y W J s Z U V u d H J p Z X M g L z 4 8 L 0 l 0 Z W 0 + P C 9 J d G V t c z 4 8 L 0 x v Y 2 F s U G F j a 2 F n Z U 1 l d G F k Y X R h R m l s Z T 4 W A A A A U E s F B g A A A A A A A A A A A A A A A A A A A A A A A C Y B A A A B A A A A 0 I y d 3 w E V 0 R G M e g D A T 8 K X 6 w E A A A C I N 0 r + Y A E X R 4 r r j F 6 k g C i t A A A A A A I A A A A A A B B m A A A A A Q A A I A A A A L o R W 6 I 3 p I g Z j U U f Y 2 k t G g Y 7 M B c F t B c a Q 0 k 1 e N B 7 6 7 r I A A A A A A 6 A A A A A A g A A I A A A A I F 9 V n K N a e O i V t o K / b 0 k d c / v v N U O 1 q W S O f n e G O e e 5 X 6 E U A A A A M V r d q 6 1 0 9 I T D J 7 i / m S e B 1 Q R g m R 8 n L r / C 9 Q m F V j P 6 U P U B b P l F F G w K Q H 2 Z L s i p l K i 7 L F 2 x t B t A 8 M 7 S + o E L W v s E A T 8 W 1 P S g U Q w K s M O b G b l Y Z A C Q A A A A O Q V B 9 k a R I 2 z F 8 N F w g D L T M k s s 1 P M K 7 O D C d d u u / v U i R m E E s 4 m i + v T b H m y z k S Y n H p S D t Q 9 I 4 5 l / l C F d O x D Y 3 K 4 + e 8 = < / 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V i s u a l i z a t i o n   x m l n s : x s i = " h t t p : / / w w w . w 3 . o r g / 2 0 0 1 / X M L S c h e m a - i n s t a n c e "   x m l n s : x s d = " h t t p : / / w w w . w 3 . o r g / 2 0 0 1 / X M L S c h e m a "   x m l n s = " h t t p : / / m i c r o s o f t . d a t a . v i s u a l i z a t i o n . C l i e n t . E x c e l / 1 . 0 " > < T o u r s > < T o u r   N a m e = " T o u r   1 "   I d = " { F 6 B 4 3 C C 5 - 0 0 0 D - 4 0 F 2 - A B D 4 - 0 F D A C 2 1 2 B F A 5 } "   T o u r I d = " 2 c a e e 0 3 d - f b 3 7 - 4 5 5 7 - a 6 f 9 - 0 e 5 b d 5 2 5 e 7 8 0 "   X m l V e r = " 6 "   M i n X m l V e r = " 3 " > < D e s c r i p t i o n > H i e r   s t e h t   e i n e   B e s c h r e i b u n g   f � r   d i e   T o u r . < / D e s c r i p t i o n > < I m a g e > i V B O R w 0 K G g o A A A A N S U h E U g A A A N Q A A A B 1 C A Y A A A A 2 n s 9 T A A A A A X N S R 0 I A r s 4 c 6 Q A A A A R n Q U 1 B A A C x j w v 8 Y Q U A A A A J c E h Z c w A A A W o A A A F q A X u t 2 D Y A A C N 2 S U R B V H h e 7 Z 2 J c 1 R X l u b P y 0 U p K V M r S E h s E m K 3 W c v G d g F e M A Z s 0 + 1 y V 1 X 3 z P T 0 V F f X d E 3 F x M z / M x X R M R E T P R 3 T U x 2 u 9 l I u G 2 y M F w x m B 9 v s k k A S a N + V + z 7 n O / f d z J e p R I t J 7 J 7 S / S W H t + T L z K e X 9 3 v n 3 H O X t N 7 9 / G y W D A Z D W X D Z S 4 P B U A a s 9 z 4 / Z z y U w V A m r P e + M I I y G M q F C f k M h j L C H u q 8 8 V A G Q 5 m w / n D K C M p g K B c m 5 D M Y y g h 7 q A v G Q x k M Z c J 6 / 0 s j K I O h X J i Q z 2 A o I 0 Z Q B k M Z 4 Z D v o g n 5 D I Y y Y f 3 x t B G U w V A u T M h n M J Q R 9 l C X j I c y G M q E 9 c c z R l A G Q 7 m w P j C C M h j K B g v q s h H U v x H a W 5 t o S 1 s r U T Z N m X S G T t y u o G w 2 S x k 2 j W V Z Y i 6 X M p + P y B v p p M m Z k H 2 E 4 Y f E + u A r I 6 g f i k N 7 d p I r m 6 C e c a I b g y 4 R j z Y n z m 2 I y Y k W G M z t d p P H 4 6 a a G q L J B 1 f s I w z f J 9 a H R l D f K 4 G W 3 R Q O Z y m V S l E m k x G D Y O q q M j Q V K R R L H v 6 K 8 C 3 J 0 6 W P 0 a I C L p d L z O P x 0 I s b U / T Z 5 W u y 3 / D 4 Y U F d M Y L 6 H n D X 7 a J E I k n p d L q E J 8 K 6 v c q s q E 3 T R N h N y b S 9 Y 4 E o P S l R a Y F p c R 3 d T n T s / H V 5 z v D 4 s D 4 8 a w T 1 O H H V 7 K J k U g l J e y O Q F 1 M R E J q 9 6 s T n J v p x e 4 w + 6 6 6 0 9 y i U h h 7 u t f S y h l + W y n q o f b m b 7 v V 9 K / s N 5 c c 0 7 D 4 m v O y R U r 4 n K B q J i K C s r A r x l D f K S 0 Z 7 K m 1 7 1 8 X p x f V x + 9 k 8 c f Z W E N M r m 2 J U 4 X a 8 H m a / F l s e 1 + z 3 x u d u b Y 7 T v r Y Q r a k J U r r y C a p r 3 m k f Z S g n 1 j H j o c p K d f M u C g Z T l G I R Z b M Z 2 t k 4 Q I 2 N D f L c 5 T u T F H K 3 U D w l m z m e a E n S w L S b p q K l 7 2 8 v b Y y T x 1 J f U y h u U c C X 5 e M 9 d G P Y I / s A h H b i j v J e 6 5 e n a V 1 j k i J J F / k r 1 O u m J i e p v q F B e S 2 2 8 Y i X b o x U k b / a Q 7 H x q 3 K M 4 d F h Q V 0 1 g i o T n t o d l E 3 H 6 L m 1 0 Z x 3 O H H b R 6 9 s j q s w D t t 2 o X 8 Y W 1 c k K Z W 2 q H N M i Q V C e R i x W J Q q K 6 v s L a K J i A t a o Y Y q e M J C x k J u a q p R I S d E B a + V z H j o 7 H 0 / V V R U s F K / s Y 8 0 P A r 8 D f D / x h 7 J v B 6 3 h F E / X j N N e 1 a F c u 1 H Y H / b t L Q j n b h V Q W n e 5 W I n h E K / s S l F l V 7 7 G A 7 z w M G N M V p V l 6 a V b B B S s Z j G w l y R c h C L R u w 1 R W N 1 p q S Y w P J A m h L w j P h w J p 1 W n 9 9 Q m a R 4 P E 7 p q i f J k p P D M c a + q 1 n H z h k P 9 S h s 3 b S D v u 1 J k t t K 0 r 7 2 G H 3 e 6 a U X N i T 4 7 s 8 e Y 3 S E g q 5 W C i c s 2 r E y K c c j X Y 5 0 N n B 6 C 2 T i Q J p f 5 7 Y j v + D 0 N N X U 1 a m N R 2 Q 4 6 K Y a 1 w x V + / 2 y j c 8 d n H G z S F 0 0 E v L k 0 u x u K 0 N W 7 J Y c Y 1 g 8 1 v F z X x t B f U c O 7 9 l K f 7 i S p i 1 c 4 e 8 d t 2 g m Z t H + 9 Q k 6 3 + P N 1 Z M Q 7 p U C D g z O Y o Z F M 5 Z a x n W e F J 3 p 8 d E + 2 1 s 5 w R e E G 6 B + z X y k M l Z B c u J h f N K Z D x c h M B h E l c 0 k y Z f q t p 8 x L A Y T 8 n 1 H a 1 u z V T J 4 X i t F 1 w b c t H t l m A K T X 1 A m H q Q f r R g T I b 2 4 L s g H K 1 I p 5 a H A c N D F X k k 1 M s F j d C x L i V C K x a T D R n y k L P X K P A R Z 2 K V I J N T 7 6 / f 1 V 6 g 6 F U L L g x t V v Q 8 e N E t u i l r t B X + v s Y V Z 6 b S S Y U 4 O / W g z r a k J 0 z R 7 l 3 0 d c d r T M k I 3 b t y k Z 5 9 9 R t q b / I E a i s d i F I 1 G 7 V c Q 3 / m 9 9 h p J l g 7 d h I A O / 4 I z 0 7 J 0 A o + x E E Z Y o C C e U s c 3 c F 2 q F B U V P l l y o C n J E W Q M w c e 3 1 X 4 t K k n v W x 4 K p V f L f s P C c b G j N 4 9 F P A 4 / v Z V i L J Y 7 d z r J z 9 6 l r 6 + P a m t r a c O G 9 T k v l O B K f j y R o E B N I O c N n C C V n U g U J h x q a m f X l c L h v I e b i + Y a J S C f p / C z R o u S G B r + 0 m e h R Q W 5 4 Z z l n V h U w U S r 4 6 8 3 j / k e J u R b h B 3 a 8 y R d O H + B + v s H a P 3 6 D r p 6 9 W t a s 2 a N E k 0 2 I 1 4 o U F N L F T 6 f i C w W j Y m X Q c O u R g s s g 5 Q f E w o W i g b e I R I O U 5 I F 6 f f X 2 H s X R x w Z E a b J X 9 h 3 a X p q y l 4 r D U T 1 8 o a Y E h S b y 8 3 1 K c v N o m o s e T 2 M z T Y T 8 i 2 Q a l 8 F x a N h W r e u n c M 1 l 4 R 2 O 3 f u o G + + u U b X r l 3 n u l C A P U p Y j o U Y w E y m R r y V M 3 T T 6 5 V V K i E Q Q N d w B 8 i 2 V V X 7 y Y u 2 I W a m R C i o G R o a l N A S O F P o P q + L R a z O w U l d f b 2 9 p r 5 / 0 N Z Q 2 M p 8 4 o 4 d F u Z E 5 a V k J h + u G u b G C G q B T G c 6 6 M G D A f K x 9 / m W B Y S C j w K 3 f f u T t G 3 b k x S N h C U E B B B b 1 6 i H a l 1 B D u 0 S u X o S k D Y f f l 4 z P T l p r + V x V p 1 q H a H g a K g w h K u q X 0 m + S t V Q X F l V L U s w M z 1 F X i / f A O J K b P g 8 v a 4 5 u C l G f q 7 L o e 2 q u L 0 L f 5 d e o m 0 K o h o N s p c y z I v 1 8 Y V v 1 d U z P J z q J y g S j d N a 6 x p 1 d K y T s A y e J p G 2 p F 9 d P J 5 g o S m P A u 4 O T F P H y j p V I G 1 1 O N d B N p v m 7 b x A Y t G o e C 3 U m x D q I W p j R 0 M R F m o 1 e 6 y H g S 8 v G H N R j Q / v 5 1 B i C f o m 3 b S 2 I S 3 d o j z e v N d B u n 7 3 6 g S d v q v r U Y r 8 u W c o E Y t S K h G l 1 g Y z k H E u T B 1 q H q t c v o 0 C n i j V B 8 9 I V g 9 8 9 N E n s t S d V J H h c 9 J S 7 2 U h R K R A B m d m Z F 9 x Y Y e Y n F l A H Q L q e h P E B L S Y u s Z m J x i Q H o 8 k L K q t V A J H A 7 L G 6 Q W / u X a T x s f H q e / m O d m G m J x 1 t 7 3 t c R H T z t b C M F F 7 K s u C l 3 K z t 3 L T T J S 9 r e P 6 G C s 0 E / L N w 8 x M i q I J 1 C X c X C g n 2 C s R u d u P U o b L W i J l 0 e n T Z 2 h l S 5 M U 5 j N n v q K b N 2 + y C K r F I B j U h e D R d O F 0 U s U i 6 u r q l q T F l 6 d O 5 4 5 B m O h M Z A B 0 e A X D g w O y B D W V W W l M B j g f O 8 8 h 6 L Q 8 C E 5 N U U W F l / b v f Z p O n r o o + + B 1 n C D s G 4 + W z g o C F 4 v J c n t o J p w P X w 2 z s T 6 + e G 3 2 N 2 0 Q 9 m 5 e T V f 6 v e Q P X 6 e V K 1 v p Q n 8 t x b i c H 9 w U p 0 s P v P T 0 G l X o p Y 7 C d f t q D F o q Q W d n F 2 3 c u M H e e j j F Y W E x S G Y j N S v r L I h Q K E Q 1 N b W y f a E 7 T n v W F 4 Z s m v P n L t A z z + 6 R d Z z r q d P n a P P G d V R X V 0 e h m W l q b m m V 5 9 A 2 t a k p S X d G v X w e + A z Z L e e U 5 Z s C U v 2 J W I R D v w i 1 t Z p i U w o X L p y x 2 Y Z M 3 s m u K q 6 M E z 2 g r V z J 9 4 q Y w C d 3 f D m P A c Q b c F j 0 M I r F d I X F W I p j x z 4 S 7 w R 0 T w o A o a E z q x a T w q K e v m F Z i y e S J c U U D n P h T 6 U o Z G c f A c T x 0 g t 7 q b W 1 l U Z G x 2 k k m O Z Q d o p m p l R y B G I C B W O u b K E j E Y O w j 1 1 V w b U y l j c T 8 j 2 E 5 c s 3 y d 3 8 2 b Y Y + d w Z i q Y 8 B f 3 y 7 t y + U 1 B P O X O v U o Z q f N Z Z 2 k s 4 2 b 2 6 M J z T v P b a E T W U g s l m + d u x C U f C d G 8 4 R n 3 3 H 0 j h 1 m x / c q M 0 I H 9 1 5 o x s f / m l C h v D 4 R D d v n 2 b 6 2 P V s n z 5 5 Z f k e e A M 9 d r b 1 t C 2 j a t Z x E m q r V d j t g B 6 v T / f U d Q N i k 3 q U r a o u n q L B n U Z B B Y U v j h j T k P B 6 R 1 T c z + c 7 a l g U S W k 3 x t 4 v k N 5 k F j g C Z q a m J R j I C Q A w W E w o J N g f P H 3 r H t j b i 6 4 F r 3 z z n u S 3 A j 4 A 7 R h Z Y A 8 t W 1 8 b j h H P k t 7 6 W M B v v T S i 7 K + f / 8 + 2 e / n 4 z d v 3 i z 7 x s Y m 6 P L l q 9 T T 0 y P b a X R n L + J s d + G + o W D p 0 B U p d D F 4 Y / H I h d f N G H t x 7 a q M 5 e 3 A j g 5 J J L h d S C a o u 3 M 0 y U 8 w P m 9 W h B O 8 9 Q 4 t a 1 r O x 6 v 9 z u 4 8 e O 3 t I e V J a n y z C / B 8 Y E j F 8 W M f 0 5 t v v k F f n T 0 n j b s 9 k 2 4 Z J 7 V Y X n z x e R o a G q b 2 9 n b Z l j F P D G 4 E 2 s N W h 2 7 I U n N j 2 E u f d s 0 e C C m d a 1 h I a t y U i 2 5 1 h w u u m z E T 8 p U E 9 R i L M p S 0 o 5 p 0 J k t V 9 m B A z a 5 d O + j L U 2 f o w g W V N U O W D X R 3 3 5 W w a H O L R S d P f q Z 2 P o R v B 1 V 9 Z T q K R m J Z l d d v X T Z J h w 4 f l O 2 D L x + Q g t / e s H g x g a t f f 0 M H D r x g b 2 E w p E e S G b g R 6 E x g L B 4 v G E m M c 3 l p f W F j r 8 C v w e u 0 q L K m + M w C t x p e G N O 2 f 2 s b X e j 1 k O W o a 3 z G d 2 t d W Q f w V t 9 + c 5 3 2 P 7 + X 9 u x 5 W v Z Z V o a u X b s h D b / v v P 2 e 7 N u / f y 8 9 e P C A L l 2 6 L N v F b G 9 V d S n M y Y e 6 D b K B 9 f V 1 F A g E C t L e d + 5 0 2 W u L A 6 n 3 X T t 3 S H r e C d 5 f g x D w t d e P 2 F t 5 P u m s l L r U b B y i Y u s f R M K j 9 L V c i m Z u M U U g u 7 d 7 V Y x m x g d l G 6 E R 7 t h I J 1 + / f p P u 3 r 1 H A 3 3 d d P C V A / T F F 6 f U n Z 0 L 2 M F N S d q 2 j e t V U 1 P 0 5 l + 8 I W E f E g y r V 6 + m t W v X y n s 5 0 e G W r t J g G 9 n A Z c u W q R 0 O M C w E h E J B m r S z c Q s B v S / m I 5 N J q b i / B K V 2 S 4 g r g l I 2 P j m 7 z + B S x t S h i k w G 2 L G C X t + T z 3 o 9 W X N P l p s 2 b R A P F A q F R S y x 5 g O y 3 0 l D g 3 q d F D w b 3 U i L Y R + / / R / / I L 0 W 4 I E u X L h E v T 3 3 6 P K l K z Q 5 O S H H z E U g U E M N 9 Q 0 5 M T 6 M I A t v a G i I a m p V G 1 U 0 H J b 2 J o C / T d c H J y c n p c 9 f q Y l j H K f v Q M W l e E o J C w E O h K W O N 2 b q U A U 8 0 V o n n u X m j V u S Z N j e k i Q P p a m l p Y V G R 0 c d n V x V w T q 8 J Z 8 6 R r c k F F Y N C h z e C 6 B R + P d v v U 3 f f n u N 9 u 5 7 T h p U w Z 4 9 T 4 l A v T 6 v i G W h Q I z O z 7 p 3 7 x 6 9 / / 6 H d P H i Z d l f w + + F c 9 a 4 v V 6 q 8 g e k Y y 7 O 6 / Q 9 l Z W 8 N N o q M y w V d 4 4 F 2 / h v B 0 + t d n o g v i i 5 p f J Q K E J j 4 4 W T x S x l r J N X b u a / m S V O x c w w 7 d q 9 Q 4 S A g g k L B o M y 0 h W d X 3 G h d J H S Y F 8 o h p l Z s z Q 2 N i Y h m / Z O t 2 7 d p i 1 b N k t b E B I V a B w e H h 6 R E O 7 D D 4 9 J / e X o 0 d d y x y 8 G n C P e c z 4 w v A P d n 3 A s p h 3 r m a m h B 1 P 5 7 k O 9 V 4 / T z q f 3 0 d M d n p y n w k D F d Q 0 p a q 1 L F 2 T 7 0 F s C g y i T i T g l 4 l G x e C x M i W i I 9 v z I j O 4 F 1 s m r R l C a P e u a c 0 I C u K P D G z g T B D 0 9 v d T e 3 m Z v z e a 9 9 9 6 n N 9 7 4 M 3 u L 2 H N 8 Q C + / f I C q q 6 v k / W C X L l 6 h A y + r t q N y U 0 p o + H u 0 a C f C G b r c X y 0 d Y t H L X A M v h S H x Z 3 t 9 s v 7 l X R / F 7 C H 1 G i R O U s m E L a i Y L a g I x a N B e u Y p I y g g z S f G l C G k Q x 1 K g 3 q S F t N t 9 j a g t T U f S p V C i w m F e I r D w M O H X 6 G B g X 4 6 f v y E F H a M 5 I W Y n J + z E O L s X b T Q A d 5 L j 8 C d 4 D q Z Z n x s R J b O Y 7 W Y p r i e 1 u h 3 y V i o q d h s 7 w Y x A X i q N f W F 5 4 f 3 w 1 u K 2 f v y c P g n / x t D r b L E 7 q V n q 5 Y 3 S K H R 9 a R U U X t s 2 p F G n 4 v z 5 y / Q 8 M i w F O J 6 r i t B l B s 2 b K A j R 1 6 h K I d f 5 8 6 d p y t X r t D U 1 M N H 4 p b C V 1 l V E B r C C + k R u B j c C C D S p u Y W S v O y O I w c H R 3 h 4 + 2 E C d u N o c L + h D r c W 1 m X E g / V O V b 4 v L y f i F S p S j 0 U 2 M 3 6 Z t S 1 X M r m K r F v S V q z v 7 C i f 2 u 4 s E B t 2 b x Z n h 8 e G b X 3 l O a Z Z / b Q i u Y V 9 l Y h v R w u o v 6 0 e / d u m Z d i o Y R D c 0 / W s m r N W h o a H J C b g Y S V 9 n R h T p q a m i U 7 C K 8 G T / V y U R c p D e Z M 1 7 M h F S M i E j H J h l K S f c m u f t 1 T 8 r o u N T N Z P h u E Y p 9 9 9 o X 0 f g h z g R q c K b w 0 8 A g o k H e i G + j e R O k x Q X O F c c g S 7 t 6 9 S 9 Y / P P Y R 7 d y 5 P S d g z P / Q 3 X l b O r W C c f Y m G h y D a c n m o 9 7 2 P h i i 7 2 x X g m f S Q H D o x V 5 b V 8 / H Z O l H q 0 q L 6 u b I 7 L 8 P C Q k I S M 7 Z X i p x q W U o V K o R e O n B d S j z w C P D Y k G / N / R + i M Z L N 1 b q c B B T G J c i F i t d Q I 8 d / 7 i g w f a 1 V w / L E m H U z E x Q 2 o L W b 9 w s n V r B M v Y m m u L Q r R Q Q u h 7 x C 2 S I h Q 0 8 k 5 O G x m V y c 4 A I G v 1 Z 8 q V n t 3 + F S t S v + B L l R c T h r + q 1 r r a x x P z t z u u 5 V B / G Q 9 m o g q L W l 9 W U 9 k A A 5 R v D z k t x 4 o Q a G q 9 B u r y / v 5 8 O v P R C Q e Y N s x V p 0 J v 8 u 6 I b e P H e u h 4 F k J 4 v B f r w o V E Z Q K h I b M T d s y d f c Z x q j g I x Z e x 1 v b T N g J A P Z c O Y d E r V d 9 y 5 v I L b / p 0 m 3 R n W C Y a 9 v / u u G n K B p A O G U K x a t U r C M A 1 6 S 7 T Y I 2 T x W S 0 t p e t b p Z i Y G O f 6 V H 6 S F C 1 S n C + m H t P o / X j / w Q f 3 Z R 2 g D 5 / T U + K 4 U o 2 6 3 q J 5 0 b V g 8 m L K t 9 O J Y R 9 C w q J r u h T N h H z 2 A / P t L Y R Y R E 2 6 c r K z c l a X n U O H D t L R o 0 d F W O j k W g w 8 i r M v H o T w w Q f H 7 K 3 5 a e R w z e / o 2 D q X 8 F H Q M Z d 5 6 + o 1 u a 5 P 6 E W v U + 1 4 X i 1 l U Q B + q M 0 J P g e C g U e D m B D e y b Y I T C 1 h z u u 5 V B 8 l n P v S R B e w + T i 8 L R 9 O r X X d k k l b N C h 4 k W g + 9 H K C w o i Q s N X 2 T p r X X 3 + V R X V c Z q E t F / h b c C 4 + n x K 8 D g G R w t e p 9 k n 2 d r d v X q O v + + b u 3 I r 3 U k K C N 1 I C E t P r j n 0 G E / L l z H m 3 n 7 G n / i o F w q S X O k I S K q 1 a v Z q + 6 F a e C m O m 4 I F q 7 U l T N O j j d / P W L a m 7 H D m i k h F O 0 L X p h R f 2 0 a 5 d O 6 U N C 2 n v u R j j 9 3 n 7 H T U 8 p B Q o / D i P Y H D 2 3 4 D n N I 3 L l t P m r d t o L F 5 4 v q X I Z u w f 3 G Y T r 8 S m R F a 4 L H V d l 5 o Z D 2 V z + v R X 9 h p R N D p 3 C h i 9 J 9 5 6 6 1 / J X + m h W n t E 7 q d d V f R p t 1 / E d X 8 y n 2 V D / W n r l i 3 U 1 N R k 7 y m k p q Z G R I o J W t C G B W F / c e o 0 1 5 c m R I T 4 U Q L 0 H I e H 6 O n p o + V c B 2 p u b q b f / + s 7 9 M m J k 5 J y d 4 L X Y 5 + e D c k p I n y O T m Q 4 K V W P y q P r S Q 5 R 2 e v I j M o 6 L / G 8 w d S h c o 8 d O 7 b L B U G B 9 H i U I D D T q r N A a l Q 4 p R I N z 7 T N D p l u j 3 p z 9 a v K y s o 5 P R 5 A n e v V V w 9 z u B i l 9 / 7 w A e 1 5 e j f X l 5 B 9 y 1 J b e 5 s k E n 7 7 2 3 + g 9 n Y 1 r m r L 5 o 0 U n A 7 S w V d e l p S 7 Z m J s V M 6 3 y j E t s w 7 Z A O p S u B l A V J h F 6 Z u B 0 t l A j Y h G m x 3 a 6 e 1 C g S l z X s 8 l + / j i W u f C K g 9 / 4 r T 5 L e l J X c 9 1 D L Q 3 h a N J G g 7 7 q L 0 x J Y K A t + j u v k d P P b V b f l 2 j i o W i + / k V J y c 0 7 v g I P b j y P h 1 5 9 R X x K o s B Y 5 V 6 e / v o y p W r 9 M t f / q I g J E W m E E L V 8 6 b r r F 4 x m O M c j b g A I n J 2 8 k 2 y Q / m c w 1 X w 9 N o E X e z L C 1 M D z 5 P O p K Q r E 6 5 N G h 1 j 7 c 6 x S c z R h w 6 y s S h 7 9 C A l 2 H 7 y 5 u P p 8 P v / E y b k s 0 E h X b F i B d d j 1 B w R b i t N D d W q c o 9 e F B 0 d H Z L F w 9 R c A b 9 f C i c m U 3 m Y m E D a 1 0 z P v f q 3 i x Y T w E D F m 9 d v U t P O n 9 H 1 6 z f o b X t Y / f 3 7 D 0 R M A G 1 c p c Q 0 O j w k S y 0 m c L 9 P z X o E e t n z a j G B U m K S M A 8 P 2 w t p j 4 Q Q L + + V 8 i E f z G B C v t x j 2 f J l U o j 2 7 f u x X B h f p Y 8 8 d l l 1 e o d r X L h B O m v R 1 f 7 Z B b G Y j c 2 l 5 + B b C C 0 r W 6 h 5 W a M M F 3 n + + b 0 0 M D B A w 8 N q c k t w 6 f J V 8 W T F D A 6 P i n d z 0 r 5 u v f z 2 L s Y 3 d T r m x 3 g Y O a F o 4 a T 1 E l 4 L y 5 R a l 2 W K A o F K x 9 V c w o 9 T 1 7 p M y M c 0 V n t p V X 2 V 3 P F 1 v Q M z x / I q P d c e p 8 4 R r 8 w r 8 Z U 9 x G G h L A t k K O D N 0 M a m x Q 3 X A G i z w p D 3 q V C S M o k g v f v u + / R 3 f / c L + 1 k F h o i g V z v C U j Q m B w J + q X / B 4 2 J u 9 d 5 I M 9 V m B + l u Z O H j l e C B I B R V 1 + J Q j 8 M 9 / G K H j I V K I t x L O A Y Y R i g W C d I b f 7 6 v I K R c q p i 0 u W 0 T X G e a m J i U U b Y A w m o J K O 9 y t s d H 4 x H X o s U E x k M u D r E e 3 p X p Y W D y l t O 9 t d Q 9 5 q a L A z W U 8 d T Q 0 a O v 2 s / m g Z i O H / + Y 6 1 p f U 6 D G L 2 1 P S L 0 j L M Q Q 9 7 G w m w a S q + a N 7 Z 2 Z v n x q 3 P Z S 2 j v p b a 5 X q f 0 w V c d y I 5 F T 4 r o u N e P r X G L v E j X M w u p s B w o k 7 k l S 4 o c A o V l l l Z / u T a j w 7 O J 9 3 6 y O r g D n e / v 2 H e n Y 2 9 j Q K H W 8 j z 4 6 I T 0 5 N P v X x W l 2 r r I 0 u b B O C 4 a 3 J T G R 8 1 h s L C D Z h u d i y 6 S R 6 S x 9 T Z e a m R G 7 D k t x Y Z E 4 2 K 4 z t b W t p Q 3 L 1 Y A 7 f Q f 3 O S b R f x x 8 c m d 2 l y b g 8 V b I X H l O 8 F M 6 6 K 3 + 6 1 / / i t 5 6 6 2 3 Z h 4 Z k 9 H p 3 9 j U s f l 0 x D V V p S q R U A k L V m b R p L 6 R N 1 Z e q P E n y u h I 5 U c m A R n 4 f Y y b k K z A U w r Z 1 b X T 5 8 h X e w b t Y W J h n z 0 k 8 j Y M X T / E I 4 F J A T P P J V c 8 2 C x C W N j U t l 4 k s c W f 8 l 9 + 9 J R 5 k 3 7 7 n a P r b f 7 a P Q s b O X n k I E x G L g n y / a O Y Q 1 y k c C e d s M S k P p W w 6 k q Z w N G 2 n 0 p P 0 7 H M 7 Z 1 3 L p W o m 5 H N Y f 8 x F f 7 w 4 T U 8 + + Q S d P X u e 9 / F e F h W S F E i R P w q Y f X Y u 4 J U W 4 v u G H R P 5 o z c 7 u i 6 B n / 7 s L + i v / t 3 P J S G B N P v P e D v Z 9 Q 7 5 K x b y r v C 8 G e q f z I q I K j 2 q j q T E p E S U E x X C P T E 7 W Z F K 0 P q N m L S m 9 D V d a v Z o p e R P k B 9 v r p a f d 1 m / f p 0 I C X P o Q V Q L S Z F / F y C k u d q y i t m x U v X M w G t C 1 v K S n W o P H X p F 2 q s O H z l E u 1 o K P W w e D v H 4 7 5 M w L 5 2 h U 9 1 u e r E j L C n x I H s f J S I l J i U k F d o V Z v 3 i v D 5 3 3 8 O l h p k 5 t s i i w W n 5 A T K M n k W B g 5 g u P V h 8 d q 8 U 8 4 V e C + G b g f x M r 5 2 j b u n / 5 w S / 9 / u 7 3 / 2 L e C m k 0 l 2 W R 3 7 t v R i c i 6 4 z B b w s E v Z A n 9 z 2 U J 0 v Q e 5 s 3 k P l v J K 9 R J i n L C F p 9 C e 2 r p 9 1 D Z e 0 n b 5 5 r w x f 8 5 8 W T V Z Y 0 s 6 w 0 7 0 B S m f L 4 8 i X + T O 0 e 1 V h 3 7 / F e K d S b K n u p t W r V 8 k 6 G n n 1 V N A A Y k E 9 6 9 q Q l 4 Y K h u 0 r 7 6 T T 4 c o b Y Z m k 5 V U J 6 m i I 0 u e d b l s 0 X K / i J S Z + c b Y / x a I h i k d C 9 M v / / H P 7 P Q 3 A h H w l i M S S M u X X R z d d X J A w 1 3 n p j I L + E b b 5 8 N q Z w f G i e p j z R 6 a / M / 6 V d H 9 M / R x N Z 3 C F i A i M j I x I Z 1 j g F J O 0 L 0 F I t v f x W k h E K A + 0 a V m M B q e y F E s U e q a k 1 J l g C T F 4 p h S L C x O 9 G A o x g i p B 2 F f P B S c t B Q f 1 B R R A 3 N G L C S d c 5 F 7 A F U w 6 M o N 3 H P P d l S M E D M a y d H 1 E 9 S 6 f i b n o X F + V 3 W M i Q J 0 T a j i J R r y S h H k Q T F q W k b g a P w V R X R + 0 R E B n 7 r q U g E R U O v m g D J 1 j N z S E q a 0 2 T L / 4 1 V / a 7 2 z Q m D r U Q w w N p i m E O b g b 8 1 0 Z B a 6 U p 2 K t L U h U m r 6 J v L e Y L / O 3 E D o v H i O P J y / S c M K i i y M r 2 C 3 6 a S i Y 7 6 G h E x A q C a E 8 U K V u S 7 I N 0 6 A p E S k h 5 e t L b H w d W q o j t K k x J L 3 M w w n U L 0 t f u y V t Z 2 7 1 G L / 9 E B 7 0 T t J M y k / e i k o p t G 7 b d M O v E + x Z 7 I W E E A 9 s i D 1 S P Q o N z u j s i h 7 k s 0 F d C Q t 4 J n g k 5 Z 3 E W F T 7 2 y M U T 6 b o V J d H b h g p y e A p M c H k Z s K 2 r S l I 5 + 5 m W E w z 9 O B + P / U F q + n v f / M f 1 E c Y C j A h 3 x z U Z v r t s T 9 5 T 4 U C h s J Y z H e 5 K + m Q b 5 n / u w 9 9 g B g 3 N h X 2 a F e h X V 5 A T i 8 E w c x M j d F 6 X 7 f M u X 6 q C w M O l R d K s 7 j E M y E l b n s l J C I w T + G G h p D 0 w K i q 5 p v L Y l z y E s P 6 6 r b x U H P R c 6 e f p t N 1 5 P H 6 2 O C h 8 A M C H j F k 0 P S P Q P + Q h G Y m K d b 1 P m 3 Y u J G m A s / C L 3 F o x 6 J C J 9 e c V 7 K X t m c 6 f u w j + d G C z z s 9 I r T 1 D V E W T o q 6 R r M i K G T 2 J K u H 3 u U c 4 s W R 3 Y t F 2 M L 0 m / / 2 n + x P N h T D g u o 1 g p q D 1 N B d u j I U U G G f t 0 L M 7 Y a w W F B a V P J 7 s / k + g K D S k 6 F Y 6 v G I b e + 6 O F 0 f 8 t J M D L 0 4 V L C J 3 8 O F a M J x o j M 9 F b k 2 J u f A w I 3 L 4 9 R U n a A Y e x y 8 C s m I L 9 h D V X s S N B V O U 6 U 7 Q R V W k o a m U r Q q E K H O 4 b R 4 Z 0 m V 4 2 d r 2 H b t 3 E r P 7 n t K z s M w G + O 7 5 8 H T 0 k E N F W E u W D E V + r E h F I J h S D h C K N Q / t B f Q 2 c D H J S Z w 5 p 6 P t r c k 6 M D 6 K K 2 q Z W / C n 3 t 9 Q E 3 A g q x d R i c X b K t M D c v S l x 6 n w a E h i T W R g E B a H S H e p s Y I v y Z J 0 + E U D U 7 y f v Z M X c M Z + + 9 V f z d E t a k 5 Y 8 Q 0 D 9 Z X d 4 y H W g h n z v a S R 7 w U Q j / 2 V B 6 v e C j x V C 6 3 b S o E F G 8 F H y B L p k Q S 4 1 G B c F f V J m T Q I w Q 1 E r T o 6 3 4 P 7 W 0 L 0 6 e 3 L Q l J I X J 4 q v 3 r I i I 2 / G K i W i K j l 6 Y v u 9 3 E S q L a i j i t q Y v R 2 b v 4 w Q O u O 7 G g 1 E B C N W d E O s G h H o v v N / + 9 c H C j Y T b W 2 T t 9 R l A L Y G Y m S l 9 f G 6 S G m g q K Z q q k P p U T l Y R + L C i 3 m 7 X j K i E s v A O v 6 a U s 5 h J Z P j u n Q b 1 I / t m p e w i q K Z C i U R b S C x 1 R E V U 8 l W V h E d 0 a c s + q O + 1 t g 6 g y l I L X Y j G N h 7 L s 1 R D 2 p c i V T X L 9 S S c j 2 P v C I 7 F l U l F a 7 Z + h m w M Z + i / / 9 W / k 5 m G Y G x P y L Z D a 2 i o O 7 W L U U R f k O 3 f U D o d U + K f T y x I G o k D y X R 7 D G i T 9 z A U W i Q C p y 6 C H g i 7 k v E / M 3 o Y A I B Y l B A h K h Y 9 I L M g x 8 C x y b D 5 r N z j F Y V k y R S d v o 5 t Q i q x M k p Z X o s N q k p r 8 M V 5 C P D i P F I V i a Q p F k 3 S q 0 0 W X + o i u 9 a v f y 8 U 5 R 2 L q 3 B s r I y q 8 Y 8 + U 5 r 8 R Y g p H 4 7 R 3 + w o j p g V i P N Q i G b 5 5 m c j t o 8 6 J G v F S B V k / 9 l B i d q K i M G H B 9 y 5 Z K o 9 l + y l F z l s p L 6 S w v Z Q s x T X J U 1 p o h Z P 2 Z + j 5 d c p L w d J s 4 X i W L v a q e Q W 1 I E W U t h j F p K 6 V p H o O + Y a m O Q z U o V 4 8 R m 2 1 Q Z m X A j 0 u n n / z r 3 E i h g V g n e s 0 g l o s Q 9 c v 0 P V R C E r V p 0 R Q u a y f X Z + C s C A m z C u V E x W U B C n p J Z P / T 6 F U p H R l i 0 i W s l 8 t t Y i 0 q F R 6 P E v 1 l U n a 2 s x e k g X 0 Z b c 3 L y S I C g L i b Y v D u 0 Q C + 1 X P 8 S d X R O h S D + p O S J M r r 9 t W M y M 9 R T C Z 5 8 G / + l u c g W G B s K D u G 0 F 9 B 7 7 8 9 A J F 0 p X k q f C x m F R 9 S n k p 2 1 O x d 3 J Z X K e S + l S h q L S g g I i s B E p A s g I Z q e 2 c m L R B S M p L F c 7 s m q Z n 1 0 R F Q K g 3 Q V T x Z J q u 3 H d R Q h p v Y R z u Q W Q c 6 u m Q t a M + K E M + I H C M A j 7 w c 5 O E W C x G U I / A B x + c I x d C P o / d 6 I v 2 q Z y o E P I p Q S l P 5 R C U i E g v s e o Q l X w b 6 i s R E e W W p c S U F 1 W x o L A u d S 7 x U M o j S Y Y P d S p 4 J 7 u O p z 0 T O r s i N Y 5 j / H 4 / v f j T v 5 H P N i w O 6 1 y X E d S j 8 M H 7 Z y h D H q q q r K C M B X H p + h S b I 5 U + u z 4 l k h I x O e Q k 5 L 4 Q h 6 D w w H Z O U C w Y L L W Q J P R z i E n q S w 5 B q f q S 8 k z S 1 Q g Z P d s z t d e F c r M 9 L W 9 e Q X u O / E T W D Y v H O t / 1 w A j q E Q m H I / T x x 5 f J j f o U Q j 8 7 / I M p M d n C E k F p U d l i E j U V S 8 p G h K S X t p D Y s A 3 x i H f C P h E S h M X i g b B y X g k h H 9 Y h J C U o n Y G E k B D q Q U y Y I x 3 D D o 7 8 x 1 / z O Z f q Z G t Y K E Z Q Z e T 3 v z / J n g m N v h U c C k J Q a K e C m B y e y i E q J S g l p m J h Q U C 2 m q C f n J B y I r K X W l g 5 Q U F c 2 i u x g J S o b E F J i K f C v P Y 6 h H h x e S 3 q f 0 f + + u / l c w 2 P h n W + 2 w i q n L z 1 u 4 9 Y A i w g h 6 f K Z f 3 s O h U E p Q e i 5 b y V k B e U Q m R l C y l v r B z 2 R L x e I C Y s i z w T h K Q N n o l t X X 1 E P B K 6 H e G X O 6 o b V 9 O L R 1 + X T z M 8 O i y o f i O o x 8 A / / 9 M f R V S 5 n h R a W A 5 R a T G J o L C 0 X 6 v J i Q l r + G d 7 J b F Z Y s o L a p Z n 4 j q T 3 x O n R l 9 U G o L x e f h N q g N / a V L i 5 c a 6 Y A T 1 2 E D B / 6 d / f I 8 F 5 B A V e y p d r 1 J i c o R / 8 i q n r E R K S l R s e g n L Z / X 0 z 8 t o M W k P p b 0 S 6 k 0 c 4 t X H p H 6 E 3 9 k 9 9 O 9 / J e 9 u K D 9 G U N 8 T / + t / v s V C Q u g H T 6 W T F d p T 6 V 4 U O B L i k p d A T 2 o B M U F c I i Y I S S 2 V V 8 K 2 U 0 w 6 x F O e i Q + k 1 j q i x l o f v W I a a R 8 7 1 o W 7 A 0 Z Q 3 y P / 9 3 + / T a F w T I m r K P w T U e U E h f / g l U R K I g z t n W b X m 3 h p C w n e C a + A W P H r 7 6 2 r W u g n P 5 3 9 q x 2 G x 4 N 1 0 Q j q B + P / / O P b F A y G R C S s L B G W i C o n K A A B Q U 9 K V B L q 2 e G e r j t h G 4 J E S I d E Q 1 v 7 W n r t z w 7 Y r z d 8 n x h B / R v i f u 8 A f f L x K W l k z Y V z 4 p H s r 0 i c F w R n i Q e C Y T L O I 0 c P U E t L 6 V + Z N 3 y / W B f v G U E Z D O W C B T V o B G U w l A n r k h G U w V A 2 r E s 9 R l A G Q 7 l g Q Q 0 Z Q R k M Z c L M K W E w l B H r s v F Q B k P Z s C 7 3 D h t B G Q x l w o R 8 B k M Z s a 4 Y D 2 U w l A 3 r S t + I E Z T B U C Z M y G c w l B E j K I O h j F h X 7 5 u Q z 2 A o F y y o U S M o g 6 F M m J D P Y C g j R l A G Q x m x v n 4 w Z k I + g 6 E s E P 0 / 9 X W F X j x / b x Q A A A A A S U V O R K 5 C Y I I = < / I m a g e > < / T o u r > < / T o u r s > < C o l o r s / > < / V i s u a l i z a t i o n > 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 B e r e i c h 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 B e r e i c h 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 C o l u m n s \ G e r m a n y 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 2 0 2 3 - 1 1 - 2 9 T 0 3 : 4 8 : 5 1 . 0 2 9 2 6 7 4 + 0 1 : 0 0 < / L a s t P r o c e s s e d T i m e > < / D a t a M o d e l i n g S a n d b o x . S e r i a l i z e d S a n d b o x E r r o r C a c h e > ] ] > < / C u s t o m C o n t e n t > < / G e m i n i > 
</file>

<file path=customXml/item16.xml>��< ? x m l   v e r s i o n = " 1 . 0 "   e n c o d i n g = " u t f - 1 6 " ? > < V i s u a l i z a t i o n L S t a t e   x m l n s : x s i = " h t t p : / / w w w . w 3 . o r g / 2 0 0 1 / X M L S c h e m a - i n s t a n c e "   x m l n s : x s d = " h t t p : / / w w w . w 3 . o r g / 2 0 0 1 / X M L S c h e m a "   x m l n s = " h t t p : / / m i c r o s o f t . d a t a . v i s u a l i z a t i o n . C l i e n t . E x c e l . L S t a t e / 1 . 0 " > < c g > H 4 s I A A A A A A A E A N V T X U v D M B T 9 K y H v S 5 r G r X O 0 H T q Y D K Y P C u J r b L M 2 m C b S p O v 0 r / n g T / I v e L v N 4 a a g i A g + h f t x 7 j 3 3 H P L y 9 B y P V 5 V G S 1 k 7 Z U 2 C G Q k w k i a z u T J F g h u / 6 A 3 x O I 1 P I Z w L P 7 d m I r J S I g A Z N 1 o 5 l e D S + / s R p W 3 b k p Y T W x c 0 D A J G b 8 7 n V 9 B Z i Z 4 y z g u T S b x D 5 V + j c B r P 3 A a w a 6 5 U V l t n F 5 7 k w g u y V K 4 R W j 0 K D 9 R J I S 3 P a c c f k O g u w e P M N s b X D 5 e y 6 E 6 b l E p L q F 0 L 3 U h U Z g n 2 d d M l z q S 9 l M 7 q p h v j D m K k f Y J 7 n J F o w D i P w i F G G m T q R Y x w N o w i x g e g F / R M 3 i + D q V N b V 8 J 7 m Z / k e S 2 d S 9 f 7 Y / o h H 2 8 b p k r q H N Y 7 X 4 P W C K Q d G a W 3 L B H 9 y 8 I b 1 w 2 V N K Y H F O m e Z F D f i + E G u h Y Z 3 t n n X l y I S t 0 q 8 U M 3 Q k 5 C z v t H x y z c u M E i w k P O W N A H e 7 5 l x p b A P 7 F j x / Z X D K G z z q G D D 5 2 + A j w s M n 4 L B A A A A A A A A A A A A A A A A A A A A A A A A A A A A A A A A A A A A A A A A A A A A A A A A A A A A A A A A A A A A A A A A A A A A A A A A A A A A A A A A A A A A A A A A A A A A A A A A A A A A A A A A A A A A A A A A A A A A A A A A A A A A A A A A A A A A A A A A A A A A A A A A A A A A A A A A A A A A A A A A A A A A A A A A A A A A A A A A A A A A A A A A A A = < / c g > < / V i s u a l i z a t i o n L S t a t e > 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 B e r e i c h 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 B e r e i c h 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 C o l u m n s \ G e r m a n y 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 C o l u m n s \ G e r m a n y < / K e y > < / a : K e y > < a : V a l u e   i : t y p e = " M e a s u r e G r i d N o d e V i e w S t a t e " > < L a y e d O u t > t r u e < / L a y e d O u t > < / a : V a l u 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S h o w H i d d e n " > < 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 B e r e i c h < / 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C l i e n t W i n d o w X M L " > < C u s t o m C o n t e n t > < ! [ C D A T A [ B e r e i c h ] ] > < / C u s t o m C o n t e n t > < / G e m i n i > 
</file>

<file path=customXml/item3.xml>��< ? x m l   v e r s i o n = " 1 . 0 "   e n c o d i n g = " U T F - 1 6 " ? > < G e m i n i   x m l n s = " h t t p : / / g e m i n i / p i v o t c u s t o m i z a t i o n / R e l a t i o n s h i p A u t o D e t e c t i o n E n a b l e d " > < C u s t o m C o n t e n t > < ! [ C D A T A [ T r u e ] ] > < / C u s t o m C o n t e n t > < / G e m i n i > 
</file>

<file path=customXml/item4.xml>��< ? x m l   v e r s i o n = " 1 . 0 "   e n c o d i n g = " u t f - 1 6 " ? > < T o u r   x m l n s : x s i = " h t t p : / / w w w . w 3 . o r g / 2 0 0 1 / X M L S c h e m a - i n s t a n c e "   x m l n s : x s d = " h t t p : / / w w w . w 3 . o r g / 2 0 0 1 / X M L S c h e m a "   N a m e = " T o u r   1 "   D e s c r i p t i o n = " H i e r   s t e h t   e i n e   B e s c h r e i b u n g   f � r   d i e   T o u r . "   x m l n s = " h t t p : / / m i c r o s o f t . d a t a . v i s u a l i z a t i o n . e n g i n e . t o u r s / 1 . 0 " > < S c e n e s > < S c e n e   C u s t o m M a p G u i d = " 0 0 0 0 0 0 0 0 - 0 0 0 0 - 0 0 0 0 - 0 0 0 0 - 0 0 0 0 0 0 0 0 0 0 0 0 "   C u s t o m M a p I d = " 0 0 0 0 0 0 0 0 - 0 0 0 0 - 0 0 0 0 - 0 0 0 0 - 0 0 0 0 0 0 0 0 0 0 0 0 "   S c e n e I d = " 8 e 1 2 8 4 1 f - 0 d 4 0 - 4 3 9 0 - 9 6 7 b - a 3 6 c 9 3 8 8 5 f d 6 " > < T r a n s i t i o n > M o v e T o < / T r a n s i t i o n > < E f f e c t > S t a t i o n < / E f f e c t > < T h e m e > B i n g R o a d < / T h e m e > < T h e m e W i t h L a b e l > f a l s e < / T h e m e W i t h L a b e l > < F l a t M o d e E n a b l e d > f a l s e < / F l a t M o d e E n a b l e d > < D u r a t i o n > 1 0 0 0 0 0 0 0 0 < / D u r a t i o n > < T r a n s i t i o n D u r a t i o n > 3 0 0 0 0 0 0 0 < / T r a n s i t i o n D u r a t i o n > < S p e e d > 0 . 5 < / S p e e d > < F r a m e > < C a m e r a > < L a t i t u d e > 3 0 . 4 4 2 2 2 8 1 8 1 9 1 9 6 < / L a t i t u d e > < L o n g i t u d e > 9 2 . 0 2 7 6 8 0 5 8 2 0 8 1 7 5 7 < / L o n g i t u d e > < R o t a t i o n > 0 < / R o t a t i o n > < P i v o t A n g l e > 0 < / P i v o t A n g l e > < D i s t a n c e > 2 . 6 2 1 4 4 0 0 0 0 0 0 0 0 0 0 7 < / D i s t a n c e > < / C a m e r a > < I m a g e > i V B O R w 0 K G g o A A A A N S U h E U g A A A N Q A A A B 1 C A Y A A A A 2 n s 9 T A A A A A X N S R 0 I A r s 4 c 6 Q A A A A R n Q U 1 B A A C x j w v 8 Y Q U A A A A J c E h Z c w A A A W o A A A F q A X u t 2 D Y A A C N 2 S U R B V H h e 7 Z 2 J c 1 R X l u b P y 0 U p K V M r S E h s E m K 3 W c v G d g F e M A Z s 0 + 1 y V 1 X 3 z P T 0 V F f X d E 3 F x M z / M x X R M R E T P R 3 T U x 2 u 9 l I u G 2 y M F w x m B 9 v s k k A S a N + V + z 7 n O / f d z J e p R I t J 7 J 7 S / S W H t + T L z K e X 9 3 v n 3 H O X t N 7 9 / G y W D A Z D W X D Z S 4 P B U A a s 9 z 4 / Z z y U w V A m r P e + M I I y G M q F C f k M h j L C H u q 8 8 V A G Q 5 m w / n D K C M p g K B c m 5 D M Y y g h 7 q A v G Q x k M Z c J 6 / 0 s j K I O h X J i Q z 2 A o I 0 Z Q B k M Z 4 Z D v o g n 5 D I Y y Y f 3 x t B G U w V A u T M h n M J Q R 9 l C X j I c y G M q E 9 c c z R l A G Q 7 m w P j C C M h j K B g v q s h H U v x H a W 5 t o S 1 s r U T Z N m X S G T t y u o G w 2 S x k 2 j W V Z Y i 6 X M p + P y B v p p M m Z k H 2 E 4 Y f E + u A r I 6 g f i k N 7 d p I r m 6 C e c a I b g y 4 R j z Y n z m 2 I y Y k W G M z t d p P H 4 6 a a G q L J B 1 f s I w z f J 9 a H R l D f K 4 G W 3 R Q O Z y m V S l E m k x G D Y O q q M j Q V K R R L H v 6 K 8 C 3 J 0 6 W P 0 a I C L p d L z O P x 0 I s b U / T Z 5 W u y 3 / D 4 Y U F d M Y L 6 H n D X 7 a J E I k n p d L q E J 8 K 6 v c q s q E 3 T R N h N y b S 9 Y 4 E o P S l R a Y F p c R 3 d T n T s / H V 5 z v D 4 s D 4 8 a w T 1 O H H V 7 K J k U g l J e y O Q F 1 M R E J q 9 6 s T n J v p x e 4 w + 6 6 6 0 9 y i U h h 7 u t f S y h l + W y n q o f b m b 7 v V 9 K / s N 5 c c 0 7 D 4 m v O y R U r 4 n K B q J i K C s r A r x l D f K S 0 Z 7 K m 1 7 1 8 X p x f V x + 9 k 8 c f Z W E N M r m 2 J U 4 X a 8 H m a / F l s e 1 + z 3 x u d u b Y 7 T v r Y Q r a k J U r r y C a p r 3 m k f Z S g n 1 j H j o c p K d f M u C g Z T l G I R Z b M Z 2 t k 4 Q I 2 N D f L c 5 T u T F H K 3 U D w l m z m e a E n S w L S b p q K l 7 2 8 v b Y y T x 1 J f U y h u U c C X 5 e M 9 d G P Y I / s A h H b i j v J e 6 5 e n a V 1 j k i J J F / k r 1 O u m J i e p v q F B e S 2 2 8 Y i X b o x U k b / a Q 7 H x q 3 K M 4 d F h Q V 0 1 g i o T n t o d l E 3 H 6 L m 1 0 Z x 3 O H H b R 6 9 s j q s w D t t 2 o X 8 Y W 1 c k K Z W 2 q H N M i Q V C e R i x W J Q q K 6 v s L a K J i A t a o Y Y q e M J C x k J u a q p R I S d E B a + V z H j o 7 H 0 / V V R U s F K / s Y 8 0 P A r 8 D f D / x h 7 J v B 6 3 h F E / X j N N e 1 a F c u 1 H Y H / b t L Q j n b h V Q W n e 5 W I n h E K / s S l F l V 7 7 G A 7 z w M G N M V p V l 6 a V b B B S s Z j G w l y R c h C L R u w 1 R W N 1 p q S Y w P J A m h L w j P h w J p 1 W n 9 9 Q m a R 4 P E 7 p q i f J k p P D M c a + q 1 n H z h k P 9 S h s 3 b S D v u 1 J k t t K 0 r 7 2 G H 3 e 6 a U X N i T 4 7 s 8 e Y 3 S E g q 5 W C i c s 2 r E y K c c j X Y 5 0 N n B 6 C 2 T i Q J p f 5 7 Y j v + D 0 N N X U 1 a m N R 2 Q 4 6 K Y a 1 w x V + / 2 y j c 8 d n H G z S F 0 0 E v L k 0 u x u K 0 N W 7 J Y c Y 1 g 8 1 v F z X x t B f U c O 7 9 l K f 7 i S p i 1 c 4 e 8 d t 2 g m Z t H + 9 Q k 6 3 + P N 1 Z M Q 7 p U C D g z O Y o Z F M 5 Z a x n W e F J 3 p 8 d E + 2 1 s 5 w R e E G 6 B + z X y k M l Z B c u J h f N K Z D x c h M B h E l c 0 k y Z f q t p 8 x L A Y T 8 n 1 H a 1 u z V T J 4 X i t F 1 w b c t H t l m A K T X 1 A m H q Q f r R g T I b 2 4 L s g H K 1 I p 5 a H A c N D F X k k 1 M s F j d C x L i V C K x a T D R n y k L P X K P A R Z 2 K V I J N T 7 6 / f 1 V 6 g 6 F U L L g x t V v Q 8 e N E t u i l r t B X + v s Y V Z 6 b S S Y U 4 O / W g z r a k J 0 z R 7 l 3 0 d c d r T M k I 3 b t y k Z 5 9 9 R t q b / I E a i s d i F I 1 G 7 V c Q 3 / m 9 9 h p J l g 7 d h I A O / 4 I z 0 7 J 0 A o + x E E Z Y o C C e U s c 3 c F 2 q F B U V P l l y o C n J E W Q M w c e 3 1 X 4 t K k n v W x 4 K p V f L f s P C c b G j N 4 9 F P A 4 / v Z V i L J Y 7 d z r J z 9 6 l r 6 + P a m t r a c O G 9 T k v l O B K f j y R o E B N I O c N n C C V n U g U J h x q a m f X l c L h v I e b i + Y a J S C f p / C z R o u S G B r + 0 m e h R Q W 5 4 Z z l n V h U w U S r 4 6 8 3 j / k e J u R b h B 3 a 8 y R d O H + B + v s H a P 3 6 D r p 6 9 W t a s 2 a N E k 0 2 I 1 4 o U F N L F T 6 f i C w W j Y m X Q c O u R g s s g 5 Q f E w o W i g b e I R I O U 5 I F 6 f f X 2 H s X R x w Z E a b J X 9 h 3 a X p q y l 4 r D U T 1 8 o a Y E h S b y 8 3 1 K c v N o m o s e T 2 M z T Y T 8 i 2 Q a l 8 F x a N h W r e u n c M 1 l 4 R 2 O 3 f u o G + + u U b X r l 3 n u l C A P U p Y j o U Y w E y m R r y V M 3 T T 6 5 V V K i E Q Q N d w B 8 i 2 V V X 7 y Y u 2 I W a m R C i o G R o a l N A S O F P o P q + L R a z O w U l d f b 2 9 p r 5 / 0 N Z Q 2 M p 8 4 o 4 d F u Z E 5 a V k J h + u G u b G C G q B T G c 6 6 M G D A f K x 9 / m W B Y S C j w K 3 f f u T t G 3 b k x S N h C U E B B B b 1 6 i H a l 1 B D u 0 S u X o S k D Y f f l 4 z P T l p r + V x V p 1 q H a H g a K g w h K u q X 0 m + S t V Q X F l V L U s w M z 1 F X i / f A O J K b P g 8 v a 4 5 u C l G f q 7 L o e 2 q u L 0 L f 5 d e o m 0 K o h o N s p c y z I v 1 8 Y V v 1 d U z P J z q J y g S j d N a 6 x p 1 d K y T s A y e J p G 2 p F 9 d P J 5 g o S m P A u 4 O T F P H y j p V I G 1 1 O N d B N p v m 7 b x A Y t G o e C 3 U m x D q I W p j R 0 M R F m o 1 e 6 y H g S 8 v G H N R j Q / v 5 1 B i C f o m 3 b S 2 I S 3 d o j z e v N d B u n 7 3 6 g S d v q v r U Y r 8 u W c o E Y t S K h G l 1 g Y z k H E u T B 1 q H q t c v o 0 C n i j V B 8 9 I V g 9 8 9 N E n s t S d V J H h c 9 J S 7 2 U h R K R A B m d m Z F 9 x Y Y e Y n F l A H Q L q e h P E B L S Y u s Z m J x i Q H o 8 k L K q t V A J H A 7 L G 6 Q W / u X a T x s f H q e / m O d m G m J x 1 t 7 3 t c R H T z t b C M F F 7 K s u C l 3 K z t 3 L T T J S 9 r e P 6 G C s 0 E / L N w 8 x M i q I J 1 C X c X C g n 2 C s R u d u P U o b L W i J l 0 e n T Z 2 h l S 5 M U 5 j N n v q K b N 2 + y C K r F I B j U h e D R d O F 0 U s U i 6 u r q l q T F l 6 d O 5 4 5 B m O h M Z A B 0 e A X D g w O y B D W V W W l M B j g f O 8 8 h 6 L Q 8 C E 5 N U U W F l / b v f Z p O n r o o + + B 1 n C D s G 4 + W z g o C F 4 v J c n t o J p w P X w 2 z s T 6 + e G 3 2 N 2 0 Q 9 m 5 e T V f 6 v e Q P X 6 e V K 1 v p Q n 8 t x b i c H 9 w U p 0 s P v P T 0 G l X o p Y 7 C d f t q D F o q Q W d n F 2 3 c u M H e e j j F Y W E x S G Y j N S v r L I h Q K E Q 1 N b W y f a E 7 T n v W F 4 Z s m v P n L t A z z + 6 R d Z z r q d P n a P P G d V R X V 0 e h m W l q b m m V 5 9 A 2 t a k p S X d G v X w e + A z Z L e e U 5 Z s C U v 2 J W I R D v w i 1 t Z p i U w o X L p y x 2 Y Z M 3 s m u K q 6 M E z 2 g r V z J 9 4 q Y w C d 3 f D m P A c Q b c F j 0 M I r F d I X F W I p j x z 4 S 7 w R 0 T w o A o a E z q x a T w q K e v m F Z i y e S J c U U D n P h T 6 U o Z G c f A c T x 0 g t 7 q b W 1 l U Z G x 2 k k m O Z Q d o p m p l R y B G I C B W O u b K E j E Y O w j 1 1 V w b U y l j c T 8 j 2 E 5 c s 3 y d 3 8 2 b Y Y + d w Z i q Y 8 B f 3 y 7 t y + U 1 B P O X O v U o Z q f N Z Z 2 k s 4 2 b 2 6 M J z T v P b a E T W U g s l m + d u x C U f C d G 8 4 R n 3 3 H 0 j h 1 m x / c q M 0 I H 9 1 5 o x s f / m l C h v D 4 R D d v n 2 b 6 2 P V s n z 5 5 Z f k e e A M 9 d r b 1 t C 2 j a t Z x E m q r V d j t g B 6 v T / f U d Q N i k 3 q U r a o u n q L B n U Z B B Y U v j h j T k P B 6 R 1 T c z + c 7 a l g U S W k 3 x t 4 v k N 5 k F j g C Z q a m J R j I C Q A w W E w o J N g f P H 3 r H t j b i 6 4 F r 3 z z n u S 3 A j 4 A 7 R h Z Y A 8 t W 1 8 b j h H P k t 7 6 W M B v v T S i 7 K + f / 8 + 2 e / n 4 z d v 3 i z 7 x s Y m 6 P L l q 9 T T 0 y P b a X R n L + J s d + G + o W D p 0 B U p d D F 4 Y / H I h d f N G H t x 7 a q M 5 e 3 A j g 5 J J L h d S C a o u 3 M 0 y U 8 w P m 9 W h B O 8 9 Q 4 t a 1 r O x 6 v 9 z u 4 8 e O 3 t I e V J a n y z C / B 8 Y E j F 8 W M f 0 5 t v v k F f n T 0 n j b s 9 k 2 4 Z J 7 V Y X n z x e R o a G q b 2 9 n b Z l j F P D G 4 E 2 s N W h 2 7 I U n N j 2 E u f d s 0 e C C m d a 1 h I a t y U i 2 5 1 h w u u m z E T 8 p U E 9 R i L M p S 0 o 5 p 0 J k t V 9 m B A z a 5 d O + j L U 2 f o w g W V N U O W D X R 3 3 5 W w a H O L R S d P f q Z 2 P o R v B 1 V 9 Z T q K R m J Z l d d v X T Z J h w 4 f l O 2 D L x + Q g t / e s H g x g a t f f 0 M H D r x g b 2 E w p E e S G b g R 6 E x g L B 4 v G E m M c 3 l p f W F j r 8 C v w e u 0 q L K m + M w C t x p e G N O 2 f 2 s b X e j 1 k O W o a 3 z G d 2 t d W Q f w V t 9 + c 5 3 2 P 7 + X 9 u x 5 W v Z Z V o a u X b s h D b / v v P 2 e 7 N u / f y 8 9 e P C A L l 2 6 L N v F b G 9 V d S n M y Y e 6 D b K B 9 f V 1 F A g E C t L e d + 5 0 2 W u L A 6 n 3 X T t 3 S H r e C d 5 f g x D w t d e P 2 F t 5 P u m s l L r U b B y i Y u s f R M K j 9 L V c i m Z u M U U g u 7 d 7 V Y x m x g d l G 6 E R 7 t h I J 1 + / f p P u 3 r 1 H A 3 3 d d P C V A / T F F 6 f U n Z 0 L 2 M F N S d q 2 j e t V U 1 P 0 5 l + 8 I W E f E g y r V 6 + m t W v X y n s 5 0 e G W r t J g G 9 n A Z c u W q R 0 O M C w E h E J B m r S z c Q s B v S / m I 5 N J q b i / B K V 2 S 4 g r g l I 2 P j m 7 z + B S x t S h i k w G 2 L G C X t + T z 3 o 9 W X N P l p s 2 b R A P F A q F R S y x 5 g O y 3 0 l D g 3 q d F D w b 3 U i L Y R + / / R / / I L 0 W 4 I E u X L h E v T 3 3 6 P K l K z Q 5 O S H H z E U g U E M N 9 Q 0 5 M T 6 M I A t v a G i I a m p V G 1 U 0 H J b 2 J o C / T d c H J y c n p c 9 f q Y l j H K f v Q M W l e E o J C w E O h K W O N 2 b q U A U 8 0 V o n n u X m j V u S Z N j e k i Q P p a m l p Y V G R 0 c d n V x V w T q 8 J Z 8 6 R r c k F F Y N C h z e C 6 B R + P d v v U 3 f f n u N 9 u 5 7 T h p U w Z 4 9 T 4 l A v T 6 v i G W h Q I z O z 7 p 3 7 x 6 9 / / 6 H d P H i Z d l f w + + F c 9 a 4 v V 6 q 8 g e k Y y 7 O 6 / Q 9 l Z W 8 N N o q M y w V d 4 4 F 2 / h v B 0 + t d n o g v i i 5 p f J Q K E J j 4 4 W T x S x l r J N X b u a / m S V O x c w w 7 d q 9 Q 4 S A g g k L B o M y 0 h W d X 3 G h d J H S Y F 8 o h p l Z s z Q 2 N i Y h m / Z O t 2 7 d p i 1 b N k t b E B I V a B w e H h 6 R E O 7 D D 4 9 J / e X o 0 d d y x y 8 G n C P e c z 4 w v A P d n 3 A s p h 3 r m a m h B 1 P 5 7 k O 9 V 4 / T z q f 3 0 d M d n p y n w k D F d Q 0 p a q 1 L F 2 T 7 0 F s C g y i T i T g l 4 l G x e C x M i W i I 9 v z I j O 4 F 1 s m r R l C a P e u a c 0 I C u K P D G z g T B D 0 9 v d T e 3 m Z v z e a 9 9 9 6 n N 9 7 4 M 3 u L 2 H N 8 Q C + / f I C q q 6 v k / W C X L l 6 h A y + r t q N y U 0 p o + H u 0 a C f C G b r c X y 0 d Y t H L X A M v h S H x Z 3 t 9 s v 7 l X R / F 7 C H 1 G i R O U s m E L a i Y L a g I x a N B e u Y p I y g g z S f G l C G k Q x 1 K g 3 q S F t N t 9 j a g t T U f S p V C i w m F e I r D w M O H X 6 G B g X 4 6 f v y E F H a M 5 I W Y n J + z E O L s X b T Q A d 5 L j 8 C d 4 D q Z Z n x s R J b O Y 7 W Y p r i e 1 u h 3 y V i o q d h s 7 w Y x A X i q N f W F 5 4 f 3 w 1 u K 2 f v y c P g n / x t D r b L E 7 q V n q 5 Y 3 S K H R 9 a R U U X t s 2 p F G n 4 v z 5 y / Q 8 M i w F O J 6 r i t B l B s 2 b K A j R 1 6 h K I d f 5 8 6 d p y t X r t D U 1 M N H 4 p b C V 1 l V E B r C C + k R u B j c C C D S p u Y W S v O y O I w c H R 3 h 4 + 2 E C d u N o c L + h D r c W 1 m X E g / V O V b 4 v L y f i F S p S j 0 U 2 M 3 6 Z t S 1 X M r m K r F v S V q z v 7 C i f 2 u 4 s E B t 2 b x Z n h 8 e G b X 3 l O a Z Z / b Q i u Y V 9 l Y h v R w u o v 6 0 e / d u m Z d i o Y R D c 0 / W s m r N W h o a H J C b g Y S V 9 n R h T p q a m i U 7 C K 8 G T / V y U R c p D e Z M 1 7 M h F S M i E j H J h l K S f c m u f t 1 T 8 r o u N T N Z P h u E Y p 9 9 9 o X 0 f g h z g R q c K b w 0 8 A g o k H e i G + j e R O k x Q X O F c c g S 7 t 6 9 S 9 Y / P P Y R 7 d y 5 P S d g z P / Q 3 X l b O r W C c f Y m G h y D a c n m o 9 7 2 P h i i 7 2 x X g m f S Q H D o x V 5 b V 8 / H Z O l H q 0 q L 6 u b I 7 L 8 P C Q k I S M 7 Z X i p x q W U o V K o R e O n B d S j z w C P D Y k G / N / R + i M Z L N 1 b q c B B T G J c i F i t d Q I 8 d / 7 i g w f a 1 V w / L E m H U z E x Q 2 o L W b 9 w s n V r B M v Y m m u L Q r R Q Q u h 7 x C 2 S I h Q 0 8 k 5 O G x m V y c 4 A I G v 1 Z 8 q V n t 3 + F S t S v + B L l R c T h r + q 1 r r a x x P z t z u u 5 V B / G Q 9 m o g q L W l 9 W U 9 k A A 5 R v D z k t x 4 o Q a G q 9 B u r y / v 5 8 O v P R C Q e Y N s x V p 0 J v 8 u 6 I b e P H e u h 4 F k J 4 v B f r w o V E Z Q K h I b M T d s y d f c Z x q j g I x Z e x 1 v b T N g J A P Z c O Y d E r V d 9 y 5 v I L b / p 0 m 3 R n W C Y a 9 v / u u G n K B p A O G U K x a t U r C M A 1 6 S 7 T Y I 2 T x W S 0 t p e t b p Z i Y G O f 6 V H 6 S F C 1 S n C + m H t P o / X j / w Q f 3 Z R 2 g D 5 / T U + K 4 U o 2 6 3 q J 5 0 b V g 8 m L K t 9 O J Y R 9 C w q J r u h T N h H z 2 A / P t L Y R Y R E 2 6 c r K z c l a X n U O H D t L R o 0 d F W O j k W g w 8 i r M v H o T w w Q f H 7 K 3 5 a e R w z e / o 2 D q X 8 F H Q M Z d 5 6 + o 1 u a 5 P 6 E W v U + 1 4 X i 1 l U Q B + q M 0 J P g e C g U e D m B D e y b Y I T C 1 h z u u 5 V B 8 l n P v S R B e w + T i 8 L R 9 O r X X d k k l b N C h 4 k W g + 9 H K C w o i Q s N X 2 T p r X X 3 + V R X V c Z q E t F / h b c C 4 + n x K 8 D g G R w t e p 9 k n 2 d r d v X q O v + + b u 3 I r 3 U k K C N 1 I C E t P r j n 0 G E / L l z H m 3 n 7 G n / i o F w q S X O k I S K q 1 a v Z q + 6 F a e C m O m 4 I F q 7 U l T N O j j d / P W L a m 7 H D m i k h F O 0 L X p h R f 2 0 a 5 d O 6 U N C 2 n v u R j j 9 3 n 7 H T U 8 p B Q o / D i P Y H D 2 3 4 D n N I 3 L l t P m r d t o L F 5 4 v q X I Z u w f 3 G Y T r 8 S m R F a 4 L H V d l 5 o Z D 2 V z + v R X 9 h p R N D p 3 C h i 9 J 9 5 6 6 1 / J X + m h W n t E 7 q d d V f R p t 1 / E d X 8 y n 2 V D / W n r l i 3 U 1 N R k 7 y m k p q Z G R I o J W t C G B W F / c e o 0 1 5 c m R I T 4 U Q L 0 H I e H 6 O n p o + V c B 2 p u b q b f / + s 7 9 M m J k 5 J y d 4 L X Y 5 + e D c k p I n y O T m Q 4 K V W P y q P r S Q 5 R 2 e v I j M o 6 L / G 8 w d S h c o 8 d O 7 b L B U G B 9 H i U I D D T q r N A a l Q 4 p R I N z 7 T N D p l u j 3 p z 9 a v K y s o 5 P R 5 A n e v V V w 9 z u B i l 9 / 7 w A e 1 5 e j f X l 5 B 9 y 1 J b e 5 s k E n 7 7 2 3 + g 9 n Y 1 r m r L 5 o 0 U n A 7 S w V d e l p S 7 Z m J s V M 6 3 y j E t s w 7 Z A O p S u B l A V J h F 6 Z u B 0 t l A j Y h G m x 3 a 6 e 1 C g S l z X s 8 l + / j i W u f C K g 9 / 4 r T 5 L e l J X c 9 1 D L Q 3 h a N J G g 7 7 q L 0 x J Y K A t + j u v k d P P b V b f l 2 j i o W i + / k V J y c 0 7 v g I P b j y P h 1 5 9 R X x K o s B Y 5 V 6 e / v o y p W r 9 M t f / q I g J E W m E E L V 8 6 b r r F 4 x m O M c j b g A I n J 2 8 k 2 y Q / m c w 1 X w 9 N o E X e z L C 1 M D z 5 P O p K Q r E 6 5 N G h 1 j 7 c 6 x S c z R h w 6 y s S h 7 9 C A l 2 H 7 y 5 u P p 8 P v / E y b k s 0 E h X b F i B d d j 1 B w R b i t N D d W q c o 9 e F B 0 d H Z L F w 9 R c A b 9 f C i c m U 3 m Y m E D a 1 0 z P v f q 3 i x Y T w E D F m 9 d v U t P O n 9 H 1 6 z f o b X t Y / f 3 7 D 0 R M A G 1 c p c Q 0 O j w k S y 0 m c L 9 P z X o E e t n z a j G B U m K S M A 8 P 2 w t p j 4 Q Q L + + V 8 i E f z G B C v t x j 2 f J l U o j 2 7 f u x X B h f p Y 8 8 d l l 1 e o d r X L h B O m v R 1 f 7 Z B b G Y j c 2 l 5 + B b C C 0 r W 6 h 5 W a M M F 3 n + + b 0 0 M D B A w 8 N q c k t w 6 f J V 8 W T F D A 6 P i n d z 0 r 5 u v f z 2 L s Y 3 d T r m x 3 g Y O a F o 4 a T 1 E l 4 L y 5 R a l 2 W K A o F K x 9 V c w o 9 T 1 7 p M y M c 0 V n t p V X 2 V 3 P F 1 v Q M z x / I q P d c e p 8 4 R r 8 w r 8 Z U 9 x G G h L A t k K O D N 0 M a m x Q 3 X A G i z w p D 3 q V C S M o k g v f v u + / R 3 f / c L + 1 k F h o i g V z v C U j Q m B w J + q X / B 4 2 J u 9 d 5 I M 9 V m B + l u Z O H j l e C B I B R V 1 + J Q j 8 M 9 / G K H j I V K I t x L O A Y Y R i g W C d I b f 7 6 v I K R c q p i 0 u W 0 T X G e a m J i U U b Y A w m o J K O 9 y t s d H 4 x H X o s U E x k M u D r E e 3 p X p Y W D y l t O 9 t d Q 9 5 q a L A z W U 8 d T Q 0 a O v 2 s / m g Z i O H / + Y 6 1 p f U 6 D G L 2 1 P S L 0 j L M Q Q 9 7 G w m w a S q + a N 7 Z 2 Z v n x q 3 P Z S 2 j v p b a 5 X q f 0 w V c d y I 5 F T 4 r o u N e P r X G L v E j X M w u p s B w o k 7 k l S 4 o c A o V l l l Z / u T a j w 7 O J 9 3 6 y O r g D n e / v 2 H e n Y 2 9 j Q K H W 8 j z 4 6 I T 0 5 N P v X x W l 2 r r I 0 u b B O C 4 a 3 J T G R 8 1 h s L C D Z h u d i y 6 S R 6 S x 9 T Z e a m R G 7 D k t x Y Z E 4 2 K 4 z t b W t p Q 3 L 1 Y A 7 f Q f 3 O S b R f x x 8 c m d 2 l y b g 8 V b I X H l O 8 F M 6 6 K 3 + 6 1 / / i t 5 6 6 2 3 Z h 4 Z k 9 H p 3 9 j U s f l 0 x D V V p S q R U A k L V m b R p L 6 R N 1 Z e q P E n y u h I 5 U c m A R n 4 f Y y b k K z A U w r Z 1 b X T 5 8 h X e w b t Y W J h n z 0 k 8 j Y M X T / E I 4 F J A T P P J V c 8 2 C x C W N j U t l 4 k s c W f 8 l 9 + 9 J R 5 k 3 7 7 n a P r b f 7 a P Q s b O X n k I E x G L g n y / a O Y Q 1 y k c C e d s M S k P p W w 6 k q Z w N G 2 n 0 p P 0 7 H M 7 Z 1 3 L p W o m 5 H N Y f 8 x F f 7 w 4 T U 8 + + Q S d P X u e 9 / F e F h W S F E i R P w q Y f X Y u 4 J U W 4 v u G H R P 5 o z c 7 u i 6 B n / 7 s L + i v / t 3 P J S G B N P v P e D v Z 9 Q 7 5 K x b y r v C 8 G e q f z I q I K j 2 q j q T E p E S U E x X C P T E 7 W Z F K 0 P q N m L S m 9 D V d a v Z o p e R P k B 9 v r p a f d 1 m / f p 0 I C X P o Q V Q L S Z F / F y C k u d q y i t m x U v X M w G t C 1 v K S n W o P H X p F 2 q s O H z l E u 1 o K P W w e D v H 4 7 5 M w L 5 2 h U 9 1 u e r E j L C n x I H s f J S I l J i U k F d o V Z v 3 i v D 5 3 3 8 O l h p k 5 t s i i w W n 5 A T K M n k W B g 5 g u P V h 8 d q 8 U 8 4 V e C + G b g f x M r 5 2 j b u n / 5 w S / 9 / u 7 3 / 2 L e C m k 0 l 2 W R 3 7 t v R i c i 6 4 z B b w s E v Z A n 9 z 2 U J 0 v Q e 5 s 3 k P l v J K 9 R J i n L C F p 9 C e 2 r p 9 1 D Z e 0 n b 5 5 r w x f 8 5 8 W T V Z Y 0 s 6 w 0 7 0 B S m f L 4 8 i X + T O 0 e 1 V h 3 7 / F e K d S b K n u p t W r V 8 k 6 G n n 1 V N A A Y k E 9 6 9 q Q l 4 Y K h u 0 r 7 6 T T 4 c o b Y Z m k 5 V U J 6 m i I 0 u e d b l s 0 X K / i J S Z + c b Y / x a I h i k d C 9 M v / / H P 7 P Q 3 A h H w l i M S S M u X X R z d d X J A w 1 3 n p j I L + E b b 5 8 N q Z w f G i e p j z R 6 a / M / 6 V d H 9 M / R x N Z 3 C F i A i M j I x I Z 1 j g F J O 0 L 0 F I t v f x W k h E K A + 0 a V m M B q e y F E s U e q a k 1 J l g C T F 4 p h S L C x O 9 G A o x g i p B 2 F f P B S c t B Q f 1 B R R A 3 N G L C S d c 5 F 7 A F U w 6 M o N 3 H P P d l S M E D M a y d H 1 E 9 S 6 f i b n o X F + V 3 W M i Q J 0 T a j i J R r y S h H k Q T F q W k b g a P w V R X R + 0 R E B n 7 r q U g E R U O v m g D J 1 j N z S E q a 0 2 T L / 4 1 V / a 7 2 z Q m D r U Q w w N p i m E O b g b 8 1 0 Z B a 6 U p 2 K t L U h U m r 6 J v L e Y L / O 3 E D o v H i O P J y / S c M K i i y M r 2 C 3 6 a S i Y 7 6 G h E x A q C a E 8 U K V u S 7 I N 0 6 A p E S k h 5 e t L b H w d W q o j t K k x J L 3 M w w n U L 0 t f u y V t Z 2 7 1 G L / 9 E B 7 0 T t J M y k / e i k o p t G 7 b d M O v E + x Z 7 I W E E A 9 s i D 1 S P Q o N z u j s i h 7 k s 0 F d C Q t 4 J n g k 5 Z 3 E W F T 7 2 y M U T 6 b o V J d H b h g p y e A p M c H k Z s K 2 r S l I 5 + 5 m W E w z 9 O B + P / U F q + n v f / M f 1 E c Y C j A h 3 x z U Z v r t s T 9 5 T 4 U C h s J Y z H e 5 K + m Q b 5 n / u w 9 9 g B g 3 N h X 2 a F e h X V 5 A T i 8 E w c x M j d F 6 X 7 f M u X 6 q C w M O l R d K s 7 j E M y E l b n s l J C I w T + G G h p D 0 w K i q 5 p v L Y l z y E s P 6 6 r b x U H P R c 6 e f p t N 1 5 P H 6 2 O C h 8 A M C H j F k 0 P S P Q P + Q h G Y m K d b 1 P m 3 Y u J G m A s / C L 3 F o x 6 J C J 9 e c V 7 K X t m c 6 f u w j + d G C z z s 9 I r T 1 D V E W T o q 6 R r M i K G T 2 J K u H 3 u U c 4 s W R 3 Y t F 2 M L 0 m / / 2 n + x P N h T D g u o 1 g p q D 1 N B d u j I U U G G f t 0 L M 7 Y a w W F B a V P J 7 s / k + g K D S k 6 F Y 6 v G I b e + 6 O F 0 f 8 t J M D L 0 4 V L C J 3 8 O F a M J x o j M 9 F b k 2 J u f A w I 3 L 4 9 R U n a A Y e x y 8 C s m I L 9 h D V X s S N B V O U 6 U 7 Q R V W k o a m U r Q q E K H O 4 b R 4 Z 0 m V 4 2 d r 2 H b t 3 E r P 7 n t K z s M w G + O 7 5 8 H T 0 k E N F W E u W D E V + r E h F I J h S D h C K N Q / t B f Q 2 c D H J S Z w 5 p 6 P t r c k 6 M D 6 K K 2 q Z W / C n 3 t 9 Q E 3 A g q x d R i c X b K t M D c v S l x 6 n w a E h i T W R g E B a H S H e p s Y I v y Z J 0 + E U D U 7 y f v Z M X c M Z + + 9 V f z d E t a k 5 Y 8 Q 0 D 9 Z X d 4 y H W g h n z v a S R 7 w U Q j / 2 V B 6 v e C j x V C 6 3 b S o E F G 8 F H y B L p k Q S 4 1 G B c F f V J m T Q I w Q 1 E r T o 6 3 4 P 7 W 0 L 0 6 e 3 L Q l J I X J 4 q v 3 r I i I 2 / G K i W i K j l 6 Y v u 9 3 E S q L a i j i t q Y v R 2 b v 4 w Q O u O 7 G g 1 E B C N W d E O s G h H o v v N / + 9 c H C j Y T b W 2 T t 9 R l A L Y G Y m S l 9 f G 6 S G m g q K Z q q k P p U T l Y R + L C i 3 m 7 X j K i E s v A O v 6 a U s 5 h J Z P j u n Q b 1 I / t m p e w i q K Z C i U R b S C x 1 R E V U 8 l W V h E d 0 a c s + q O + 1 t g 6 g y l I L X Y j G N h 7 L s 1 R D 2 p c i V T X L 9 S S c j 2 P v C I 7 F l U l F a 7 Z + h m w M Z + i / / 9 W / k 5 m G Y G x P y L Z D a 2 i o O 7 W L U U R f k O 3 f U D o d U + K f T y x I G o k D y X R 7 D G i T 9 z A U W i Q C p y 6 C H g i 7 k v E / M 3 o Y A I B Y l B A h K h Y 9 I L M g x 8 C x y b D 5 r N z j F Y V k y R S d v o 5 t Q i q x M k p Z X o s N q k p r 8 M V 5 C P D i P F I V i a Q p F k 3 S q 0 0 W X + o i u 9 a v f y 8 U 5 R 2 L q 3 B s r I y q 8 Y 8 + U 5 r 8 R Y g p H 4 7 R 3 + w o j p g V i P N Q i G b 5 5 m c j t o 8 6 J G v F S B V k / 9 l B i d q K i M G H B 9 y 5 Z K o 9 l + y l F z l s p L 6 S w v Z Q s x T X J U 1 p o h Z P 2 Z + j 5 d c p L w d J s 4 X i W L v a q e Q W 1 I E W U t h j F p K 6 V p H o O + Y a m O Q z U o V 4 8 R m 2 1 Q Z m X A j 0 u n n / z r 3 E i h g V g n e s 0 g l o s Q 9 c v 0 P V R C E r V p 0 R Q u a y f X Z + C s C A m z C u V E x W U B C n p J Z P / T 6 F U p H R l i 0 i W s l 8 t t Y i 0 q F R 6 P E v 1 l U n a 2 s x e k g X 0 Z b c 3 L y S I C g L i b Y v D u 0 Q C + 1 X P 8 S d X R O h S D + p O S J M r r 9 t W M y M 9 R T C Z 5 8 G / + l u c g W G B s K D u G 0 F 9 B 7 7 8 9 A J F 0 p X k q f C x m F R 9 S n k p 2 1 O x d 3 J Z X K e S + l S h q L S g g I i s B E p A s g I Z q e 2 c m L R B S M p L F c 7 s m q Z n 1 0 R F Q K g 3 Q V T x Z J q u 3 H d R Q h p v Y R z u Q W Q c 6 u m Q t a M + K E M + I H C M A j 7 w c 5 O E W C x G U I / A B x + c I x d C P o / d 6 I v 2 q Z y o E P I p Q S l P 5 R C U i E g v s e o Q l X w b 6 i s R E e W W p c S U F 1 W x o L A u d S 7 x U M o j S Y Y P d S p 4 J 7 u O p z 0 T O r s i N Y 5 j / H 4 / v f j T v 5 H P N i w O 6 1 y X E d S j 8 M H 7 Z y h D H q q q r K C M B X H p + h S b I 5 U + u z 4 l k h I x O e Q k 5 L 4 Q h 6 D w w H Z O U C w Y L L W Q J P R z i E n q S w 5 B q f q S 8 k z S 1 Q g Z P d s z t d e F c r M 9 L W 9 e Q X u O / E T W D Y v H O t / 1 w A j q E Q m H I / T x x 5 f J j f o U Q j 8 7 / I M p M d n C E k F p U d l i E j U V S 8 p G h K S X t p D Y s A 3 x i H f C P h E S h M X i g b B y X g k h H 9 Y h J C U o n Y G E k B D q Q U y Y I x 3 D D o 7 8 x 1 / z O Z f q Z G t Y K E Z Q Z e T 3 v z / J n g m N v h U c C k J Q a K e C m B y e y i E q J S g l p m J h Q U C 2 m q C f n J B y I r K X W l g 5 Q U F c 2 i u x g J S o b E F J i K f C v P Y 6 h H h x e S 3 q f 0 f + + u / l c w 2 P h n W + 2 w i q n L z 1 u 4 9 Y A i w g h 6 f K Z f 3 s O h U E p Q e i 5 b y V k B e U Q m R l C y l v r B z 2 R L x e I C Y s i z w T h K Q N n o l t X X 1 E P B K 6 H e G X O 6 o b V 9 O L R 1 + X T z M 8 O i y o f i O o x 8 A / / 9 M f R V S 5 n h R a W A 5 R a T G J o L C 0 X 6 v J i Q l r + G d 7 J b F Z Y s o L a p Z n 4 j q T 3 x O n R l 9 U G o L x e f h N q g N / a V L i 5 c a 6 Y A T 1 2 E D B / 6 d / f I 8 F 5 B A V e y p d r 1 J i c o R / 8 i q n r E R K S l R s e g n L Z / X 0 z 8 t o M W k P p b 0 S 6 k 0 c 4 t X H p H 6 E 3 9 k 9 9 O 9 / J e 9 u K D 9 G U N 8 T / + t / v s V C Q u g H T 6 W T F d p T 6 V 4 U O B L i k p d A T 2 o B M U F c I i Y I S S 2 V V 8 K 2 U 0 w 6 x F O e i Q + k 1 j q i x l o f v W I a a R 8 7 1 o W 7 A 0 Z Q 3 y P / 9 3 + / T a F w T I m r K P w T U e U E h f / g l U R K I g z t n W b X m 3 h p C w n e C a + A W P H r 7 6 2 r W u g n P 5 3 9 q x 2 G x 4 N 1 0 Q j q B + P / / O P b F A y G R C S s L B G W i C o n K A A B Q U 9 K V B L q 2 e G e r j t h G 4 J E S I d E Q 1 v 7 W n r t z w 7 Y r z d 8 n x h B / R v i f u 8 A f f L x K W l k z Y V z 4 p H s r 0 i c F w R n i Q e C Y T L O I 0 c P U E t L 6 V + Z N 3 y / W B f v G U E Z D O W C B T V o B G U w l A n r k h G U w V A 2 r E s 9 R l A G Q 7 l g Q Q 0 Z Q R k M Z c L M K W E w l B H r s v F Q B k P Z s C 7 3 D h t B G Q x l w o R 8 B k M Z s a 4 Y D 2 U w l A 3 r S t + I E Z T B U C Z M y G c w l B E j K I O h j F h X 7 5 u Q z 2 A o F y y o U S M o g 6 F M m J D P Y C g j R l A G Q x m x v n 4 w Z k I + g 6 E s E P 0 / 9 X W F X j x / b x Q 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 N a m e = " S c h i c h t   1 "   G u i d = " d f 2 1 2 4 b a - 5 7 2 8 - 4 4 8 1 - 8 8 3 8 - d a b 7 5 0 7 e 9 3 c 1 "   R e v = " 2 "   R e v G u i d = " 7 3 0 3 2 7 f b - f 5 a a - 4 b 8 f - a c f 3 - 6 a 6 7 f c c a c a b 1 " 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 N a m e = " G e r m a n y "   V i s i b l e = " t r u e "   D a t a T y p e = " S t r i n g "   M o d e l Q u e r y N a m e = " ' B e r e i c h ' [ G e r m a n y ] " & g t ; & l t ; T a b l e   M o d e l N a m e = " B e r e i c h "   N a m e I n S o u r c e = " B e r e i c h "   V i s i b l e = " t r u e "   L a s t R e f r e s h = " 0 0 0 1 - 0 1 - 0 1 T 0 0 : 0 0 : 0 0 "   / & g t ; & l t ; / G e o C o l u m n & g t ; & l t ; / G e o C o l u m n s & g t ; & l t ; C o u n t r y   N a m e = " G e r m a n y "   V i s i b l e = " t r u e "   D a t a T y p e = " S t r i n g "   M o d e l Q u e r y N a m e = " ' B e r e i c h ' [ G e r m a n y ] " & g t ; & l t ; T a b l e   M o d e l N a m e = " B e r e i c h "   N a m e I n S o u r c e = " B e r e i c h " 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G e m i n i   x m l n s = " h t t p : / / g e m i n i / p i v o t c u s t o m i z a t i o n / T a b l e X M L _ B e r e i c h " > < C u s t o m C o n t e n t > < ! [ C D A T A [ < T a b l e W i d g e t G r i d S e r i a l i z a t i o n   x m l n s : x s i = " h t t p : / / w w w . w 3 . o r g / 2 0 0 1 / X M L S c h e m a - i n s t a n c e "   x m l n s : x s d = " h t t p : / / w w w . w 3 . o r g / 2 0 0 1 / X M L S c h e m a " > < C o l u m n S u g g e s t e d T y p e   / > < C o l u m n F o r m a t   / > < C o l u m n A c c u r a c y   / > < C o l u m n C u r r e n c y S y m b o l   / > < C o l u m n P o s i t i v e P a t t e r n   / > < C o l u m n N e g a t i v e P a t t e r n   / > < C o l u m n W i d t h s > < i t e m > < k e y > < s t r i n g > G e r m a n y < / s t r i n g > < / k e y > < v a l u e > < i n t > 9 2 < / i n t > < / v a l u e > < / i t e m > < / C o l u m n W i d t h s > < C o l u m n D i s p l a y I n d e x > < i t e m > < k e y > < s t r i n g > G e r m a n y < / 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B e r e i c h ] ] > < / C u s t o m C o n t e n t > < / G e m i n i > 
</file>

<file path=customXml/item7.xml>��< ? x m l   v e r s i o n = " 1 . 0 "   e n c o d i n g = " U T F - 1 6 " ? > < G e m i n i   x m l n s = " h t t p : / / g e m i n i / p i v o t c u s t o m i z a t i o n / M a n u a l C a l c M o d e " > < C u s t o m C o n t e n t > < ! [ C D A T A [ F a l s e ] ] > < / C u s t o m C o n t e n t > < / G e m i n i > 
</file>

<file path=customXml/item8.xml>��< ? x m l   v e r s i o n = " 1 . 0 "   e n c o d i n g = " U T F - 1 6 " ? > < G e m i n i   x m l n s = " h t t p : / / g e m i n i / p i v o t c u s t o m i z a t i o n / P o w e r P i v o t V e r s i o n " > < C u s t o m C o n t e n t > < ! [ C D A T A [ 2 0 1 5 . 1 3 0 . 1 6 0 5 . 1 5 2 6 ] ] > < / 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4E0CD4A-D5BF-4CC3-A1CC-5357C22AC052}">
  <ds:schemaRefs>
    <ds:schemaRef ds:uri="http://schemas.microsoft.com/DataMashup"/>
  </ds:schemaRefs>
</ds:datastoreItem>
</file>

<file path=customXml/itemProps10.xml><?xml version="1.0" encoding="utf-8"?>
<ds:datastoreItem xmlns:ds="http://schemas.openxmlformats.org/officeDocument/2006/customXml" ds:itemID="{4D99D858-6191-49D8-9420-1E74F11DE82E}">
  <ds:schemaRefs/>
</ds:datastoreItem>
</file>

<file path=customXml/itemProps11.xml><?xml version="1.0" encoding="utf-8"?>
<ds:datastoreItem xmlns:ds="http://schemas.openxmlformats.org/officeDocument/2006/customXml" ds:itemID="{4EA77664-4D19-4E6B-A284-6BF85AB7A035}">
  <ds:schemaRefs/>
</ds:datastoreItem>
</file>

<file path=customXml/itemProps12.xml><?xml version="1.0" encoding="utf-8"?>
<ds:datastoreItem xmlns:ds="http://schemas.openxmlformats.org/officeDocument/2006/customXml" ds:itemID="{0CA94C95-9E93-4248-8726-2F49293AC6C6}">
  <ds:schemaRefs>
    <ds:schemaRef ds:uri="http://www.w3.org/2001/XMLSchema"/>
    <ds:schemaRef ds:uri="http://microsoft.data.visualization.Client.Excel/1.0"/>
  </ds:schemaRefs>
</ds:datastoreItem>
</file>

<file path=customXml/itemProps13.xml><?xml version="1.0" encoding="utf-8"?>
<ds:datastoreItem xmlns:ds="http://schemas.openxmlformats.org/officeDocument/2006/customXml" ds:itemID="{8ABA1ECE-5228-4EF1-A302-B06A33B5EAED}">
  <ds:schemaRefs/>
</ds:datastoreItem>
</file>

<file path=customXml/itemProps14.xml><?xml version="1.0" encoding="utf-8"?>
<ds:datastoreItem xmlns:ds="http://schemas.openxmlformats.org/officeDocument/2006/customXml" ds:itemID="{904E2FD4-5C10-4CA6-9B68-2593C198701C}">
  <ds:schemaRefs/>
</ds:datastoreItem>
</file>

<file path=customXml/itemProps15.xml><?xml version="1.0" encoding="utf-8"?>
<ds:datastoreItem xmlns:ds="http://schemas.openxmlformats.org/officeDocument/2006/customXml" ds:itemID="{867C9CC7-568F-4348-A353-3170C6AEE55B}">
  <ds:schemaRefs/>
</ds:datastoreItem>
</file>

<file path=customXml/itemProps16.xml><?xml version="1.0" encoding="utf-8"?>
<ds:datastoreItem xmlns:ds="http://schemas.openxmlformats.org/officeDocument/2006/customXml" ds:itemID="{6EAD0292-750F-41D4-A13E-45D41D5C960F}">
  <ds:schemaRefs>
    <ds:schemaRef ds:uri="http://www.w3.org/2001/XMLSchema"/>
    <ds:schemaRef ds:uri="http://microsoft.data.visualization.Client.Excel.LState/1.0"/>
  </ds:schemaRefs>
</ds:datastoreItem>
</file>

<file path=customXml/itemProps17.xml><?xml version="1.0" encoding="utf-8"?>
<ds:datastoreItem xmlns:ds="http://schemas.openxmlformats.org/officeDocument/2006/customXml" ds:itemID="{ED0CE06A-4043-4017-93D0-B7BE76A0D95B}">
  <ds:schemaRefs/>
</ds:datastoreItem>
</file>

<file path=customXml/itemProps18.xml><?xml version="1.0" encoding="utf-8"?>
<ds:datastoreItem xmlns:ds="http://schemas.openxmlformats.org/officeDocument/2006/customXml" ds:itemID="{3F9F7DB7-607F-4DC7-9699-6A90F7789817}">
  <ds:schemaRefs/>
</ds:datastoreItem>
</file>

<file path=customXml/itemProps19.xml><?xml version="1.0" encoding="utf-8"?>
<ds:datastoreItem xmlns:ds="http://schemas.openxmlformats.org/officeDocument/2006/customXml" ds:itemID="{67D3D6B9-3ABE-44BD-9F06-112C4DB10EA8}">
  <ds:schemaRefs/>
</ds:datastoreItem>
</file>

<file path=customXml/itemProps2.xml><?xml version="1.0" encoding="utf-8"?>
<ds:datastoreItem xmlns:ds="http://schemas.openxmlformats.org/officeDocument/2006/customXml" ds:itemID="{3904402B-4079-46BD-94B4-2A337E10ACDF}">
  <ds:schemaRefs/>
</ds:datastoreItem>
</file>

<file path=customXml/itemProps20.xml><?xml version="1.0" encoding="utf-8"?>
<ds:datastoreItem xmlns:ds="http://schemas.openxmlformats.org/officeDocument/2006/customXml" ds:itemID="{2CB4C56C-5876-46DB-B42C-4200711681A6}">
  <ds:schemaRefs/>
</ds:datastoreItem>
</file>

<file path=customXml/itemProps3.xml><?xml version="1.0" encoding="utf-8"?>
<ds:datastoreItem xmlns:ds="http://schemas.openxmlformats.org/officeDocument/2006/customXml" ds:itemID="{E8E7B752-8E39-4529-AC32-C4D55CA87632}">
  <ds:schemaRefs/>
</ds:datastoreItem>
</file>

<file path=customXml/itemProps4.xml><?xml version="1.0" encoding="utf-8"?>
<ds:datastoreItem xmlns:ds="http://schemas.openxmlformats.org/officeDocument/2006/customXml" ds:itemID="{F6B43CC5-000D-40F2-ABD4-0FDAC212BFA5}">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0803F108-A0AD-45DF-B088-2A87248627E6}">
  <ds:schemaRefs/>
</ds:datastoreItem>
</file>

<file path=customXml/itemProps6.xml><?xml version="1.0" encoding="utf-8"?>
<ds:datastoreItem xmlns:ds="http://schemas.openxmlformats.org/officeDocument/2006/customXml" ds:itemID="{A4CA7994-1E98-4F42-B214-9B759781A40C}">
  <ds:schemaRefs/>
</ds:datastoreItem>
</file>

<file path=customXml/itemProps7.xml><?xml version="1.0" encoding="utf-8"?>
<ds:datastoreItem xmlns:ds="http://schemas.openxmlformats.org/officeDocument/2006/customXml" ds:itemID="{67536ED5-99CE-409C-B188-959038164938}">
  <ds:schemaRefs/>
</ds:datastoreItem>
</file>

<file path=customXml/itemProps8.xml><?xml version="1.0" encoding="utf-8"?>
<ds:datastoreItem xmlns:ds="http://schemas.openxmlformats.org/officeDocument/2006/customXml" ds:itemID="{80470D72-88BC-42C6-8851-FA7CE031CB0F}">
  <ds:schemaRefs/>
</ds:datastoreItem>
</file>

<file path=customXml/itemProps9.xml><?xml version="1.0" encoding="utf-8"?>
<ds:datastoreItem xmlns:ds="http://schemas.openxmlformats.org/officeDocument/2006/customXml" ds:itemID="{ABD19D1A-4201-4F9D-B8A8-28939D0C69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20</vt:i4>
      </vt:variant>
    </vt:vector>
  </HeadingPairs>
  <TitlesOfParts>
    <vt:vector size="20" baseType="lpstr">
      <vt:lpstr>ToC</vt:lpstr>
      <vt:lpstr>Import 1 Emissions by Sector</vt:lpstr>
      <vt:lpstr>Import 2 Primary Energy Sources</vt:lpstr>
      <vt:lpstr>Import 3 Scholarly works</vt:lpstr>
      <vt:lpstr>Import 4 Patent documents</vt:lpstr>
      <vt:lpstr>I Mortality Value</vt:lpstr>
      <vt:lpstr>II RO CA&amp;OPEX</vt:lpstr>
      <vt:lpstr>III POX oil ideal</vt:lpstr>
      <vt:lpstr>IV H2 ideal</vt:lpstr>
      <vt:lpstr>V Intermediate Calculations</vt:lpstr>
      <vt:lpstr>VI Projected H2 Demand</vt:lpstr>
      <vt:lpstr>VII Projected H2O Demand</vt:lpstr>
      <vt:lpstr>VIII Mineral Demand</vt:lpstr>
      <vt:lpstr>IX HypeData</vt:lpstr>
      <vt:lpstr>X Case Study</vt:lpstr>
      <vt:lpstr>X Case Study_old</vt:lpstr>
      <vt:lpstr>X Case Study_older</vt:lpstr>
      <vt:lpstr>XI Q and A</vt:lpstr>
      <vt:lpstr>XI.1 Appendix</vt:lpstr>
      <vt:lpstr>XII Human Capital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Nin</dc:creator>
  <cp:lastModifiedBy>Lukas Nin</cp:lastModifiedBy>
  <cp:lastPrinted>2023-12-29T15:35:10Z</cp:lastPrinted>
  <dcterms:created xsi:type="dcterms:W3CDTF">2023-08-13T11:33:07Z</dcterms:created>
  <dcterms:modified xsi:type="dcterms:W3CDTF">2023-12-29T16:04:34Z</dcterms:modified>
</cp:coreProperties>
</file>