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Urban Energy Systems/UES_least_cost_model/data/"/>
    </mc:Choice>
  </mc:AlternateContent>
  <xr:revisionPtr revIDLastSave="329" documentId="8_{69EB7185-E36D-47CD-9E17-ABEC72D6CF64}" xr6:coauthVersionLast="47" xr6:coauthVersionMax="47" xr10:uidLastSave="{69820D8B-2AC0-4E5E-97CE-7ADCCF14556D}"/>
  <bookViews>
    <workbookView xWindow="-110" yWindow="-110" windowWidth="19420" windowHeight="10300" activeTab="3" xr2:uid="{53E6CC63-EA14-4F66-BDA0-C2FD8F29318D}"/>
  </bookViews>
  <sheets>
    <sheet name="timedata_monthly" sheetId="1" r:id="rId1"/>
    <sheet name="timedata_monthly_night" sheetId="4" r:id="rId2"/>
    <sheet name="data_prep" sheetId="2" r:id="rId3"/>
    <sheet name="pv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4" l="1"/>
  <c r="E19" i="4" s="1"/>
  <c r="E16" i="4"/>
  <c r="E17" i="4" s="1"/>
  <c r="E15" i="4"/>
  <c r="E14" i="4"/>
  <c r="E24" i="4"/>
  <c r="E25" i="4" s="1"/>
  <c r="E22" i="4"/>
  <c r="E23" i="4" s="1"/>
  <c r="E21" i="4"/>
  <c r="E20" i="4"/>
  <c r="E12" i="4"/>
  <c r="E13" i="4" s="1"/>
  <c r="E10" i="4"/>
  <c r="E11" i="4" s="1"/>
  <c r="E9" i="4"/>
  <c r="E8" i="4"/>
  <c r="E6" i="4"/>
  <c r="E7" i="4" s="1"/>
  <c r="E4" i="4"/>
  <c r="E5" i="4" s="1"/>
  <c r="E3" i="4"/>
  <c r="E2" i="4"/>
  <c r="C24" i="4"/>
  <c r="C25" i="4" s="1"/>
  <c r="C22" i="4"/>
  <c r="C23" i="4" s="1"/>
  <c r="C21" i="4"/>
  <c r="C20" i="4"/>
  <c r="C12" i="4"/>
  <c r="C13" i="4" s="1"/>
  <c r="C10" i="4"/>
  <c r="C11" i="4" s="1"/>
  <c r="C9" i="4"/>
  <c r="C7" i="4"/>
  <c r="C8" i="4"/>
  <c r="C2" i="4"/>
  <c r="C18" i="4"/>
  <c r="C19" i="4" s="1"/>
  <c r="C16" i="4"/>
  <c r="C17" i="4" s="1"/>
  <c r="C14" i="4"/>
  <c r="C15" i="4" s="1"/>
  <c r="G15" i="4" s="1"/>
  <c r="C6" i="4"/>
  <c r="C4" i="4"/>
  <c r="C5" i="4" s="1"/>
  <c r="C3" i="4"/>
  <c r="G3" i="4"/>
  <c r="H3" i="4"/>
  <c r="G4" i="4"/>
  <c r="H4" i="4"/>
  <c r="H5" i="4"/>
  <c r="G6" i="4"/>
  <c r="H6" i="4"/>
  <c r="H7" i="4"/>
  <c r="G8" i="4"/>
  <c r="H8" i="4"/>
  <c r="G9" i="4"/>
  <c r="H9" i="4"/>
  <c r="H10" i="4"/>
  <c r="H11" i="4"/>
  <c r="G12" i="4"/>
  <c r="H12" i="4"/>
  <c r="H13" i="4"/>
  <c r="G14" i="4"/>
  <c r="H14" i="4"/>
  <c r="H15" i="4"/>
  <c r="G16" i="4"/>
  <c r="H16" i="4"/>
  <c r="H17" i="4"/>
  <c r="G18" i="4"/>
  <c r="H18" i="4"/>
  <c r="H19" i="4"/>
  <c r="G20" i="4"/>
  <c r="H20" i="4"/>
  <c r="G21" i="4"/>
  <c r="H21" i="4"/>
  <c r="G22" i="4"/>
  <c r="H22" i="4"/>
  <c r="H23" i="4"/>
  <c r="G24" i="4"/>
  <c r="H24" i="4"/>
  <c r="H25" i="4"/>
  <c r="H2" i="4"/>
  <c r="G2" i="4"/>
  <c r="F20" i="4"/>
  <c r="F25" i="4" s="1"/>
  <c r="F14" i="4"/>
  <c r="F19" i="4" s="1"/>
  <c r="F8" i="4"/>
  <c r="F13" i="4" s="1"/>
  <c r="F2" i="4"/>
  <c r="F6" i="4" s="1"/>
  <c r="D22" i="4"/>
  <c r="D23" i="4"/>
  <c r="D24" i="4"/>
  <c r="D25" i="4"/>
  <c r="D21" i="4"/>
  <c r="D16" i="4"/>
  <c r="D17" i="4"/>
  <c r="D18" i="4"/>
  <c r="D19" i="4"/>
  <c r="D15" i="4"/>
  <c r="D10" i="4"/>
  <c r="D11" i="4"/>
  <c r="D12" i="4"/>
  <c r="D13" i="4"/>
  <c r="D9" i="4"/>
  <c r="D4" i="4"/>
  <c r="D5" i="4"/>
  <c r="D6" i="4"/>
  <c r="D7" i="4"/>
  <c r="D3" i="4"/>
  <c r="D20" i="4"/>
  <c r="D14" i="4"/>
  <c r="D8" i="4"/>
  <c r="D2" i="4"/>
  <c r="D7" i="3"/>
  <c r="B3" i="1" s="1"/>
  <c r="D8" i="3"/>
  <c r="B4" i="1" s="1"/>
  <c r="D9" i="3"/>
  <c r="B5" i="1" s="1"/>
  <c r="D10" i="3"/>
  <c r="B6" i="1" s="1"/>
  <c r="D11" i="3"/>
  <c r="B7" i="1" s="1"/>
  <c r="D12" i="3"/>
  <c r="B8" i="1" s="1"/>
  <c r="D13" i="3"/>
  <c r="B9" i="1" s="1"/>
  <c r="D14" i="3"/>
  <c r="B10" i="1" s="1"/>
  <c r="D15" i="3"/>
  <c r="B11" i="1" s="1"/>
  <c r="D16" i="3"/>
  <c r="B12" i="1" s="1"/>
  <c r="D17" i="3"/>
  <c r="B13" i="1" s="1"/>
  <c r="D6" i="3"/>
  <c r="B2" i="1" s="1"/>
  <c r="E26" i="3"/>
  <c r="B26" i="3"/>
  <c r="F12" i="1"/>
  <c r="F13" i="1"/>
  <c r="F11" i="1"/>
  <c r="F9" i="1"/>
  <c r="F10" i="1"/>
  <c r="F8" i="1"/>
  <c r="F6" i="1"/>
  <c r="F7" i="1"/>
  <c r="F5" i="1"/>
  <c r="F3" i="1"/>
  <c r="F4" i="1"/>
  <c r="F2" i="1"/>
  <c r="E12" i="1"/>
  <c r="E13" i="1"/>
  <c r="E11" i="1"/>
  <c r="E9" i="1"/>
  <c r="E10" i="1"/>
  <c r="E8" i="1"/>
  <c r="E6" i="1"/>
  <c r="E7" i="1"/>
  <c r="E5" i="1"/>
  <c r="E3" i="1"/>
  <c r="E4" i="1"/>
  <c r="E2" i="1"/>
  <c r="D12" i="1"/>
  <c r="D13" i="1"/>
  <c r="D11" i="1"/>
  <c r="D9" i="1"/>
  <c r="D10" i="1"/>
  <c r="D8" i="1"/>
  <c r="D6" i="1"/>
  <c r="D7" i="1"/>
  <c r="D5" i="1"/>
  <c r="D3" i="1"/>
  <c r="D4" i="1"/>
  <c r="D2" i="1"/>
  <c r="C12" i="1"/>
  <c r="C13" i="1"/>
  <c r="C11" i="1"/>
  <c r="C9" i="1"/>
  <c r="C10" i="1"/>
  <c r="C8" i="1"/>
  <c r="C6" i="1"/>
  <c r="C7" i="1"/>
  <c r="C5" i="1"/>
  <c r="C2" i="1"/>
  <c r="C3" i="1"/>
  <c r="C4" i="1"/>
  <c r="C3" i="2"/>
  <c r="G19" i="4" l="1"/>
  <c r="G17" i="4"/>
  <c r="G25" i="4"/>
  <c r="G23" i="4"/>
  <c r="G13" i="4"/>
  <c r="G11" i="4"/>
  <c r="G7" i="4"/>
  <c r="G5" i="4"/>
  <c r="G10" i="4"/>
  <c r="F15" i="4"/>
  <c r="F4" i="4"/>
  <c r="F5" i="4"/>
  <c r="F18" i="4"/>
  <c r="F7" i="4"/>
  <c r="F9" i="4"/>
  <c r="F10" i="4"/>
  <c r="F23" i="4"/>
  <c r="F12" i="4"/>
  <c r="F24" i="4"/>
  <c r="F3" i="4"/>
  <c r="F16" i="4"/>
  <c r="F17" i="4"/>
  <c r="F21" i="4"/>
  <c r="F22" i="4"/>
  <c r="F11" i="4"/>
  <c r="G13" i="2"/>
  <c r="G10" i="2"/>
  <c r="G11" i="2"/>
  <c r="G12" i="2"/>
  <c r="G9" i="2"/>
  <c r="G4" i="2"/>
  <c r="G5" i="2"/>
  <c r="G6" i="2"/>
  <c r="G7" i="2"/>
  <c r="G3" i="2"/>
</calcChain>
</file>

<file path=xl/sharedStrings.xml><?xml version="1.0" encoding="utf-8"?>
<sst xmlns="http://schemas.openxmlformats.org/spreadsheetml/2006/main" count="149" uniqueCount="73">
  <si>
    <t>hour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</si>
  <si>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</si>
  <si>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</si>
  <si>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</si>
  <si>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</si>
  <si>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</si>
  <si>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</si>
  <si>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</si>
  <si>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</si>
  <si>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</si>
  <si>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</si>
  <si>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</si>
  <si>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</si>
  <si>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pv</t>
  </si>
  <si>
    <t>Households</t>
  </si>
  <si>
    <t>Electricity</t>
  </si>
  <si>
    <t>Spring</t>
  </si>
  <si>
    <t>Summer</t>
  </si>
  <si>
    <t>Autumn</t>
  </si>
  <si>
    <t>Winter</t>
  </si>
  <si>
    <t>Total</t>
  </si>
  <si>
    <t>Heat</t>
  </si>
  <si>
    <t>Schools</t>
  </si>
  <si>
    <t>Shopping Centre</t>
  </si>
  <si>
    <t>Hospital</t>
  </si>
  <si>
    <t>Institutional</t>
  </si>
  <si>
    <t>demand_elec_res</t>
  </si>
  <si>
    <t>demand_elec_inst</t>
  </si>
  <si>
    <t>demand_heat_res</t>
  </si>
  <si>
    <t>demand_heat_inst</t>
  </si>
  <si>
    <t>HOUSHOLDS</t>
  </si>
  <si>
    <t>Source</t>
  </si>
  <si>
    <t>Clark And Son Annual Comparison (sunnyportal.com)</t>
  </si>
  <si>
    <t>Capacity</t>
  </si>
  <si>
    <t>48kWp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</si>
  <si>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</si>
  <si>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</si>
  <si>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</si>
  <si>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</si>
  <si>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</si>
  <si>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</si>
  <si>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</si>
  <si>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</si>
  <si>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</si>
  <si>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</si>
  <si>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</si>
  <si>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</si>
  <si>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</si>
  <si>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 xml:space="preserve">With 20 </t>
  </si>
  <si>
    <t># cells</t>
  </si>
  <si>
    <t>With 30</t>
  </si>
  <si>
    <t>with 40</t>
  </si>
  <si>
    <t>Sum</t>
  </si>
  <si>
    <t xml:space="preserve">ASSUMPTION --&gt; </t>
  </si>
  <si>
    <t>Each cell with households has a pv system of 48 kWp</t>
  </si>
  <si>
    <t>School</t>
  </si>
  <si>
    <t>All cells with potential for PV</t>
  </si>
  <si>
    <t>Total yield expectations (48kWp)</t>
  </si>
  <si>
    <t>Total yield with 101 systems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</si>
  <si>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</si>
  <si>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</si>
  <si>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</si>
  <si>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</si>
  <si>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</si>
  <si>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</si>
  <si>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</si>
  <si>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</si>
  <si>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</si>
  <si>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</si>
  <si>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</si>
  <si>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</si>
  <si>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demand_elec</t>
  </si>
  <si>
    <t>demand_heat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</si>
</sst>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nnyportal.com/Templates/PublicPageOverview.aspx?page=0b4a43ff-4aa8-429c-a3d7-279a6a32378c&amp;plant=b0d56d16-ad65-4538-ae1e-11751241bc89&amp;splang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B6D0-9743-4E0A-9AE1-A5730463129F}">
  <dimension ref="A1:F13"/>
  <sheetViews>
    <sheetView workbookViewId="0">
      <selection activeCell="C18" sqref="C18"/>
    </sheetView>
  </sheetViews>
  <sheetFormatPr defaultRowHeight="14.5" x14ac:dyDescent="0.35"/>
  <cols>
    <col min="1" max="1" width="6" customWidth="1"/>
    <col min="2" max="2" width="9.90625" customWidth="1"/>
    <col min="3" max="3" width="15.6328125" bestFit="1" customWidth="1"/>
    <col min="4" max="5" width="16.08984375" bestFit="1" customWidth="1"/>
    <col min="6" max="6" width="16.54296875" bestFit="1" customWidth="1"/>
  </cols>
  <sheetData>
    <row r="1" spans="1:6" x14ac:dyDescent="0.35">
      <c r="A1" t="s">
        <v>0</v>
      </c>
      <c r="B1" t="s">
        <v>13</v>
      </c>
      <c r="C1" t="s">
        <v>26</v>
      </c>
      <c r="D1" t="s">
        <v>28</v>
      </c>
      <c r="E1" t="s">
        <v>27</v>
      </c>
      <c r="F1" t="s">
        <v>29</v>
      </c>
    </row>
    <row r="2" spans="1:6" x14ac:dyDescent="0.35">
      <c r="A2" t="s">
        <v>1</v>
      </c>
      <c r="B2" s="1">
        <f>pv!D6</f>
        <v>9.2376E-2</v>
      </c>
      <c r="C2" s="1">
        <f>data_prep!$C$3*data_prep!$I$4</f>
        <v>1600000</v>
      </c>
      <c r="D2" s="1">
        <f>data_prep!$C$9*data_prep!$I$4</f>
        <v>6222222.222222222</v>
      </c>
      <c r="E2" s="1">
        <f>data_prep!$G$3</f>
        <v>4536750</v>
      </c>
      <c r="F2" s="1">
        <f>data_prep!$G$9</f>
        <v>2257277.777777778</v>
      </c>
    </row>
    <row r="3" spans="1:6" x14ac:dyDescent="0.35">
      <c r="A3" t="s">
        <v>2</v>
      </c>
      <c r="B3" s="1">
        <f>pv!D7</f>
        <v>0.200906</v>
      </c>
      <c r="C3" s="1">
        <f>data_prep!$C$3*data_prep!$I$4</f>
        <v>1600000</v>
      </c>
      <c r="D3" s="1">
        <f>data_prep!$C$9*data_prep!$I$4</f>
        <v>6222222.222222222</v>
      </c>
      <c r="E3" s="1">
        <f>data_prep!$G$3</f>
        <v>4536750</v>
      </c>
      <c r="F3" s="1">
        <f>data_prep!$G$9</f>
        <v>2257277.777777778</v>
      </c>
    </row>
    <row r="4" spans="1:6" x14ac:dyDescent="0.35">
      <c r="A4" t="s">
        <v>3</v>
      </c>
      <c r="B4" s="1">
        <f>pv!D8</f>
        <v>0.37778699999999998</v>
      </c>
      <c r="C4" s="1">
        <f>data_prep!$C$3*data_prep!$I$4</f>
        <v>1600000</v>
      </c>
      <c r="D4" s="1">
        <f>data_prep!$C$9*data_prep!$I$4</f>
        <v>6222222.222222222</v>
      </c>
      <c r="E4" s="1">
        <f>data_prep!$G$3</f>
        <v>4536750</v>
      </c>
      <c r="F4" s="1">
        <f>data_prep!$G$9</f>
        <v>2257277.777777778</v>
      </c>
    </row>
    <row r="5" spans="1:6" x14ac:dyDescent="0.35">
      <c r="A5" t="s">
        <v>4</v>
      </c>
      <c r="B5" s="1">
        <f>pv!D9</f>
        <v>0.47803300000000004</v>
      </c>
      <c r="C5" s="1">
        <f>data_prep!$C$4*data_prep!$I$4</f>
        <v>1280000</v>
      </c>
      <c r="D5" s="1">
        <f>data_prep!$C$10*data_prep!$I$4</f>
        <v>3111111.111111111</v>
      </c>
      <c r="E5" s="1">
        <f>data_prep!$G$4</f>
        <v>5875725</v>
      </c>
      <c r="F5" s="1">
        <f>data_prep!$G$10</f>
        <v>844034.72222222213</v>
      </c>
    </row>
    <row r="6" spans="1:6" x14ac:dyDescent="0.35">
      <c r="A6" t="s">
        <v>5</v>
      </c>
      <c r="B6" s="1">
        <f>pv!D10</f>
        <v>0.54513999999999996</v>
      </c>
      <c r="C6" s="1">
        <f>data_prep!$C$4*data_prep!$I$4</f>
        <v>1280000</v>
      </c>
      <c r="D6" s="1">
        <f>data_prep!$C$10*data_prep!$I$4</f>
        <v>3111111.111111111</v>
      </c>
      <c r="E6" s="1">
        <f>data_prep!$G$4</f>
        <v>5875725</v>
      </c>
      <c r="F6" s="1">
        <f>data_prep!$G$10</f>
        <v>844034.72222222213</v>
      </c>
    </row>
    <row r="7" spans="1:6" x14ac:dyDescent="0.35">
      <c r="A7" t="s">
        <v>6</v>
      </c>
      <c r="B7" s="1">
        <f>pv!D11</f>
        <v>0.53934000000000004</v>
      </c>
      <c r="C7" s="1">
        <f>data_prep!$C$4*data_prep!$I$4</f>
        <v>1280000</v>
      </c>
      <c r="D7" s="1">
        <f>data_prep!$C$10*data_prep!$I$4</f>
        <v>3111111.111111111</v>
      </c>
      <c r="E7" s="1">
        <f>data_prep!$G$4</f>
        <v>5875725</v>
      </c>
      <c r="F7" s="1">
        <f>data_prep!$G$10</f>
        <v>844034.72222222213</v>
      </c>
    </row>
    <row r="8" spans="1:6" x14ac:dyDescent="0.35">
      <c r="A8" t="s">
        <v>7</v>
      </c>
      <c r="B8" s="1">
        <f>pv!D12</f>
        <v>0.548454</v>
      </c>
      <c r="C8" s="1">
        <f>data_prep!$C$5*data_prep!$I$4</f>
        <v>1600000</v>
      </c>
      <c r="D8" s="1">
        <f>data_prep!$C$11*data_prep!$I$4</f>
        <v>6222222.222222222</v>
      </c>
      <c r="E8" s="1">
        <f>data_prep!$G$5</f>
        <v>4540425</v>
      </c>
      <c r="F8" s="1">
        <f>data_prep!$G$11</f>
        <v>2257277.777777778</v>
      </c>
    </row>
    <row r="9" spans="1:6" x14ac:dyDescent="0.35">
      <c r="A9" t="s">
        <v>8</v>
      </c>
      <c r="B9" s="1">
        <f>pv!D13</f>
        <v>0.51241499999999995</v>
      </c>
      <c r="C9" s="1">
        <f>data_prep!$C$5*data_prep!$I$4</f>
        <v>1600000</v>
      </c>
      <c r="D9" s="1">
        <f>data_prep!$C$11*data_prep!$I$4</f>
        <v>6222222.222222222</v>
      </c>
      <c r="E9" s="1">
        <f>data_prep!$G$5</f>
        <v>4540425</v>
      </c>
      <c r="F9" s="1">
        <f>data_prep!$G$11</f>
        <v>2257277.777777778</v>
      </c>
    </row>
    <row r="10" spans="1:6" x14ac:dyDescent="0.35">
      <c r="A10" t="s">
        <v>9</v>
      </c>
      <c r="B10" s="1">
        <f>pv!D14</f>
        <v>0.408441</v>
      </c>
      <c r="C10" s="1">
        <f>data_prep!$C$5*data_prep!$I$4</f>
        <v>1600000</v>
      </c>
      <c r="D10" s="1">
        <f>data_prep!$C$11*data_prep!$I$4</f>
        <v>6222222.222222222</v>
      </c>
      <c r="E10" s="1">
        <f>data_prep!$G$5</f>
        <v>4540425</v>
      </c>
      <c r="F10" s="1">
        <f>data_prep!$G$11</f>
        <v>2257277.777777778</v>
      </c>
    </row>
    <row r="11" spans="1:6" x14ac:dyDescent="0.35">
      <c r="A11" t="s">
        <v>10</v>
      </c>
      <c r="B11" s="1">
        <f>pv!D15</f>
        <v>0.27878400000000003</v>
      </c>
      <c r="C11" s="1">
        <f>data_prep!$C$6*data_prep!$I$4</f>
        <v>1920000</v>
      </c>
      <c r="D11" s="1">
        <f>data_prep!$C$12*data_prep!$I$4</f>
        <v>9333333.333333334</v>
      </c>
      <c r="E11" s="1">
        <f>data_prep!$G$6</f>
        <v>3190425</v>
      </c>
      <c r="F11" s="1">
        <f>data_prep!$G$12</f>
        <v>3601965.277777778</v>
      </c>
    </row>
    <row r="12" spans="1:6" x14ac:dyDescent="0.35">
      <c r="A12" t="s">
        <v>11</v>
      </c>
      <c r="B12" s="1">
        <f>pv!D16</f>
        <v>0.123858</v>
      </c>
      <c r="C12" s="1">
        <f>data_prep!$C$6*data_prep!$I$4</f>
        <v>1920000</v>
      </c>
      <c r="D12" s="1">
        <f>data_prep!$C$12*data_prep!$I$4</f>
        <v>9333333.333333334</v>
      </c>
      <c r="E12" s="1">
        <f>data_prep!$G$6</f>
        <v>3190425</v>
      </c>
      <c r="F12" s="1">
        <f>data_prep!$G$12</f>
        <v>3601965.277777778</v>
      </c>
    </row>
    <row r="13" spans="1:6" x14ac:dyDescent="0.35">
      <c r="A13" t="s">
        <v>12</v>
      </c>
      <c r="B13" s="1">
        <f>pv!D17</f>
        <v>3.6867000000000004E-2</v>
      </c>
      <c r="C13" s="1">
        <f>data_prep!$C$6*data_prep!$I$4</f>
        <v>1920000</v>
      </c>
      <c r="D13" s="1">
        <f>data_prep!$C$12*data_prep!$I$4</f>
        <v>9333333.333333334</v>
      </c>
      <c r="E13" s="1">
        <f>data_prep!$G$6</f>
        <v>3190425</v>
      </c>
      <c r="F13" s="1">
        <f>data_prep!$G$12</f>
        <v>3601965.277777778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DA1C-CA6B-40AD-A980-CCD6B8395AA5}">
  <dimension ref="A1:H25"/>
  <sheetViews>
    <sheetView workbookViewId="0">
      <selection activeCell="K15" sqref="K15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5.6328125" bestFit="1" customWidth="1"/>
    <col min="4" max="5" width="16.08984375" bestFit="1" customWidth="1"/>
    <col min="6" max="6" width="16.54296875" bestFit="1" customWidth="1"/>
    <col min="7" max="7" width="12" bestFit="1" customWidth="1"/>
    <col min="8" max="8" width="12.453125" bestFit="1" customWidth="1"/>
  </cols>
  <sheetData>
    <row r="1" spans="1:8" x14ac:dyDescent="0.35">
      <c r="A1" t="s">
        <v>0</v>
      </c>
      <c r="B1" t="s">
        <v>13</v>
      </c>
      <c r="C1" t="s">
        <v>26</v>
      </c>
      <c r="D1" t="s">
        <v>28</v>
      </c>
      <c r="E1" t="s">
        <v>27</v>
      </c>
      <c r="F1" t="s">
        <v>29</v>
      </c>
      <c r="G1" t="s">
        <v>71</v>
      </c>
      <c r="H1" t="s">
        <v>72</v>
      </c>
    </row>
    <row r="2" spans="1:8" x14ac:dyDescent="0.35">
      <c r="A2" t="s">
        <v>1</v>
      </c>
      <c r="B2" s="1">
        <v>93299.76</v>
      </c>
      <c r="C2" s="1">
        <f>1600000*0.6</f>
        <v>960000</v>
      </c>
      <c r="D2" s="1">
        <f>timedata_monthly!D2/2</f>
        <v>3111111.111111111</v>
      </c>
      <c r="E2" s="1">
        <f>4536750*0.6</f>
        <v>2722050</v>
      </c>
      <c r="F2" s="1">
        <f>timedata_monthly!F2/2</f>
        <v>1128638.888888889</v>
      </c>
      <c r="G2" s="1">
        <f>SUM(C2,E2)</f>
        <v>3682050</v>
      </c>
      <c r="H2" s="1">
        <f>SUM(D2,F2)</f>
        <v>4239750</v>
      </c>
    </row>
    <row r="3" spans="1:8" x14ac:dyDescent="0.35">
      <c r="A3" t="s">
        <v>2</v>
      </c>
      <c r="B3" s="1">
        <v>0</v>
      </c>
      <c r="C3" s="1">
        <f>C2*0.4/0.6</f>
        <v>640000</v>
      </c>
      <c r="D3" s="1">
        <f>D$2</f>
        <v>3111111.111111111</v>
      </c>
      <c r="E3" s="1">
        <f>E2*0.4/0.6</f>
        <v>1814700</v>
      </c>
      <c r="F3" s="1">
        <f>F$2</f>
        <v>1128638.888888889</v>
      </c>
      <c r="G3" s="1">
        <f t="shared" ref="G3:G25" si="0">SUM(C3,E3)</f>
        <v>2454700</v>
      </c>
      <c r="H3" s="1">
        <f t="shared" ref="H3:H25" si="1">SUM(D3,F3)</f>
        <v>4239750</v>
      </c>
    </row>
    <row r="4" spans="1:8" x14ac:dyDescent="0.35">
      <c r="A4" t="s">
        <v>3</v>
      </c>
      <c r="B4" s="1">
        <v>202915.06</v>
      </c>
      <c r="C4" s="1">
        <f>1600000*0.6</f>
        <v>960000</v>
      </c>
      <c r="D4" s="1">
        <f t="shared" ref="D4:F7" si="2">D$2</f>
        <v>3111111.111111111</v>
      </c>
      <c r="E4" s="1">
        <f>4536750*0.6</f>
        <v>2722050</v>
      </c>
      <c r="F4" s="1">
        <f t="shared" si="2"/>
        <v>1128638.888888889</v>
      </c>
      <c r="G4" s="1">
        <f t="shared" si="0"/>
        <v>3682050</v>
      </c>
      <c r="H4" s="1">
        <f t="shared" si="1"/>
        <v>4239750</v>
      </c>
    </row>
    <row r="5" spans="1:8" x14ac:dyDescent="0.35">
      <c r="A5" t="s">
        <v>4</v>
      </c>
      <c r="B5" s="1">
        <v>0</v>
      </c>
      <c r="C5" s="1">
        <f>C4*0.4/0.6</f>
        <v>640000</v>
      </c>
      <c r="D5" s="1">
        <f t="shared" si="2"/>
        <v>3111111.111111111</v>
      </c>
      <c r="E5" s="1">
        <f>E4*0.4/0.6</f>
        <v>1814700</v>
      </c>
      <c r="F5" s="1">
        <f t="shared" si="2"/>
        <v>1128638.888888889</v>
      </c>
      <c r="G5" s="1">
        <f t="shared" si="0"/>
        <v>2454700</v>
      </c>
      <c r="H5" s="1">
        <f t="shared" si="1"/>
        <v>4239750</v>
      </c>
    </row>
    <row r="6" spans="1:8" x14ac:dyDescent="0.35">
      <c r="A6" t="s">
        <v>5</v>
      </c>
      <c r="B6" s="1">
        <v>381564.87</v>
      </c>
      <c r="C6" s="1">
        <f>1600000*0.6</f>
        <v>960000</v>
      </c>
      <c r="D6" s="1">
        <f t="shared" si="2"/>
        <v>3111111.111111111</v>
      </c>
      <c r="E6" s="1">
        <f>4536750*0.6</f>
        <v>2722050</v>
      </c>
      <c r="F6" s="1">
        <f t="shared" si="2"/>
        <v>1128638.888888889</v>
      </c>
      <c r="G6" s="1">
        <f t="shared" si="0"/>
        <v>3682050</v>
      </c>
      <c r="H6" s="1">
        <f t="shared" si="1"/>
        <v>4239750</v>
      </c>
    </row>
    <row r="7" spans="1:8" x14ac:dyDescent="0.35">
      <c r="A7" t="s">
        <v>6</v>
      </c>
      <c r="B7" s="1">
        <v>0</v>
      </c>
      <c r="C7" s="1">
        <f>C6*0.4/0.6</f>
        <v>640000</v>
      </c>
      <c r="D7" s="1">
        <f t="shared" si="2"/>
        <v>3111111.111111111</v>
      </c>
      <c r="E7" s="1">
        <f>E6*0.4/0.6</f>
        <v>1814700</v>
      </c>
      <c r="F7" s="1">
        <f t="shared" si="2"/>
        <v>1128638.888888889</v>
      </c>
      <c r="G7" s="1">
        <f t="shared" si="0"/>
        <v>2454700</v>
      </c>
      <c r="H7" s="1">
        <f t="shared" si="1"/>
        <v>4239750</v>
      </c>
    </row>
    <row r="8" spans="1:8" x14ac:dyDescent="0.35">
      <c r="A8" t="s">
        <v>7</v>
      </c>
      <c r="B8" s="1">
        <v>482813.33</v>
      </c>
      <c r="C8" s="1">
        <f>1280000*0.6</f>
        <v>768000</v>
      </c>
      <c r="D8" s="1">
        <f>timedata_monthly!D5/2</f>
        <v>1555555.5555555555</v>
      </c>
      <c r="E8" s="1">
        <f>5875725*0.6</f>
        <v>3525435</v>
      </c>
      <c r="F8" s="1">
        <f>timedata_monthly!F5/2</f>
        <v>422017.36111111107</v>
      </c>
      <c r="G8" s="1">
        <f t="shared" si="0"/>
        <v>4293435</v>
      </c>
      <c r="H8" s="1">
        <f t="shared" si="1"/>
        <v>1977572.9166666665</v>
      </c>
    </row>
    <row r="9" spans="1:8" x14ac:dyDescent="0.35">
      <c r="A9" t="s">
        <v>8</v>
      </c>
      <c r="B9" s="1">
        <v>0</v>
      </c>
      <c r="C9" s="1">
        <f>C8*0.4/0.6</f>
        <v>512000</v>
      </c>
      <c r="D9" s="1">
        <f>D$8</f>
        <v>1555555.5555555555</v>
      </c>
      <c r="E9" s="1">
        <f>E8*0.4/0.6</f>
        <v>2350290</v>
      </c>
      <c r="F9" s="1">
        <f>F$8</f>
        <v>422017.36111111107</v>
      </c>
      <c r="G9" s="1">
        <f t="shared" si="0"/>
        <v>2862290</v>
      </c>
      <c r="H9" s="1">
        <f t="shared" si="1"/>
        <v>1977572.9166666665</v>
      </c>
    </row>
    <row r="10" spans="1:8" x14ac:dyDescent="0.35">
      <c r="A10" t="s">
        <v>9</v>
      </c>
      <c r="B10" s="1">
        <v>550591.39999999991</v>
      </c>
      <c r="C10" s="1">
        <f>1280000*0.6</f>
        <v>768000</v>
      </c>
      <c r="D10" s="1">
        <f t="shared" ref="D10:F13" si="3">D$8</f>
        <v>1555555.5555555555</v>
      </c>
      <c r="E10" s="1">
        <f>5875725*0.6</f>
        <v>3525435</v>
      </c>
      <c r="F10" s="1">
        <f t="shared" si="3"/>
        <v>422017.36111111107</v>
      </c>
      <c r="G10" s="1">
        <f t="shared" si="0"/>
        <v>4293435</v>
      </c>
      <c r="H10" s="1">
        <f t="shared" si="1"/>
        <v>1977572.9166666665</v>
      </c>
    </row>
    <row r="11" spans="1:8" x14ac:dyDescent="0.35">
      <c r="A11" t="s">
        <v>10</v>
      </c>
      <c r="B11" s="1">
        <v>0</v>
      </c>
      <c r="C11" s="1">
        <f>C10*0.4/0.6</f>
        <v>512000</v>
      </c>
      <c r="D11" s="1">
        <f t="shared" si="3"/>
        <v>1555555.5555555555</v>
      </c>
      <c r="E11" s="1">
        <f>E10*0.4/0.6</f>
        <v>2350290</v>
      </c>
      <c r="F11" s="1">
        <f t="shared" si="3"/>
        <v>422017.36111111107</v>
      </c>
      <c r="G11" s="1">
        <f t="shared" si="0"/>
        <v>2862290</v>
      </c>
      <c r="H11" s="1">
        <f t="shared" si="1"/>
        <v>1977572.9166666665</v>
      </c>
    </row>
    <row r="12" spans="1:8" x14ac:dyDescent="0.35">
      <c r="A12" t="s">
        <v>11</v>
      </c>
      <c r="B12" s="1">
        <v>544733.39999999991</v>
      </c>
      <c r="C12" s="1">
        <f>1280000*0.6</f>
        <v>768000</v>
      </c>
      <c r="D12" s="1">
        <f t="shared" si="3"/>
        <v>1555555.5555555555</v>
      </c>
      <c r="E12" s="1">
        <f>5875725*0.6</f>
        <v>3525435</v>
      </c>
      <c r="F12" s="1">
        <f t="shared" si="3"/>
        <v>422017.36111111107</v>
      </c>
      <c r="G12" s="1">
        <f t="shared" si="0"/>
        <v>4293435</v>
      </c>
      <c r="H12" s="1">
        <f t="shared" si="1"/>
        <v>1977572.9166666665</v>
      </c>
    </row>
    <row r="13" spans="1:8" x14ac:dyDescent="0.35">
      <c r="A13" t="s">
        <v>12</v>
      </c>
      <c r="B13" s="1">
        <v>0</v>
      </c>
      <c r="C13" s="1">
        <f>C12*0.4/0.6</f>
        <v>512000</v>
      </c>
      <c r="D13" s="1">
        <f t="shared" si="3"/>
        <v>1555555.5555555555</v>
      </c>
      <c r="E13" s="1">
        <f>E12*0.4/0.6</f>
        <v>2350290</v>
      </c>
      <c r="F13" s="1">
        <f t="shared" si="3"/>
        <v>422017.36111111107</v>
      </c>
      <c r="G13" s="1">
        <f t="shared" si="0"/>
        <v>2862290</v>
      </c>
      <c r="H13" s="1">
        <f t="shared" si="1"/>
        <v>1977572.9166666665</v>
      </c>
    </row>
    <row r="14" spans="1:8" x14ac:dyDescent="0.35">
      <c r="A14" t="s">
        <v>59</v>
      </c>
      <c r="B14" s="1">
        <v>553938.54</v>
      </c>
      <c r="C14" s="1">
        <f>1600000*0.6</f>
        <v>960000</v>
      </c>
      <c r="D14" s="1">
        <f>timedata_monthly!D8/2</f>
        <v>3111111.111111111</v>
      </c>
      <c r="E14" s="1">
        <f>4540425*0.6</f>
        <v>2724255</v>
      </c>
      <c r="F14" s="1">
        <f>timedata_monthly!F8/2</f>
        <v>1128638.888888889</v>
      </c>
      <c r="G14" s="1">
        <f t="shared" si="0"/>
        <v>3684255</v>
      </c>
      <c r="H14" s="1">
        <f t="shared" si="1"/>
        <v>4239750</v>
      </c>
    </row>
    <row r="15" spans="1:8" x14ac:dyDescent="0.35">
      <c r="A15" t="s">
        <v>60</v>
      </c>
      <c r="B15" s="1">
        <v>0</v>
      </c>
      <c r="C15" s="1">
        <f>C14*0.4/0.6</f>
        <v>640000</v>
      </c>
      <c r="D15" s="1">
        <f>D$14</f>
        <v>3111111.111111111</v>
      </c>
      <c r="E15" s="1">
        <f>E14*0.4/0.6</f>
        <v>1816170</v>
      </c>
      <c r="F15" s="1">
        <f>F$14</f>
        <v>1128638.888888889</v>
      </c>
      <c r="G15" s="1">
        <f t="shared" si="0"/>
        <v>2456170</v>
      </c>
      <c r="H15" s="1">
        <f t="shared" si="1"/>
        <v>4239750</v>
      </c>
    </row>
    <row r="16" spans="1:8" x14ac:dyDescent="0.35">
      <c r="A16" t="s">
        <v>61</v>
      </c>
      <c r="B16" s="1">
        <v>517539.14999999997</v>
      </c>
      <c r="C16" s="1">
        <f>1600000*0.6</f>
        <v>960000</v>
      </c>
      <c r="D16" s="1">
        <f t="shared" ref="D16:F19" si="4">D$14</f>
        <v>3111111.111111111</v>
      </c>
      <c r="E16" s="1">
        <f>4540425*0.6</f>
        <v>2724255</v>
      </c>
      <c r="F16" s="1">
        <f t="shared" si="4"/>
        <v>1128638.888888889</v>
      </c>
      <c r="G16" s="1">
        <f t="shared" si="0"/>
        <v>3684255</v>
      </c>
      <c r="H16" s="1">
        <f t="shared" si="1"/>
        <v>4239750</v>
      </c>
    </row>
    <row r="17" spans="1:8" x14ac:dyDescent="0.35">
      <c r="A17" t="s">
        <v>62</v>
      </c>
      <c r="B17" s="1">
        <v>0</v>
      </c>
      <c r="C17" s="1">
        <f>C16*0.4/0.6</f>
        <v>640000</v>
      </c>
      <c r="D17" s="1">
        <f t="shared" si="4"/>
        <v>3111111.111111111</v>
      </c>
      <c r="E17" s="1">
        <f>E16*0.4/0.6</f>
        <v>1816170</v>
      </c>
      <c r="F17" s="1">
        <f t="shared" si="4"/>
        <v>1128638.888888889</v>
      </c>
      <c r="G17" s="1">
        <f t="shared" si="0"/>
        <v>2456170</v>
      </c>
      <c r="H17" s="1">
        <f t="shared" si="1"/>
        <v>4239750</v>
      </c>
    </row>
    <row r="18" spans="1:8" x14ac:dyDescent="0.35">
      <c r="A18" t="s">
        <v>63</v>
      </c>
      <c r="B18" s="1">
        <v>412525.41</v>
      </c>
      <c r="C18" s="1">
        <f>1600000*0.6</f>
        <v>960000</v>
      </c>
      <c r="D18" s="1">
        <f t="shared" si="4"/>
        <v>3111111.111111111</v>
      </c>
      <c r="E18" s="1">
        <f>4540425*0.6</f>
        <v>2724255</v>
      </c>
      <c r="F18" s="1">
        <f t="shared" si="4"/>
        <v>1128638.888888889</v>
      </c>
      <c r="G18" s="1">
        <f t="shared" si="0"/>
        <v>3684255</v>
      </c>
      <c r="H18" s="1">
        <f t="shared" si="1"/>
        <v>4239750</v>
      </c>
    </row>
    <row r="19" spans="1:8" x14ac:dyDescent="0.35">
      <c r="A19" t="s">
        <v>64</v>
      </c>
      <c r="B19" s="1">
        <v>0</v>
      </c>
      <c r="C19" s="1">
        <f>C18*0.4/0.6</f>
        <v>640000</v>
      </c>
      <c r="D19" s="1">
        <f t="shared" si="4"/>
        <v>3111111.111111111</v>
      </c>
      <c r="E19" s="1">
        <f>E18*0.4/0.6</f>
        <v>1816170</v>
      </c>
      <c r="F19" s="1">
        <f t="shared" si="4"/>
        <v>1128638.888888889</v>
      </c>
      <c r="G19" s="1">
        <f t="shared" si="0"/>
        <v>2456170</v>
      </c>
      <c r="H19" s="1">
        <f t="shared" si="1"/>
        <v>4239750</v>
      </c>
    </row>
    <row r="20" spans="1:8" x14ac:dyDescent="0.35">
      <c r="A20" t="s">
        <v>65</v>
      </c>
      <c r="B20" s="1">
        <v>281571.84000000003</v>
      </c>
      <c r="C20" s="1">
        <f>1920000*0.6</f>
        <v>1152000</v>
      </c>
      <c r="D20" s="1">
        <f>timedata_monthly!D11/2</f>
        <v>4666666.666666667</v>
      </c>
      <c r="E20" s="1">
        <f>3190425*0.6</f>
        <v>1914255</v>
      </c>
      <c r="F20" s="1">
        <f>timedata_monthly!F11/2</f>
        <v>1800982.638888889</v>
      </c>
      <c r="G20" s="1">
        <f t="shared" si="0"/>
        <v>3066255</v>
      </c>
      <c r="H20" s="1">
        <f t="shared" si="1"/>
        <v>6467649.305555556</v>
      </c>
    </row>
    <row r="21" spans="1:8" x14ac:dyDescent="0.35">
      <c r="A21" t="s">
        <v>66</v>
      </c>
      <c r="B21" s="1">
        <v>0</v>
      </c>
      <c r="C21" s="1">
        <f>C20*0.4/0.6</f>
        <v>768000</v>
      </c>
      <c r="D21" s="1">
        <f>D$20</f>
        <v>4666666.666666667</v>
      </c>
      <c r="E21" s="1">
        <f>E20*0.4/0.6</f>
        <v>1276170</v>
      </c>
      <c r="F21" s="1">
        <f>F$20</f>
        <v>1800982.638888889</v>
      </c>
      <c r="G21" s="1">
        <f t="shared" si="0"/>
        <v>2044170</v>
      </c>
      <c r="H21" s="1">
        <f t="shared" si="1"/>
        <v>6467649.305555556</v>
      </c>
    </row>
    <row r="22" spans="1:8" x14ac:dyDescent="0.35">
      <c r="A22" t="s">
        <v>67</v>
      </c>
      <c r="B22" s="1">
        <v>125096.57999999999</v>
      </c>
      <c r="C22" s="1">
        <f>1920000*0.6</f>
        <v>1152000</v>
      </c>
      <c r="D22" s="1">
        <f t="shared" ref="D22:F25" si="5">D$20</f>
        <v>4666666.666666667</v>
      </c>
      <c r="E22" s="1">
        <f>3190425*0.6</f>
        <v>1914255</v>
      </c>
      <c r="F22" s="1">
        <f t="shared" si="5"/>
        <v>1800982.638888889</v>
      </c>
      <c r="G22" s="1">
        <f t="shared" si="0"/>
        <v>3066255</v>
      </c>
      <c r="H22" s="1">
        <f t="shared" si="1"/>
        <v>6467649.305555556</v>
      </c>
    </row>
    <row r="23" spans="1:8" x14ac:dyDescent="0.35">
      <c r="A23" t="s">
        <v>68</v>
      </c>
      <c r="B23" s="1">
        <v>0</v>
      </c>
      <c r="C23" s="1">
        <f>C22*0.4/0.6</f>
        <v>768000</v>
      </c>
      <c r="D23" s="1">
        <f t="shared" si="5"/>
        <v>4666666.666666667</v>
      </c>
      <c r="E23" s="1">
        <f>E22*0.4/0.6</f>
        <v>1276170</v>
      </c>
      <c r="F23" s="1">
        <f t="shared" si="5"/>
        <v>1800982.638888889</v>
      </c>
      <c r="G23" s="1">
        <f t="shared" si="0"/>
        <v>2044170</v>
      </c>
      <c r="H23" s="1">
        <f t="shared" si="1"/>
        <v>6467649.305555556</v>
      </c>
    </row>
    <row r="24" spans="1:8" x14ac:dyDescent="0.35">
      <c r="A24" t="s">
        <v>69</v>
      </c>
      <c r="B24" s="1">
        <v>37235.67</v>
      </c>
      <c r="C24" s="1">
        <f>1920000*0.6</f>
        <v>1152000</v>
      </c>
      <c r="D24" s="1">
        <f t="shared" si="5"/>
        <v>4666666.666666667</v>
      </c>
      <c r="E24" s="1">
        <f>3190425*0.6</f>
        <v>1914255</v>
      </c>
      <c r="F24" s="1">
        <f t="shared" si="5"/>
        <v>1800982.638888889</v>
      </c>
      <c r="G24" s="1">
        <f t="shared" si="0"/>
        <v>3066255</v>
      </c>
      <c r="H24" s="1">
        <f t="shared" si="1"/>
        <v>6467649.305555556</v>
      </c>
    </row>
    <row r="25" spans="1:8" x14ac:dyDescent="0.35">
      <c r="A25" t="s">
        <v>70</v>
      </c>
      <c r="B25" s="1">
        <v>0</v>
      </c>
      <c r="C25" s="1">
        <f>C24*0.4/0.6</f>
        <v>768000</v>
      </c>
      <c r="D25" s="1">
        <f t="shared" si="5"/>
        <v>4666666.666666667</v>
      </c>
      <c r="E25" s="1">
        <f>E24*0.4/0.6</f>
        <v>1276170</v>
      </c>
      <c r="F25" s="1">
        <f t="shared" si="5"/>
        <v>1800982.638888889</v>
      </c>
      <c r="G25" s="1">
        <f t="shared" si="0"/>
        <v>2044170</v>
      </c>
      <c r="H25" s="1">
        <f t="shared" si="1"/>
        <v>6467649.305555556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CE3E-0324-48A5-BA8B-BB65D18B5427}">
  <dimension ref="A1:I50"/>
  <sheetViews>
    <sheetView workbookViewId="0">
      <selection activeCell="I4" sqref="I4"/>
    </sheetView>
  </sheetViews>
  <sheetFormatPr defaultRowHeight="14.5" x14ac:dyDescent="0.35"/>
  <cols>
    <col min="3" max="3" width="11.36328125" style="1" bestFit="1" customWidth="1"/>
    <col min="7" max="8" width="11.36328125" bestFit="1" customWidth="1"/>
    <col min="9" max="9" width="11.26953125" bestFit="1" customWidth="1"/>
  </cols>
  <sheetData>
    <row r="1" spans="1:9" x14ac:dyDescent="0.35">
      <c r="A1" s="2" t="s">
        <v>14</v>
      </c>
      <c r="E1" s="2" t="s">
        <v>25</v>
      </c>
    </row>
    <row r="3" spans="1:9" x14ac:dyDescent="0.35">
      <c r="A3" t="s">
        <v>15</v>
      </c>
      <c r="B3" t="s">
        <v>16</v>
      </c>
      <c r="C3" s="1">
        <f>800</f>
        <v>800</v>
      </c>
      <c r="E3" t="s">
        <v>15</v>
      </c>
      <c r="F3" t="s">
        <v>16</v>
      </c>
      <c r="G3" s="1">
        <f>SUM(C16,C28,C41)</f>
        <v>4536750</v>
      </c>
      <c r="I3" t="s">
        <v>30</v>
      </c>
    </row>
    <row r="4" spans="1:9" x14ac:dyDescent="0.35">
      <c r="B4" t="s">
        <v>17</v>
      </c>
      <c r="C4" s="1">
        <v>640</v>
      </c>
      <c r="F4" t="s">
        <v>17</v>
      </c>
      <c r="G4" s="1">
        <f t="shared" ref="G4:G7" si="0">SUM(C17,C29,C42)</f>
        <v>5875725</v>
      </c>
      <c r="I4">
        <v>2000</v>
      </c>
    </row>
    <row r="5" spans="1:9" x14ac:dyDescent="0.35">
      <c r="B5" t="s">
        <v>18</v>
      </c>
      <c r="C5" s="1">
        <v>800</v>
      </c>
      <c r="F5" t="s">
        <v>18</v>
      </c>
      <c r="G5" s="1">
        <f t="shared" si="0"/>
        <v>4540425</v>
      </c>
    </row>
    <row r="6" spans="1:9" x14ac:dyDescent="0.35">
      <c r="B6" t="s">
        <v>19</v>
      </c>
      <c r="C6" s="1">
        <v>960</v>
      </c>
      <c r="F6" t="s">
        <v>19</v>
      </c>
      <c r="G6" s="1">
        <f t="shared" si="0"/>
        <v>3190425</v>
      </c>
    </row>
    <row r="7" spans="1:9" x14ac:dyDescent="0.35">
      <c r="B7" t="s">
        <v>20</v>
      </c>
      <c r="C7" s="1">
        <v>3200</v>
      </c>
      <c r="F7" t="s">
        <v>20</v>
      </c>
      <c r="G7" s="1">
        <f t="shared" si="0"/>
        <v>18143325</v>
      </c>
      <c r="H7" s="1"/>
    </row>
    <row r="8" spans="1:9" x14ac:dyDescent="0.35">
      <c r="G8" s="1"/>
    </row>
    <row r="9" spans="1:9" x14ac:dyDescent="0.35">
      <c r="A9" t="s">
        <v>21</v>
      </c>
      <c r="B9" t="s">
        <v>16</v>
      </c>
      <c r="C9" s="1">
        <v>3111.1111111111109</v>
      </c>
      <c r="E9" t="s">
        <v>21</v>
      </c>
      <c r="F9" t="s">
        <v>16</v>
      </c>
      <c r="G9" s="1">
        <f>SUM(C21,C33,C46)</f>
        <v>2257277.777777778</v>
      </c>
    </row>
    <row r="10" spans="1:9" x14ac:dyDescent="0.35">
      <c r="B10" t="s">
        <v>17</v>
      </c>
      <c r="C10" s="1">
        <v>1555.5555555555554</v>
      </c>
      <c r="F10" t="s">
        <v>17</v>
      </c>
      <c r="G10" s="1">
        <f t="shared" ref="G10:G12" si="1">SUM(C22,C34,C47)</f>
        <v>844034.72222222213</v>
      </c>
    </row>
    <row r="11" spans="1:9" x14ac:dyDescent="0.35">
      <c r="B11" t="s">
        <v>18</v>
      </c>
      <c r="C11" s="1">
        <v>3111.1111111111109</v>
      </c>
      <c r="F11" t="s">
        <v>18</v>
      </c>
      <c r="G11" s="1">
        <f t="shared" si="1"/>
        <v>2257277.777777778</v>
      </c>
    </row>
    <row r="12" spans="1:9" x14ac:dyDescent="0.35">
      <c r="B12" t="s">
        <v>19</v>
      </c>
      <c r="C12" s="1">
        <v>4666.666666666667</v>
      </c>
      <c r="F12" t="s">
        <v>19</v>
      </c>
      <c r="G12" s="1">
        <f t="shared" si="1"/>
        <v>3601965.277777778</v>
      </c>
    </row>
    <row r="13" spans="1:9" x14ac:dyDescent="0.35">
      <c r="B13" t="s">
        <v>20</v>
      </c>
      <c r="C13" s="1">
        <v>12444.444444444443</v>
      </c>
      <c r="F13" t="s">
        <v>20</v>
      </c>
      <c r="G13" s="1">
        <f>SUM(C25,C37,C50)</f>
        <v>8960555.555555556</v>
      </c>
      <c r="H13" s="1"/>
    </row>
    <row r="15" spans="1:9" x14ac:dyDescent="0.35">
      <c r="A15" s="2" t="s">
        <v>22</v>
      </c>
    </row>
    <row r="16" spans="1:9" x14ac:dyDescent="0.35">
      <c r="A16" t="s">
        <v>15</v>
      </c>
      <c r="B16" t="s">
        <v>16</v>
      </c>
      <c r="C16" s="1">
        <v>36750</v>
      </c>
    </row>
    <row r="17" spans="1:3" x14ac:dyDescent="0.35">
      <c r="B17" t="s">
        <v>17</v>
      </c>
      <c r="C17" s="1">
        <v>25725</v>
      </c>
    </row>
    <row r="18" spans="1:3" x14ac:dyDescent="0.35">
      <c r="B18" t="s">
        <v>18</v>
      </c>
      <c r="C18" s="1">
        <v>40425</v>
      </c>
    </row>
    <row r="19" spans="1:3" x14ac:dyDescent="0.35">
      <c r="B19" t="s">
        <v>19</v>
      </c>
      <c r="C19" s="1">
        <v>40425</v>
      </c>
    </row>
    <row r="20" spans="1:3" x14ac:dyDescent="0.35">
      <c r="B20" t="s">
        <v>20</v>
      </c>
      <c r="C20" s="1">
        <v>143325</v>
      </c>
    </row>
    <row r="21" spans="1:3" x14ac:dyDescent="0.35">
      <c r="A21" t="s">
        <v>21</v>
      </c>
      <c r="B21" t="s">
        <v>16</v>
      </c>
      <c r="C21" s="1">
        <v>188527.77777777778</v>
      </c>
    </row>
    <row r="22" spans="1:3" x14ac:dyDescent="0.35">
      <c r="B22" t="s">
        <v>17</v>
      </c>
      <c r="C22" s="1">
        <v>119972.22222222222</v>
      </c>
    </row>
    <row r="23" spans="1:3" x14ac:dyDescent="0.35">
      <c r="B23" t="s">
        <v>18</v>
      </c>
      <c r="C23" s="1">
        <v>188527.77777777778</v>
      </c>
    </row>
    <row r="24" spans="1:3" x14ac:dyDescent="0.35">
      <c r="B24" t="s">
        <v>19</v>
      </c>
      <c r="C24" s="1">
        <v>188527.77777777778</v>
      </c>
    </row>
    <row r="25" spans="1:3" x14ac:dyDescent="0.35">
      <c r="B25" t="s">
        <v>20</v>
      </c>
      <c r="C25" s="1">
        <v>685555.5555555555</v>
      </c>
    </row>
    <row r="27" spans="1:3" x14ac:dyDescent="0.35">
      <c r="A27" s="2" t="s">
        <v>23</v>
      </c>
    </row>
    <row r="28" spans="1:3" x14ac:dyDescent="0.35">
      <c r="A28" t="s">
        <v>15</v>
      </c>
      <c r="B28" t="s">
        <v>16</v>
      </c>
      <c r="C28" s="1">
        <v>4331250</v>
      </c>
    </row>
    <row r="29" spans="1:3" x14ac:dyDescent="0.35">
      <c r="B29" t="s">
        <v>17</v>
      </c>
      <c r="C29" s="1">
        <v>5630625</v>
      </c>
    </row>
    <row r="30" spans="1:3" x14ac:dyDescent="0.35">
      <c r="B30" t="s">
        <v>18</v>
      </c>
      <c r="C30" s="1">
        <v>4331250</v>
      </c>
    </row>
    <row r="31" spans="1:3" x14ac:dyDescent="0.35">
      <c r="B31" t="s">
        <v>19</v>
      </c>
      <c r="C31" s="1">
        <v>3031875</v>
      </c>
    </row>
    <row r="32" spans="1:3" x14ac:dyDescent="0.35">
      <c r="B32" t="s">
        <v>20</v>
      </c>
      <c r="C32" s="1">
        <v>17325000</v>
      </c>
    </row>
    <row r="33" spans="1:3" x14ac:dyDescent="0.35">
      <c r="A33" t="s">
        <v>21</v>
      </c>
      <c r="B33" t="s">
        <v>16</v>
      </c>
      <c r="C33" s="1">
        <v>1443750</v>
      </c>
    </row>
    <row r="34" spans="1:3" x14ac:dyDescent="0.35">
      <c r="B34" t="s">
        <v>17</v>
      </c>
      <c r="C34" s="1">
        <v>505312.49999999994</v>
      </c>
    </row>
    <row r="35" spans="1:3" x14ac:dyDescent="0.35">
      <c r="B35" t="s">
        <v>18</v>
      </c>
      <c r="C35" s="1">
        <v>1443750</v>
      </c>
    </row>
    <row r="36" spans="1:3" x14ac:dyDescent="0.35">
      <c r="B36" t="s">
        <v>19</v>
      </c>
      <c r="C36" s="1">
        <v>2382187.5</v>
      </c>
    </row>
    <row r="37" spans="1:3" x14ac:dyDescent="0.35">
      <c r="B37" t="s">
        <v>20</v>
      </c>
      <c r="C37" s="1">
        <v>5775000</v>
      </c>
    </row>
    <row r="39" spans="1:3" x14ac:dyDescent="0.35">
      <c r="A39" s="2" t="s">
        <v>24</v>
      </c>
    </row>
    <row r="41" spans="1:3" x14ac:dyDescent="0.35">
      <c r="A41" t="s">
        <v>15</v>
      </c>
      <c r="B41" t="s">
        <v>16</v>
      </c>
      <c r="C41" s="1">
        <v>168750</v>
      </c>
    </row>
    <row r="42" spans="1:3" x14ac:dyDescent="0.35">
      <c r="B42" t="s">
        <v>17</v>
      </c>
      <c r="C42" s="1">
        <v>219375</v>
      </c>
    </row>
    <row r="43" spans="1:3" x14ac:dyDescent="0.35">
      <c r="B43" t="s">
        <v>18</v>
      </c>
      <c r="C43" s="1">
        <v>168750</v>
      </c>
    </row>
    <row r="44" spans="1:3" x14ac:dyDescent="0.35">
      <c r="B44" t="s">
        <v>19</v>
      </c>
      <c r="C44" s="1">
        <v>118124.99999999999</v>
      </c>
    </row>
    <row r="45" spans="1:3" x14ac:dyDescent="0.35">
      <c r="B45" t="s">
        <v>20</v>
      </c>
      <c r="C45" s="1">
        <v>675000</v>
      </c>
    </row>
    <row r="46" spans="1:3" x14ac:dyDescent="0.35">
      <c r="A46" t="s">
        <v>21</v>
      </c>
      <c r="B46" t="s">
        <v>16</v>
      </c>
      <c r="C46" s="1">
        <v>625000</v>
      </c>
    </row>
    <row r="47" spans="1:3" x14ac:dyDescent="0.35">
      <c r="B47" t="s">
        <v>17</v>
      </c>
      <c r="C47" s="1">
        <v>218750</v>
      </c>
    </row>
    <row r="48" spans="1:3" x14ac:dyDescent="0.35">
      <c r="B48" t="s">
        <v>18</v>
      </c>
      <c r="C48" s="1">
        <v>625000</v>
      </c>
    </row>
    <row r="49" spans="2:3" x14ac:dyDescent="0.35">
      <c r="B49" t="s">
        <v>19</v>
      </c>
      <c r="C49" s="1">
        <v>1031250</v>
      </c>
    </row>
    <row r="50" spans="2:3" x14ac:dyDescent="0.35">
      <c r="B50" t="s">
        <v>20</v>
      </c>
      <c r="C50" s="1">
        <v>2500000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CA62-230F-458A-957C-DAFCD35F1D83}">
  <dimension ref="A1:F26"/>
  <sheetViews>
    <sheetView tabSelected="1" topLeftCell="A3" workbookViewId="0">
      <selection activeCell="D6" sqref="D6:D17"/>
    </sheetView>
  </sheetViews>
  <sheetFormatPr defaultRowHeight="14.5" x14ac:dyDescent="0.35"/>
  <cols>
    <col min="1" max="1" width="15.90625" bestFit="1" customWidth="1"/>
    <col min="2" max="2" width="11.1796875" customWidth="1"/>
    <col min="4" max="4" width="15.26953125" bestFit="1" customWidth="1"/>
  </cols>
  <sheetData>
    <row r="1" spans="1:6" x14ac:dyDescent="0.35">
      <c r="A1" t="s">
        <v>31</v>
      </c>
      <c r="B1" s="3" t="s">
        <v>32</v>
      </c>
    </row>
    <row r="2" spans="1:6" x14ac:dyDescent="0.35">
      <c r="A2" t="s">
        <v>33</v>
      </c>
      <c r="B2" t="s">
        <v>34</v>
      </c>
    </row>
    <row r="3" spans="1:6" x14ac:dyDescent="0.35">
      <c r="B3" s="3"/>
      <c r="D3" t="s">
        <v>53</v>
      </c>
      <c r="E3" t="s">
        <v>54</v>
      </c>
    </row>
    <row r="4" spans="1:6" x14ac:dyDescent="0.35">
      <c r="B4" s="3"/>
    </row>
    <row r="5" spans="1:6" ht="58" x14ac:dyDescent="0.35">
      <c r="A5" t="s">
        <v>47</v>
      </c>
      <c r="B5" s="4" t="s">
        <v>57</v>
      </c>
      <c r="D5" s="4" t="s">
        <v>58</v>
      </c>
      <c r="F5" s="4" t="s">
        <v>56</v>
      </c>
    </row>
    <row r="6" spans="1:6" x14ac:dyDescent="0.35">
      <c r="A6" t="s">
        <v>35</v>
      </c>
      <c r="B6">
        <v>923.76</v>
      </c>
      <c r="D6" s="1">
        <f>$B6*$F$6</f>
        <v>9.2376E-2</v>
      </c>
      <c r="F6" s="2">
        <v>1E-4</v>
      </c>
    </row>
    <row r="7" spans="1:6" x14ac:dyDescent="0.35">
      <c r="A7" t="s">
        <v>36</v>
      </c>
      <c r="B7">
        <v>2009.06</v>
      </c>
      <c r="D7" s="1">
        <f t="shared" ref="D7:D17" si="0">$B7*$F$6</f>
        <v>0.200906</v>
      </c>
    </row>
    <row r="8" spans="1:6" x14ac:dyDescent="0.35">
      <c r="A8" t="s">
        <v>37</v>
      </c>
      <c r="B8">
        <v>3777.87</v>
      </c>
      <c r="D8" s="1">
        <f t="shared" si="0"/>
        <v>0.37778699999999998</v>
      </c>
    </row>
    <row r="9" spans="1:6" x14ac:dyDescent="0.35">
      <c r="A9" t="s">
        <v>38</v>
      </c>
      <c r="B9">
        <v>4780.33</v>
      </c>
      <c r="D9" s="1">
        <f t="shared" si="0"/>
        <v>0.47803300000000004</v>
      </c>
    </row>
    <row r="10" spans="1:6" x14ac:dyDescent="0.35">
      <c r="A10" t="s">
        <v>39</v>
      </c>
      <c r="B10">
        <v>5451.4</v>
      </c>
      <c r="D10" s="1">
        <f t="shared" si="0"/>
        <v>0.54513999999999996</v>
      </c>
    </row>
    <row r="11" spans="1:6" x14ac:dyDescent="0.35">
      <c r="A11" t="s">
        <v>40</v>
      </c>
      <c r="B11">
        <v>5393.4</v>
      </c>
      <c r="D11" s="1">
        <f t="shared" si="0"/>
        <v>0.53934000000000004</v>
      </c>
    </row>
    <row r="12" spans="1:6" x14ac:dyDescent="0.35">
      <c r="A12" t="s">
        <v>41</v>
      </c>
      <c r="B12">
        <v>5484.54</v>
      </c>
      <c r="D12" s="1">
        <f t="shared" si="0"/>
        <v>0.548454</v>
      </c>
    </row>
    <row r="13" spans="1:6" x14ac:dyDescent="0.35">
      <c r="A13" t="s">
        <v>42</v>
      </c>
      <c r="B13">
        <v>5124.1499999999996</v>
      </c>
      <c r="D13" s="1">
        <f t="shared" si="0"/>
        <v>0.51241499999999995</v>
      </c>
    </row>
    <row r="14" spans="1:6" x14ac:dyDescent="0.35">
      <c r="A14" t="s">
        <v>43</v>
      </c>
      <c r="B14">
        <v>4084.41</v>
      </c>
      <c r="D14" s="1">
        <f t="shared" si="0"/>
        <v>0.408441</v>
      </c>
    </row>
    <row r="15" spans="1:6" x14ac:dyDescent="0.35">
      <c r="A15" t="s">
        <v>44</v>
      </c>
      <c r="B15">
        <v>2787.84</v>
      </c>
      <c r="D15" s="1">
        <f t="shared" si="0"/>
        <v>0.27878400000000003</v>
      </c>
    </row>
    <row r="16" spans="1:6" x14ac:dyDescent="0.35">
      <c r="A16" t="s">
        <v>45</v>
      </c>
      <c r="B16">
        <v>1238.58</v>
      </c>
      <c r="D16" s="1">
        <f t="shared" si="0"/>
        <v>0.123858</v>
      </c>
    </row>
    <row r="17" spans="1:5" x14ac:dyDescent="0.35">
      <c r="A17" t="s">
        <v>46</v>
      </c>
      <c r="B17">
        <v>368.67</v>
      </c>
      <c r="D17" s="1">
        <f t="shared" si="0"/>
        <v>3.6867000000000004E-2</v>
      </c>
    </row>
    <row r="21" spans="1:5" x14ac:dyDescent="0.35">
      <c r="A21" s="2" t="s">
        <v>14</v>
      </c>
      <c r="B21" t="s">
        <v>49</v>
      </c>
      <c r="D21" s="2" t="s">
        <v>25</v>
      </c>
      <c r="E21" t="s">
        <v>49</v>
      </c>
    </row>
    <row r="22" spans="1:5" x14ac:dyDescent="0.35">
      <c r="A22" t="s">
        <v>48</v>
      </c>
      <c r="B22">
        <v>47</v>
      </c>
      <c r="D22" t="s">
        <v>24</v>
      </c>
      <c r="E22">
        <v>8</v>
      </c>
    </row>
    <row r="23" spans="1:5" x14ac:dyDescent="0.35">
      <c r="A23" t="s">
        <v>50</v>
      </c>
      <c r="B23">
        <v>30</v>
      </c>
      <c r="D23" t="s">
        <v>23</v>
      </c>
      <c r="E23">
        <v>8</v>
      </c>
    </row>
    <row r="24" spans="1:5" x14ac:dyDescent="0.35">
      <c r="A24" t="s">
        <v>51</v>
      </c>
      <c r="B24">
        <v>4</v>
      </c>
      <c r="D24" t="s">
        <v>55</v>
      </c>
      <c r="E24">
        <v>4</v>
      </c>
    </row>
    <row r="26" spans="1:5" x14ac:dyDescent="0.35">
      <c r="A26" t="s">
        <v>52</v>
      </c>
      <c r="B26">
        <f>SUM(B22:B24)</f>
        <v>81</v>
      </c>
      <c r="E26">
        <f>SUM(E22:E24)</f>
        <v>20</v>
      </c>
    </row>
  </sheetData>
  <phoneticPr fontId="3" type="noConversion"/>
  <hyperlinks>
    <hyperlink ref="B1" r:id="rId1" display="https://www.sunnyportal.com/Templates/PublicPageOverview.aspx?page=0b4a43ff-4aa8-429c-a3d7-279a6a32378c&amp;plant=b0d56d16-ad65-4538-ae1e-11751241bc89&amp;splang=en-GB" xr:uid="{ADB8FB42-8E2B-4317-BB6E-D36F795A59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timedata_monthly</vt:lpstr>
      <vt:lpstr>timedata_monthly_night</vt:lpstr>
      <vt:lpstr>data_prep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Schirren, Lukas</dc:creator>
  <cp:lastModifiedBy>Schirren, Lukas</cp:lastModifiedBy>
  <dcterms:created xsi:type="dcterms:W3CDTF">2024-01-21T10:35:52Z</dcterms:created>
  <dcterms:modified xsi:type="dcterms:W3CDTF">2024-01-22T12:14:02Z</dcterms:modified>
</cp:coreProperties>
</file>